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HugoRodrigoZapata\Downloads\"/>
    </mc:Choice>
  </mc:AlternateContent>
  <xr:revisionPtr revIDLastSave="0" documentId="13_ncr:1_{D0DB9326-E1D2-449A-B386-EC2AE63737ED}" xr6:coauthVersionLast="47" xr6:coauthVersionMax="47" xr10:uidLastSave="{00000000-0000-0000-0000-000000000000}"/>
  <workbookProtection workbookAlgorithmName="SHA-512" workbookHashValue="uw8m3xij3f8sHca/clyrMWN9kaJSnJ3V6FAWBi2km3zzbgqZR7mEw0VkwI0/mX5k5+i7JUZPo5dnHGqWKVQrDg==" workbookSaltValue="EDl3h9siEXrZzysCJSGlGA==" workbookSpinCount="100000" lockStructure="1"/>
  <bookViews>
    <workbookView xWindow="-23148" yWindow="6024" windowWidth="23256" windowHeight="12576" tabRatio="671" xr2:uid="{00000000-000D-0000-FFFF-FFFF00000000}"/>
  </bookViews>
  <sheets>
    <sheet name="Squad Info" sheetId="1" r:id="rId1"/>
    <sheet name="Pack Pro-Player" sheetId="10" r:id="rId2"/>
    <sheet name="Pack Vieja Gloria" sheetId="12" r:id="rId3"/>
    <sheet name="Pack BB2020" sheetId="2" r:id="rId4"/>
    <sheet name="Pack Protajer" sheetId="17" r:id="rId5"/>
    <sheet name="TeamsBB2020" sheetId="6" state="hidden" r:id="rId6"/>
    <sheet name="TeamsProtajer" sheetId="16" state="hidden" r:id="rId7"/>
    <sheet name="StarPlayersBB2020" sheetId="7" state="hidden" r:id="rId8"/>
    <sheet name="StarPlayersProtajer" sheetId="15" state="hidden" r:id="rId9"/>
    <sheet name="TeamsProPlayer" sheetId="9" state="hidden" r:id="rId10"/>
    <sheet name="TeamsViejaGloria" sheetId="11" state="hidden" r:id="rId11"/>
  </sheets>
  <definedNames>
    <definedName name="Amazon" localSheetId="9">TeamsProPlayer!$C$2:$C$2</definedName>
    <definedName name="Amazon" localSheetId="6">TeamsProtajer!$C$2:$C$2</definedName>
    <definedName name="Amazon" localSheetId="10">TeamsViejaGloria!$C$2:$C$2</definedName>
    <definedName name="Amazon">TeamsBB2020!#REF!</definedName>
    <definedName name="BadlandsBrawl" localSheetId="8">StarPlayersProtajer!$E$95:$E$102</definedName>
    <definedName name="BadlandsBrawl">StarPlayersBB2020!$E$95:$E$102</definedName>
    <definedName name="BadlandsBrawlOldWorldClassic" localSheetId="8">StarPlayersProtajer!$N$95:$N$110</definedName>
    <definedName name="BadlandsBrawlOldWorldClassic">StarPlayersBB2020!$N$95:$N$110</definedName>
    <definedName name="BadlandsBrawlUnderworldChallenge" localSheetId="8">StarPlayersProtajer!$Q$95:$Q$104</definedName>
    <definedName name="BadlandsBrawlUnderworldChallenge">StarPlayersBB2020!$Q$95:$Q$104</definedName>
    <definedName name="BlackOrc" localSheetId="9">TeamsProPlayer!$C$9:$C$13</definedName>
    <definedName name="BlackOrc" localSheetId="6">TeamsProtajer!$C$9:$C$13</definedName>
    <definedName name="BlackOrc" localSheetId="10">TeamsViejaGloria!$C$9:$C$13</definedName>
    <definedName name="BlackOrc">TeamsBB2020!$C$7:$C$10</definedName>
    <definedName name="CARNE" localSheetId="1">'Pack Pro-Player'!$P$69:$P$77</definedName>
    <definedName name="CARNE" localSheetId="4">'Pack Protajer'!$P$69:$P$77</definedName>
    <definedName name="CARNE" localSheetId="2">'Pack Vieja Gloria'!$P$69:$P$77</definedName>
    <definedName name="CARNE">'Pack BB2020'!$P$69:$P$77</definedName>
    <definedName name="CARTASDEJUEGO" localSheetId="1">'Pack Pro-Player'!$BC$109:$BC$115</definedName>
    <definedName name="CARTASDEJUEGO" localSheetId="4">'Pack Protajer'!$BC$109:$BC$115</definedName>
    <definedName name="CARTASDEJUEGO" localSheetId="2">'Pack Vieja Gloria'!$BC$109:$BC$115</definedName>
    <definedName name="CARTASDEJUEGO">'Pack BB2020'!$BC$109:$BC$115</definedName>
    <definedName name="ChaosChosen" localSheetId="9">TeamsProPlayer!$C$19:$C$20</definedName>
    <definedName name="ChaosChosen" localSheetId="6">TeamsProtajer!$C$19:$C$20</definedName>
    <definedName name="ChaosChosen" localSheetId="10">TeamsViejaGloria!$C$19:$C$20</definedName>
    <definedName name="ChaosChosen">TeamsBB2020!$C$15:$C$20</definedName>
    <definedName name="ChaosDwarf" localSheetId="9">TeamsProPlayer!$C$21:$C$26</definedName>
    <definedName name="ChaosDwarf" localSheetId="6">TeamsProtajer!$C$21:$C$26</definedName>
    <definedName name="ChaosDwarf" localSheetId="10">TeamsViejaGloria!$C$21:$C$26</definedName>
    <definedName name="ChaosDwarf">TeamsBB2020!#REF!</definedName>
    <definedName name="ChaosRenegades" localSheetId="9">TeamsProPlayer!$C$35:$C$46</definedName>
    <definedName name="ChaosRenegades" localSheetId="6">TeamsProtajer!$C$35:$C$46</definedName>
    <definedName name="ChaosRenegades" localSheetId="10">TeamsViejaGloria!$C$35:$C$46</definedName>
    <definedName name="ChaosRenegades">TeamsBB2020!$C$28:$C$38</definedName>
    <definedName name="DaemonsofKhorne" localSheetId="9">TeamsProPlayer!#REF!</definedName>
    <definedName name="DaemonsofKhorne" localSheetId="6">TeamsProtajer!#REF!</definedName>
    <definedName name="DaemonsofKhorne" localSheetId="10">TeamsViejaGloria!#REF!</definedName>
    <definedName name="DaemonsofKhorne">TeamsBB2020!#REF!</definedName>
    <definedName name="DarkElf" localSheetId="9">TeamsProPlayer!$C$47:$C$53</definedName>
    <definedName name="DarkElf" localSheetId="6">TeamsProtajer!$C$47:$C$53</definedName>
    <definedName name="DarkElf" localSheetId="10">TeamsViejaGloria!$C$47:$C$53</definedName>
    <definedName name="DarkElf">TeamsBB2020!$C$39:$C$44</definedName>
    <definedName name="Dwarf" localSheetId="9">TeamsProPlayer!$C$54:$C$60</definedName>
    <definedName name="Dwarf" localSheetId="6">TeamsProtajer!$C$54:$C$60</definedName>
    <definedName name="Dwarf" localSheetId="10">TeamsViejaGloria!$C$54:$C$60</definedName>
    <definedName name="Dwarf">TeamsBB2020!$C$45:$C$50</definedName>
    <definedName name="ElvenKingdomsLeague" localSheetId="8">StarPlayersProtajer!$J$95:$J$107</definedName>
    <definedName name="ElvenKingdomsLeague">StarPlayersBB2020!$J$95:$J$107</definedName>
    <definedName name="ElvenUnion" localSheetId="9">TeamsProPlayer!$C$61:$C$66</definedName>
    <definedName name="ElvenUnion" localSheetId="6">TeamsProtajer!$C$61:$C$66</definedName>
    <definedName name="ElvenUnion" localSheetId="10">TeamsViejaGloria!$C$61:$C$66</definedName>
    <definedName name="ElvenUnion">TeamsBB2020!$C$51:$C$55</definedName>
    <definedName name="ENGLISH" localSheetId="1">'Pack Pro-Player'!$BM$3:$BM$40</definedName>
    <definedName name="ENGLISH" localSheetId="4">'Pack Protajer'!$BM$3:$BM$40</definedName>
    <definedName name="ENGLISH" localSheetId="2">'Pack Vieja Gloria'!$BM$3:$BM$40</definedName>
    <definedName name="ENGLISH">'Pack BB2020'!$BM$3:$BM$40</definedName>
    <definedName name="Español" localSheetId="1">'Pack Pro-Player'!$BM$3:$BM$40</definedName>
    <definedName name="Español" localSheetId="4">'Pack Protajer'!$BM$3:$BM$40</definedName>
    <definedName name="Español" localSheetId="2">'Pack Vieja Gloria'!$BM$3:$BM$40</definedName>
    <definedName name="Español">'Pack BB2020'!$BM$3:$BM$40</definedName>
    <definedName name="ESSS" localSheetId="1">'Pack Pro-Player'!$AZ$70:$AZ$79</definedName>
    <definedName name="ESSS" localSheetId="4">'Pack Protajer'!$AZ$70:$AZ$79</definedName>
    <definedName name="ESSS" localSheetId="2">'Pack Vieja Gloria'!$AZ$70:$AZ$79</definedName>
    <definedName name="ESSS">'Pack BB2020'!$AZ$70:$AZ$79</definedName>
    <definedName name="FavouredOf" localSheetId="8">StarPlayersProtajer!$K$95:$K$103</definedName>
    <definedName name="FavouredOf">StarPlayersBB2020!$K$95:$K$103</definedName>
    <definedName name="FavouredOfWorldsEdgeSuperleagueBadlandsBrawl" localSheetId="8">StarPlayersProtajer!$S$95:$S$109</definedName>
    <definedName name="FavouredOfWorldsEdgeSuperleagueBadlandsBrawl">StarPlayersBB2020!$S$95:$S$109</definedName>
    <definedName name="Goblin" localSheetId="9">TeamsProPlayer!$C$67:$C$76</definedName>
    <definedName name="Goblin" localSheetId="6">TeamsProtajer!$C$67:$C$76</definedName>
    <definedName name="Goblin" localSheetId="10">TeamsViejaGloria!$C$67:$C$76</definedName>
    <definedName name="Goblin">TeamsBB2020!$C$56:$C$64</definedName>
    <definedName name="Halfling" localSheetId="9">TeamsProPlayer!$C$84:$C$89</definedName>
    <definedName name="Halfling" localSheetId="6">TeamsProtajer!$C$84:$C$89</definedName>
    <definedName name="Halfling" localSheetId="10">TeamsViejaGloria!$C$84:$C$89</definedName>
    <definedName name="Halfling">TeamsBB2020!$C$71:$C$75</definedName>
    <definedName name="HalflingThimbleCup" localSheetId="8">StarPlayersProtajer!$G$95:$G$106</definedName>
    <definedName name="HalflingThimbleCup">StarPlayersBB2020!$G$95:$G$106</definedName>
    <definedName name="HalflingThimbleCupOldWorldClassic" localSheetId="8">StarPlayersProtajer!$P$95:$P$108</definedName>
    <definedName name="HalflingThimbleCupOldWorldClassic">StarPlayersBB2020!$P$95:$P$108</definedName>
    <definedName name="HighElf" localSheetId="9">TeamsProPlayer!$C$90:$C$95</definedName>
    <definedName name="HighElf" localSheetId="6">TeamsProtajer!$C$90:$C$95</definedName>
    <definedName name="HighElf" localSheetId="10">TeamsViejaGloria!$C$90:$C$95</definedName>
    <definedName name="HighElf">TeamsBB2020!$C$76:$C$80</definedName>
    <definedName name="Human" localSheetId="9">TeamsProPlayer!$C$96:$C$103</definedName>
    <definedName name="Human" localSheetId="6">TeamsProtajer!$C$96:$C$103</definedName>
    <definedName name="Human" localSheetId="10">TeamsViejaGloria!$C$96:$C$103</definedName>
    <definedName name="Human">TeamsBB2020!$C$81:$C$87</definedName>
    <definedName name="ImperialNobility" localSheetId="9">TeamsProPlayer!$C$104:$C$109</definedName>
    <definedName name="ImperialNobility" localSheetId="6">TeamsProtajer!$C$104:$C$109</definedName>
    <definedName name="ImperialNobility" localSheetId="10">TeamsViejaGloria!$C$104:$C$109</definedName>
    <definedName name="ImperialNobility">TeamsBB2020!$C$88:$C$93</definedName>
    <definedName name="INCENTIVOS_DE_RAZA" localSheetId="1">'Pack Pro-Player'!$BA$109:$BA$115</definedName>
    <definedName name="INCENTIVOS_DE_RAZA" localSheetId="4">'Pack Protajer'!$BA$109:$BA$115</definedName>
    <definedName name="INCENTIVOS_DE_RAZA" localSheetId="2">'Pack Vieja Gloria'!$BA$109:$BA$115</definedName>
    <definedName name="INCENTIVOS_DE_RAZA">'Pack BB2020'!$BA$109:$BA$115</definedName>
    <definedName name="INCENTIVOSDERAZA" localSheetId="1">'Pack Pro-Player'!$BA$109:$BA$115</definedName>
    <definedName name="INCENTIVOSDERAZA" localSheetId="4">'Pack Protajer'!$BA$109:$BA$115</definedName>
    <definedName name="INCENTIVOSDERAZA" localSheetId="2">'Pack Vieja Gloria'!$BA$109:$BA$115</definedName>
    <definedName name="INCENTIVOSDERAZA">'Pack BB2020'!$BA$109:$BA$115</definedName>
    <definedName name="INFAME" localSheetId="1">'Pack Pro-Player'!$AK$75:$AK$80</definedName>
    <definedName name="INFAME" localSheetId="4">'Pack Protajer'!$AK$75:$AK$80</definedName>
    <definedName name="INFAME" localSheetId="2">'Pack Vieja Gloria'!$AK$75:$AK$80</definedName>
    <definedName name="INFAME">'Pack BB2020'!$AK$75:$AK$80</definedName>
    <definedName name="INFAMOUS" localSheetId="1">'Pack Pro-Player'!$AK$69:$AK$74</definedName>
    <definedName name="INFAMOUS" localSheetId="4">'Pack Protajer'!$AK$69:$AK$74</definedName>
    <definedName name="INFAMOUS" localSheetId="2">'Pack Vieja Gloria'!$AK$69:$AK$74</definedName>
    <definedName name="INFAMOUS">'Pack BB2020'!$AK$69:$AK$74</definedName>
    <definedName name="INFAMOUSSTAFF" localSheetId="1">'Pack Pro-Player'!$AY$102:$AY$108</definedName>
    <definedName name="INFAMOUSSTAFF" localSheetId="4">'Pack Protajer'!$AY$102:$AY$108</definedName>
    <definedName name="INFAMOUSSTAFF" localSheetId="2">'Pack Vieja Gloria'!$AY$102:$AY$108</definedName>
    <definedName name="INFAMOUSSTAFF">'Pack BB2020'!$AY$102:$AY$108</definedName>
    <definedName name="INJURIES" localSheetId="1">'Pack Pro-Player'!$BF$70:$BF$74</definedName>
    <definedName name="INJURIES" localSheetId="4">'Pack Protajer'!$BF$70:$BF$74</definedName>
    <definedName name="INJURIES" localSheetId="2">'Pack Vieja Gloria'!$BF$70:$BF$74</definedName>
    <definedName name="INJURIES">'Pack BB2020'!$BF$70:$BF$74</definedName>
    <definedName name="INJURY" localSheetId="1">'Pack Pro-Player'!$P$69:$P$77</definedName>
    <definedName name="INJURY" localSheetId="4">'Pack Protajer'!$P$69:$P$77</definedName>
    <definedName name="INJURY" localSheetId="2">'Pack Vieja Gloria'!$P$69:$P$77</definedName>
    <definedName name="INJURY">'Pack BB2020'!$P$69:$P$77</definedName>
    <definedName name="INJURYs" localSheetId="1">'Pack Pro-Player'!$P$69:$P$77</definedName>
    <definedName name="INJURYs" localSheetId="4">'Pack Protajer'!$P$69:$P$77</definedName>
    <definedName name="INJURYs" localSheetId="2">'Pack Vieja Gloria'!$P$69:$P$77</definedName>
    <definedName name="INJURYs">'Pack BB2020'!$P$69:$P$77</definedName>
    <definedName name="Jugadores" localSheetId="1">'Pack Pro-Player'!$BJ$2:$BJ$14</definedName>
    <definedName name="Jugadores" localSheetId="4">'Pack Protajer'!$BJ$2:$BJ$14</definedName>
    <definedName name="Jugadores" localSheetId="2">'Pack Vieja Gloria'!$BJ$2:$BJ$14</definedName>
    <definedName name="Jugadores">'Pack BB2020'!$BJ$2:$BJ$14</definedName>
    <definedName name="LESION" localSheetId="1">'Pack Pro-Player'!$AZ$70:$AZ$79</definedName>
    <definedName name="LESION" localSheetId="4">'Pack Protajer'!$AZ$70:$AZ$79</definedName>
    <definedName name="LESION" localSheetId="2">'Pack Vieja Gloria'!$AZ$70:$AZ$79</definedName>
    <definedName name="LESION">'Pack BB2020'!$AZ$70:$AZ$79</definedName>
    <definedName name="LESIONes" localSheetId="1">'Pack Pro-Player'!$AZ$70:$AZ$79</definedName>
    <definedName name="LESIONes" localSheetId="4">'Pack Protajer'!$AZ$70:$AZ$79</definedName>
    <definedName name="LESIONes" localSheetId="2">'Pack Vieja Gloria'!$AZ$70:$AZ$79</definedName>
    <definedName name="LESIONes">'Pack BB2020'!$AZ$70:$AZ$79</definedName>
    <definedName name="LESIONESS" localSheetId="1">'Pack Pro-Player'!$BH$68:$BH$73</definedName>
    <definedName name="LESIONESS" localSheetId="4">'Pack Protajer'!$BH$68:$BH$73</definedName>
    <definedName name="LESIONESS" localSheetId="2">'Pack Vieja Gloria'!$BH$68:$BH$73</definedName>
    <definedName name="LESIONESS">'Pack BB2020'!$BH$68:$BH$73</definedName>
    <definedName name="Lizardman" localSheetId="9">TeamsProPlayer!$C$110:$C$115</definedName>
    <definedName name="Lizardman" localSheetId="6">TeamsProtajer!$C$110:$C$115</definedName>
    <definedName name="Lizardman" localSheetId="10">TeamsViejaGloria!$C$110:$C$115</definedName>
    <definedName name="Lizardman">TeamsBB2020!$C$99:$C$103</definedName>
    <definedName name="LustrianSuperleague" localSheetId="8">StarPlayersProtajer!$M$95:$M$104</definedName>
    <definedName name="LustrianSuperleague">StarPlayersBB2020!$M$95:$M$104</definedName>
    <definedName name="LustrianSuperleagueOldWorldClassic" localSheetId="8">StarPlayersProtajer!$O$95:$O$109</definedName>
    <definedName name="LustrianSuperleagueOldWorldClassic">StarPlayersBB2020!$O$95:$O$109</definedName>
    <definedName name="Necromantic" localSheetId="9">TeamsProPlayer!$C$116:$C$122</definedName>
    <definedName name="Necromantic" localSheetId="6">TeamsProtajer!$C$116:$C$122</definedName>
    <definedName name="Necromantic" localSheetId="10">TeamsViejaGloria!$C$116:$C$122</definedName>
    <definedName name="Necromantic">TeamsBB2020!$C$104:$C$109</definedName>
    <definedName name="Norse" localSheetId="9">TeamsProPlayer!$C$123:$C$130</definedName>
    <definedName name="Norse" localSheetId="6">TeamsProtajer!$C$123:$C$130</definedName>
    <definedName name="Norse" localSheetId="10">TeamsViejaGloria!$C$123:$C$130</definedName>
    <definedName name="Norse">TeamsBB2020!#REF!</definedName>
    <definedName name="Nurgle" localSheetId="9">TeamsProPlayer!$C$139:$C$144</definedName>
    <definedName name="Nurgle" localSheetId="6">TeamsProtajer!$C$139:$C$144</definedName>
    <definedName name="Nurgle" localSheetId="10">TeamsViejaGloria!$C$139:$C$144</definedName>
    <definedName name="Nurgle">TeamsBB2020!$C$117:$C$121</definedName>
    <definedName name="Ogre" localSheetId="9">TeamsProPlayer!$C$145:$C$149</definedName>
    <definedName name="Ogre" localSheetId="6">TeamsProtajer!$C$145:$C$149</definedName>
    <definedName name="Ogre" localSheetId="10">TeamsViejaGloria!$C$145:$C$149</definedName>
    <definedName name="Ogre">TeamsBB2020!$C$122:$C$125</definedName>
    <definedName name="OldWorldAlliance" localSheetId="9">TeamsProPlayer!$C$150:$C$162</definedName>
    <definedName name="OldWorldAlliance" localSheetId="6">TeamsProtajer!$C$150:$C$162</definedName>
    <definedName name="OldWorldAlliance" localSheetId="10">TeamsViejaGloria!$C$150:$C$162</definedName>
    <definedName name="OldWorldAlliance">TeamsBB2020!$C$126:$C$137</definedName>
    <definedName name="OldWorldClassic" localSheetId="8">StarPlayersProtajer!$H$95:$H$108</definedName>
    <definedName name="OldWorldClassic">StarPlayersBB2020!$H$95:$H$108</definedName>
    <definedName name="OldWorldClassicWorldsEdgeSuperleague" localSheetId="8">StarPlayersProtajer!$R$95:$R$109</definedName>
    <definedName name="OldWorldClassicWorldsEdgeSuperleague">StarPlayersBB2020!$R$95:$R$109</definedName>
    <definedName name="Orc" localSheetId="9">TeamsProPlayer!$C$163:$C$170</definedName>
    <definedName name="Orc" localSheetId="6">TeamsProtajer!$C$163:$C$170</definedName>
    <definedName name="Orc" localSheetId="10">TeamsViejaGloria!$C$163:$C$170</definedName>
    <definedName name="Orc">TeamsBB2020!$C$138:$C$144</definedName>
    <definedName name="PERSONAL_INFAME" localSheetId="1">'Pack Pro-Player'!$AY$109:$AY$115</definedName>
    <definedName name="PERSONAL_INFAME" localSheetId="4">'Pack Protajer'!$AY$109:$AY$115</definedName>
    <definedName name="PERSONAL_INFAME" localSheetId="2">'Pack Vieja Gloria'!$AY$109:$AY$115</definedName>
    <definedName name="PERSONAL_INFAME">'Pack BB2020'!$AY$109:$AY$115</definedName>
    <definedName name="PERSONALINFAME" localSheetId="1">'Pack Pro-Player'!$AY$109:$AY$115</definedName>
    <definedName name="PERSONALINFAME" localSheetId="4">'Pack Protajer'!$AY$109:$AY$115</definedName>
    <definedName name="PERSONALINFAME" localSheetId="2">'Pack Vieja Gloria'!$AY$109:$AY$115</definedName>
    <definedName name="PERSONALINFAME">'Pack BB2020'!$AY$109:$AY$115</definedName>
    <definedName name="RACIAL_INDUCEMENT" localSheetId="1">'Pack Pro-Player'!$BA$102:$BA$108</definedName>
    <definedName name="RACIAL_INDUCEMENT" localSheetId="4">'Pack Protajer'!$BA$102:$BA$108</definedName>
    <definedName name="RACIAL_INDUCEMENT" localSheetId="2">'Pack Vieja Gloria'!$BA$102:$BA$108</definedName>
    <definedName name="RACIAL_INDUCEMENT">'Pack BB2020'!$BA$102:$BA$108</definedName>
    <definedName name="RACIALINDUCEMENT" localSheetId="1">'Pack Pro-Player'!$BA$102:$BA$108</definedName>
    <definedName name="RACIALINDUCEMENT" localSheetId="4">'Pack Protajer'!$BA$102:$BA$108</definedName>
    <definedName name="RACIALINDUCEMENT" localSheetId="2">'Pack Vieja Gloria'!$BA$102:$BA$108</definedName>
    <definedName name="RACIALINDUCEMENT">'Pack BB2020'!$BA$102:$BA$108</definedName>
    <definedName name="ShamblingUndead" localSheetId="9">TeamsProPlayer!$C$171:$C$178</definedName>
    <definedName name="ShamblingUndead" localSheetId="6">TeamsProtajer!$C$171:$C$178</definedName>
    <definedName name="ShamblingUndead" localSheetId="10">TeamsViejaGloria!$C$171:$C$178</definedName>
    <definedName name="ShamblingUndead">TeamsBB2020!$C$145:$C$150</definedName>
    <definedName name="Skaven" localSheetId="9">TeamsProPlayer!$C$183:$C$188</definedName>
    <definedName name="Skaven" localSheetId="6">TeamsProtajer!$C$183:$C$188</definedName>
    <definedName name="Skaven" localSheetId="10">TeamsViejaGloria!$C$183:$C$188</definedName>
    <definedName name="Skaven">TeamsBB2020!$C$156:$C$161</definedName>
    <definedName name="Slann" localSheetId="9">TeamsProPlayer!$C$179:$C$182</definedName>
    <definedName name="Slann" localSheetId="6">TeamsProtajer!$C$179:$C$182</definedName>
    <definedName name="Slann" localSheetId="10">TeamsViejaGloria!$C$179:$C$182</definedName>
    <definedName name="Slann">TeamsBB2020!$C$151:$C$155</definedName>
    <definedName name="Snotling" localSheetId="9">TeamsProPlayer!$C$195:$C$202</definedName>
    <definedName name="Snotling" localSheetId="6">TeamsProtajer!$C$195:$C$202</definedName>
    <definedName name="Snotling" localSheetId="10">TeamsViejaGloria!$C$195:$C$202</definedName>
    <definedName name="Snotling">TeamsBB2020!$C$167:$C$173</definedName>
    <definedName name="SPECIALPLAYCARDS" localSheetId="1">'Pack Pro-Player'!$BC$102:$BC$108</definedName>
    <definedName name="SPECIALPLAYCARDS" localSheetId="4">'Pack Protajer'!$BC$102:$BC$108</definedName>
    <definedName name="SPECIALPLAYCARDS" localSheetId="2">'Pack Vieja Gloria'!$BC$102:$BC$108</definedName>
    <definedName name="SPECIALPLAYCARDS">'Pack BB2020'!$BC$102:$BC$108</definedName>
    <definedName name="SylvanianSpotlight" localSheetId="8">StarPlayersProtajer!$L$95:$L$104</definedName>
    <definedName name="SylvanianSpotlight">StarPlayersBB2020!$L$95:$L$104</definedName>
    <definedName name="TombKing" localSheetId="9">TeamsProPlayer!$C$189:$C$194</definedName>
    <definedName name="TombKing" localSheetId="6">TeamsProtajer!$C$189:$C$194</definedName>
    <definedName name="TombKing" localSheetId="10">TeamsViejaGloria!$C$189:$C$194</definedName>
    <definedName name="TombKing">TeamsBB2020!$C$162:$C$166</definedName>
    <definedName name="UnderworldChallenge" localSheetId="8">StarPlayersProtajer!$F$95:$F$104</definedName>
    <definedName name="UnderworldChallenge">StarPlayersBB2020!$F$95:$F$104</definedName>
    <definedName name="UnderworldDenizens" localSheetId="9">TeamsProPlayer!$C$203:$C$212</definedName>
    <definedName name="UnderworldDenizens" localSheetId="6">TeamsProtajer!$C$203:$C$212</definedName>
    <definedName name="UnderworldDenizens" localSheetId="10">TeamsViejaGloria!$C$203:$C$212</definedName>
    <definedName name="UnderworldDenizens">TeamsBB2020!$C$174:$C$182</definedName>
    <definedName name="valorequipo" localSheetId="1">'Pack Pro-Player'!$AR$66:$AR$346</definedName>
    <definedName name="valorequipo" localSheetId="4">'Pack Protajer'!$AR$66:$AR$346</definedName>
    <definedName name="valorequipo" localSheetId="2">'Pack Vieja Gloria'!$AR$66:$AR$346</definedName>
    <definedName name="valorequipo">'Pack BB2020'!$AR$66:$AR$346</definedName>
    <definedName name="Vampire" localSheetId="9">TeamsProPlayer!$C$213:$C$216</definedName>
    <definedName name="Vampire" localSheetId="6">TeamsProtajer!$C$213:$C$216</definedName>
    <definedName name="Vampire" localSheetId="10">TeamsViejaGloria!$C$213:$C$216</definedName>
    <definedName name="Vampire">TeamsBB2020!#REF!</definedName>
    <definedName name="WoodElf" localSheetId="9">TeamsProPlayer!$C$224:$C$230</definedName>
    <definedName name="WoodElf" localSheetId="6">TeamsProtajer!$C$224:$C$230</definedName>
    <definedName name="WoodElf" localSheetId="10">TeamsViejaGloria!$C$224:$C$230</definedName>
    <definedName name="WoodElf">TeamsBB2020!$C$189:$C$194</definedName>
    <definedName name="WorldsEdgeSuperleague" localSheetId="8">StarPlayersProtajer!$I$95:$I$103</definedName>
    <definedName name="WorldsEdgeSuperleague">StarPlayersBB2020!$I$95:$I$103</definedName>
    <definedName name="Z_000DFA95_C5ED_4E25_B049_8595AFF84C6A_.wvu.Cols" localSheetId="3">'Pack BB2020'!$AR:$XFD</definedName>
    <definedName name="Z_000DFA95_C5ED_4E25_B049_8595AFF84C6A_.wvu.Cols" localSheetId="1">'Pack Pro-Player'!$AR:$XFD</definedName>
    <definedName name="Z_000DFA95_C5ED_4E25_B049_8595AFF84C6A_.wvu.Cols" localSheetId="4">'Pack Protajer'!$AR:$XFD</definedName>
    <definedName name="Z_000DFA95_C5ED_4E25_B049_8595AFF84C6A_.wvu.Cols" localSheetId="2">'Pack Vieja Gloria'!$AR:$XFD</definedName>
    <definedName name="Z_000DFA95_C5ED_4E25_B049_8595AFF84C6A_.wvu.PrintArea" localSheetId="3">'Pack BB2020'!$A$1:$AO$31</definedName>
    <definedName name="Z_000DFA95_C5ED_4E25_B049_8595AFF84C6A_.wvu.PrintArea" localSheetId="1">'Pack Pro-Player'!$A$1:$AO$31</definedName>
    <definedName name="Z_000DFA95_C5ED_4E25_B049_8595AFF84C6A_.wvu.PrintArea" localSheetId="4">'Pack Protajer'!$A$1:$AO$31</definedName>
    <definedName name="Z_000DFA95_C5ED_4E25_B049_8595AFF84C6A_.wvu.PrintArea" localSheetId="2">'Pack Vieja Gloria'!$A$1:$AO$31</definedName>
    <definedName name="Z_321F642C_C9F4_43AA_AD98_F704A19C5B24_.wvu.Cols" localSheetId="3">'Pack BB2020'!$AR:$XFD</definedName>
    <definedName name="Z_321F642C_C9F4_43AA_AD98_F704A19C5B24_.wvu.Cols" localSheetId="1">'Pack Pro-Player'!$AR:$XFD</definedName>
    <definedName name="Z_321F642C_C9F4_43AA_AD98_F704A19C5B24_.wvu.Cols" localSheetId="4">'Pack Protajer'!$AR:$XFD</definedName>
    <definedName name="Z_321F642C_C9F4_43AA_AD98_F704A19C5B24_.wvu.Cols" localSheetId="2">'Pack Vieja Gloria'!$AR:$XFD</definedName>
    <definedName name="Z_321F642C_C9F4_43AA_AD98_F704A19C5B24_.wvu.PrintArea" localSheetId="3">'Pack BB2020'!$A$1:$AO$31</definedName>
    <definedName name="Z_321F642C_C9F4_43AA_AD98_F704A19C5B24_.wvu.PrintArea" localSheetId="1">'Pack Pro-Player'!$A$1:$AO$31</definedName>
    <definedName name="Z_321F642C_C9F4_43AA_AD98_F704A19C5B24_.wvu.PrintArea" localSheetId="4">'Pack Protajer'!$A$1:$AO$31</definedName>
    <definedName name="Z_321F642C_C9F4_43AA_AD98_F704A19C5B24_.wvu.PrintArea" localSheetId="2">'Pack Vieja Gloria'!$A$1:$AO$31</definedName>
    <definedName name="Z_B1FCC566_F3B8_4120_9959_D3488490C2B3_.wvu.Cols" localSheetId="3">'Pack BB2020'!$AR:$XFD</definedName>
    <definedName name="Z_B1FCC566_F3B8_4120_9959_D3488490C2B3_.wvu.Cols" localSheetId="1">'Pack Pro-Player'!$AR:$XFD</definedName>
    <definedName name="Z_B1FCC566_F3B8_4120_9959_D3488490C2B3_.wvu.Cols" localSheetId="4">'Pack Protajer'!$AR:$XFD</definedName>
    <definedName name="Z_B1FCC566_F3B8_4120_9959_D3488490C2B3_.wvu.Cols" localSheetId="2">'Pack Vieja Gloria'!$AR:$XFD</definedName>
    <definedName name="Z_B1FCC566_F3B8_4120_9959_D3488490C2B3_.wvu.PrintArea" localSheetId="3">'Pack BB2020'!$A$1:$AO$31</definedName>
    <definedName name="Z_B1FCC566_F3B8_4120_9959_D3488490C2B3_.wvu.PrintArea" localSheetId="1">'Pack Pro-Player'!$A$1:$AO$31</definedName>
    <definedName name="Z_B1FCC566_F3B8_4120_9959_D3488490C2B3_.wvu.PrintArea" localSheetId="4">'Pack Protajer'!$A$1:$AO$31</definedName>
    <definedName name="Z_B1FCC566_F3B8_4120_9959_D3488490C2B3_.wvu.PrintArea" localSheetId="2">'Pack Vieja Gloria'!$A$1:$AO$31</definedName>
    <definedName name="Z_D9D0E8AE_A23E_48A5_872D_2FD66A335355_.wvu.Cols" localSheetId="3">'Pack BB2020'!$AR:$XFD</definedName>
    <definedName name="Z_D9D0E8AE_A23E_48A5_872D_2FD66A335355_.wvu.Cols" localSheetId="1">'Pack Pro-Player'!$AR:$XFD</definedName>
    <definedName name="Z_D9D0E8AE_A23E_48A5_872D_2FD66A335355_.wvu.Cols" localSheetId="4">'Pack Protajer'!$AR:$XFD</definedName>
    <definedName name="Z_D9D0E8AE_A23E_48A5_872D_2FD66A335355_.wvu.Cols" localSheetId="2">'Pack Vieja Gloria'!$AR:$XFD</definedName>
    <definedName name="Z_D9D0E8AE_A23E_48A5_872D_2FD66A335355_.wvu.PrintArea" localSheetId="3">'Pack BB2020'!$A$1:$AO$31</definedName>
    <definedName name="Z_D9D0E8AE_A23E_48A5_872D_2FD66A335355_.wvu.PrintArea" localSheetId="1">'Pack Pro-Player'!$A$1:$AO$31</definedName>
    <definedName name="Z_D9D0E8AE_A23E_48A5_872D_2FD66A335355_.wvu.PrintArea" localSheetId="4">'Pack Protajer'!$A$1:$AO$31</definedName>
    <definedName name="Z_D9D0E8AE_A23E_48A5_872D_2FD66A335355_.wvu.PrintArea" localSheetId="2">'Pack Vieja Gloria'!$A$1:$AO$31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gjVTyk8TWdqqYp5S2Gvv9/NktiYQ=="/>
    </ext>
  </extLst>
</workbook>
</file>

<file path=xl/calcChain.xml><?xml version="1.0" encoding="utf-8"?>
<calcChain xmlns="http://schemas.openxmlformats.org/spreadsheetml/2006/main">
  <c r="AU19" i="17" l="1"/>
  <c r="AU19" i="2"/>
  <c r="AU18" i="17"/>
  <c r="AU18" i="2"/>
  <c r="AT19" i="17"/>
  <c r="AT19" i="2"/>
  <c r="AT18" i="17"/>
  <c r="AT18" i="2"/>
  <c r="AS19" i="17"/>
  <c r="AS19" i="2"/>
  <c r="AS18" i="17"/>
  <c r="AS18" i="2"/>
  <c r="T3" i="11"/>
  <c r="T4" i="11"/>
  <c r="T5" i="11"/>
  <c r="T6" i="11"/>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T190" i="11"/>
  <c r="T191" i="11"/>
  <c r="T192" i="11"/>
  <c r="T193" i="11"/>
  <c r="T194" i="11"/>
  <c r="T2" i="11"/>
  <c r="T3" i="9"/>
  <c r="T4" i="9"/>
  <c r="T5" i="9"/>
  <c r="T6" i="9"/>
  <c r="T7" i="9"/>
  <c r="T8" i="9"/>
  <c r="T9" i="9"/>
  <c r="T10"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2" i="9"/>
  <c r="T2" i="16"/>
  <c r="T3" i="6"/>
  <c r="T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2" i="6"/>
  <c r="T126" i="16"/>
  <c r="T127" i="16"/>
  <c r="T128" i="16"/>
  <c r="T129" i="16"/>
  <c r="T130" i="16"/>
  <c r="T131" i="16"/>
  <c r="T132" i="16"/>
  <c r="T133" i="16"/>
  <c r="T134" i="16"/>
  <c r="T135" i="16"/>
  <c r="T136" i="16"/>
  <c r="T137" i="16"/>
  <c r="T138" i="16"/>
  <c r="T139" i="16"/>
  <c r="T140" i="16"/>
  <c r="T141" i="16"/>
  <c r="T142" i="16"/>
  <c r="T143" i="16"/>
  <c r="T144" i="16"/>
  <c r="T145" i="16"/>
  <c r="T146" i="16"/>
  <c r="T147" i="16"/>
  <c r="T148" i="16"/>
  <c r="T149" i="16"/>
  <c r="T150" i="16"/>
  <c r="T151" i="16"/>
  <c r="T152" i="16"/>
  <c r="T153" i="16"/>
  <c r="T154" i="16"/>
  <c r="T155" i="16"/>
  <c r="T156" i="16"/>
  <c r="T157" i="16"/>
  <c r="T158" i="16"/>
  <c r="T159" i="16"/>
  <c r="T160" i="16"/>
  <c r="T161" i="16"/>
  <c r="T162" i="16"/>
  <c r="T163" i="16"/>
  <c r="T164" i="16"/>
  <c r="T165" i="16"/>
  <c r="T166" i="16"/>
  <c r="T167" i="16"/>
  <c r="T168" i="16"/>
  <c r="T169" i="16"/>
  <c r="T170" i="16"/>
  <c r="T171" i="16"/>
  <c r="T172" i="16"/>
  <c r="T173" i="16"/>
  <c r="T174" i="16"/>
  <c r="T175" i="16"/>
  <c r="T176" i="16"/>
  <c r="T177" i="16"/>
  <c r="T178" i="16"/>
  <c r="T179" i="16"/>
  <c r="T180" i="16"/>
  <c r="T181" i="16"/>
  <c r="T182" i="16"/>
  <c r="T183" i="16"/>
  <c r="T184" i="16"/>
  <c r="T185" i="16"/>
  <c r="T186" i="16"/>
  <c r="T187" i="16"/>
  <c r="T188" i="16"/>
  <c r="T189" i="16"/>
  <c r="T190" i="16"/>
  <c r="T191" i="16"/>
  <c r="T192" i="16"/>
  <c r="T193" i="16"/>
  <c r="T194" i="16"/>
  <c r="T110" i="16"/>
  <c r="T111" i="16"/>
  <c r="T112" i="16"/>
  <c r="T113" i="16"/>
  <c r="T114" i="16"/>
  <c r="T115" i="16"/>
  <c r="T116" i="16"/>
  <c r="T117" i="16"/>
  <c r="T118" i="16"/>
  <c r="T119" i="16"/>
  <c r="T120" i="16"/>
  <c r="T121" i="16"/>
  <c r="T122" i="16"/>
  <c r="T123" i="16"/>
  <c r="T124" i="16"/>
  <c r="T125" i="16"/>
  <c r="T99" i="16"/>
  <c r="T100" i="16"/>
  <c r="T101" i="16"/>
  <c r="T102" i="16"/>
  <c r="T103" i="16"/>
  <c r="T104" i="16"/>
  <c r="T105" i="16"/>
  <c r="T106" i="16"/>
  <c r="T107" i="16"/>
  <c r="T108" i="16"/>
  <c r="T109" i="16"/>
  <c r="T88" i="16"/>
  <c r="T89" i="16"/>
  <c r="T90" i="16"/>
  <c r="T91" i="16"/>
  <c r="T92" i="16"/>
  <c r="T93" i="16"/>
  <c r="T94" i="16"/>
  <c r="T95" i="16"/>
  <c r="T96" i="16"/>
  <c r="T97" i="16"/>
  <c r="T98" i="16"/>
  <c r="T81" i="16"/>
  <c r="T82" i="16"/>
  <c r="T83" i="16"/>
  <c r="T84" i="16"/>
  <c r="T85" i="16"/>
  <c r="T86" i="16"/>
  <c r="T87" i="16"/>
  <c r="T76" i="16"/>
  <c r="T77" i="16"/>
  <c r="T78" i="16"/>
  <c r="T79" i="16"/>
  <c r="T80" i="16"/>
  <c r="T71" i="16"/>
  <c r="T72" i="16"/>
  <c r="T73" i="16"/>
  <c r="T74" i="16"/>
  <c r="T75" i="16"/>
  <c r="T65" i="16"/>
  <c r="T66" i="16"/>
  <c r="T67" i="16"/>
  <c r="T68" i="16"/>
  <c r="T69" i="16"/>
  <c r="T70" i="16"/>
  <c r="T4" i="16"/>
  <c r="T5" i="16"/>
  <c r="T6" i="16"/>
  <c r="T7" i="16"/>
  <c r="T8" i="16"/>
  <c r="T9" i="16"/>
  <c r="T10" i="16"/>
  <c r="T11" i="16"/>
  <c r="T12" i="16"/>
  <c r="T13" i="16"/>
  <c r="T14" i="16"/>
  <c r="T15" i="16"/>
  <c r="T16" i="16"/>
  <c r="T17" i="16"/>
  <c r="T18" i="16"/>
  <c r="T19" i="16"/>
  <c r="T20" i="16"/>
  <c r="T21" i="16"/>
  <c r="T22" i="16"/>
  <c r="T23" i="16"/>
  <c r="T24" i="16"/>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3" i="16"/>
  <c r="BF12" i="2"/>
  <c r="J194" i="11"/>
  <c r="J193" i="11"/>
  <c r="J192" i="11"/>
  <c r="J191" i="11"/>
  <c r="J189" i="11"/>
  <c r="J188" i="11"/>
  <c r="J187" i="11"/>
  <c r="J186" i="11"/>
  <c r="J185" i="11"/>
  <c r="J183" i="11"/>
  <c r="J182" i="11"/>
  <c r="J181" i="11"/>
  <c r="J180" i="11"/>
  <c r="J179" i="11"/>
  <c r="J178" i="11"/>
  <c r="J177" i="11"/>
  <c r="J176" i="11"/>
  <c r="J175" i="11"/>
  <c r="J174" i="11"/>
  <c r="J173" i="11"/>
  <c r="J172" i="11"/>
  <c r="J171" i="11"/>
  <c r="J170" i="11"/>
  <c r="J169" i="11"/>
  <c r="J168" i="11"/>
  <c r="J167" i="11"/>
  <c r="J166" i="11"/>
  <c r="J165" i="11"/>
  <c r="J164" i="11"/>
  <c r="J163" i="11"/>
  <c r="J162" i="11"/>
  <c r="J161" i="11"/>
  <c r="J160" i="11"/>
  <c r="J159" i="11"/>
  <c r="J158" i="11"/>
  <c r="J156" i="11"/>
  <c r="J155" i="11"/>
  <c r="J154" i="11"/>
  <c r="J153" i="11"/>
  <c r="J152" i="11"/>
  <c r="J151" i="11"/>
  <c r="J150" i="11"/>
  <c r="J149" i="11"/>
  <c r="J148" i="11"/>
  <c r="J147" i="11"/>
  <c r="J146" i="11"/>
  <c r="J145" i="11"/>
  <c r="J144" i="11"/>
  <c r="J143" i="11"/>
  <c r="J142" i="11"/>
  <c r="J141" i="11"/>
  <c r="J140" i="11"/>
  <c r="J139" i="11"/>
  <c r="J138" i="11"/>
  <c r="J137" i="11"/>
  <c r="J136" i="11"/>
  <c r="J135" i="11"/>
  <c r="J134" i="11"/>
  <c r="J133" i="11"/>
  <c r="J132" i="11"/>
  <c r="J131" i="11"/>
  <c r="J130" i="11"/>
  <c r="J129" i="11"/>
  <c r="J128" i="11"/>
  <c r="J126" i="11"/>
  <c r="J125" i="11"/>
  <c r="J124" i="11"/>
  <c r="J123" i="11"/>
  <c r="J122" i="11"/>
  <c r="J121" i="11"/>
  <c r="J120" i="11"/>
  <c r="J119" i="11"/>
  <c r="J118" i="11"/>
  <c r="J117" i="11"/>
  <c r="J116" i="11"/>
  <c r="J115" i="11"/>
  <c r="J114" i="11"/>
  <c r="J113" i="11"/>
  <c r="J112" i="11"/>
  <c r="J111" i="11"/>
  <c r="J110" i="11"/>
  <c r="J109" i="11"/>
  <c r="J108" i="11"/>
  <c r="J107" i="11"/>
  <c r="J106" i="11"/>
  <c r="J105" i="11"/>
  <c r="J104" i="11"/>
  <c r="J103" i="11"/>
  <c r="J101" i="11"/>
  <c r="J100" i="11"/>
  <c r="J99" i="11"/>
  <c r="J98" i="11"/>
  <c r="J97" i="11"/>
  <c r="J96" i="11"/>
  <c r="J95" i="11"/>
  <c r="J94" i="11"/>
  <c r="J93" i="11"/>
  <c r="J92" i="11"/>
  <c r="J91" i="11"/>
  <c r="J90" i="11"/>
  <c r="J89" i="11"/>
  <c r="J88" i="11"/>
  <c r="J87" i="11"/>
  <c r="J86" i="11"/>
  <c r="J85" i="11"/>
  <c r="J84" i="11"/>
  <c r="J83" i="11"/>
  <c r="J81" i="11"/>
  <c r="J80" i="11"/>
  <c r="J79" i="11"/>
  <c r="J78" i="11"/>
  <c r="J76" i="11"/>
  <c r="J75" i="11"/>
  <c r="J74" i="11"/>
  <c r="J73" i="11"/>
  <c r="J72" i="11"/>
  <c r="J71" i="11"/>
  <c r="J70" i="11"/>
  <c r="J69" i="11"/>
  <c r="J68" i="11"/>
  <c r="J67" i="11"/>
  <c r="J66" i="11"/>
  <c r="J65" i="11"/>
  <c r="J64" i="11"/>
  <c r="J63" i="11"/>
  <c r="J62" i="11"/>
  <c r="J61" i="11"/>
  <c r="J60" i="11"/>
  <c r="J59" i="11"/>
  <c r="J58" i="11"/>
  <c r="J57" i="11"/>
  <c r="J56" i="11"/>
  <c r="J55" i="11"/>
  <c r="J54" i="11"/>
  <c r="J53" i="11"/>
  <c r="J51" i="11"/>
  <c r="J50" i="11"/>
  <c r="J49" i="11"/>
  <c r="J48" i="11"/>
  <c r="J47" i="11"/>
  <c r="J46" i="11"/>
  <c r="J45" i="11"/>
  <c r="J44" i="11"/>
  <c r="J43" i="11"/>
  <c r="J42" i="11"/>
  <c r="J41" i="11"/>
  <c r="J39" i="11"/>
  <c r="J38" i="11"/>
  <c r="J37" i="11"/>
  <c r="J36" i="11"/>
  <c r="J35" i="11"/>
  <c r="J34" i="11"/>
  <c r="J33" i="11"/>
  <c r="J32" i="11"/>
  <c r="J31" i="11"/>
  <c r="J30" i="11"/>
  <c r="J28" i="11"/>
  <c r="J27" i="11"/>
  <c r="J26" i="11"/>
  <c r="J25" i="11"/>
  <c r="J24" i="11"/>
  <c r="J23" i="11"/>
  <c r="J22" i="11"/>
  <c r="J21" i="11"/>
  <c r="J20" i="11"/>
  <c r="J19" i="11"/>
  <c r="J18" i="11"/>
  <c r="J16" i="11"/>
  <c r="J15" i="11"/>
  <c r="J14" i="11"/>
  <c r="J13" i="11"/>
  <c r="J12" i="11"/>
  <c r="J11" i="11"/>
  <c r="J10" i="11"/>
  <c r="J9" i="11"/>
  <c r="J8" i="11"/>
  <c r="J7" i="11"/>
  <c r="J194" i="9"/>
  <c r="J193" i="9"/>
  <c r="J192" i="9"/>
  <c r="J191" i="9"/>
  <c r="J189" i="9"/>
  <c r="J188" i="9"/>
  <c r="J187" i="9"/>
  <c r="J186" i="9"/>
  <c r="J185"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6" i="9"/>
  <c r="J155" i="9"/>
  <c r="J154" i="9"/>
  <c r="J153" i="9"/>
  <c r="J152" i="9"/>
  <c r="J151" i="9"/>
  <c r="J150" i="9"/>
  <c r="J149" i="9"/>
  <c r="J148" i="9"/>
  <c r="J147" i="9"/>
  <c r="J146" i="9"/>
  <c r="J145" i="9"/>
  <c r="J144" i="9"/>
  <c r="J143" i="9"/>
  <c r="J142" i="9"/>
  <c r="J141" i="9"/>
  <c r="J140" i="9"/>
  <c r="J139" i="9"/>
  <c r="J138" i="9"/>
  <c r="J137" i="9"/>
  <c r="J136" i="9"/>
  <c r="J135" i="9"/>
  <c r="J134" i="9"/>
  <c r="J133" i="9"/>
  <c r="J132" i="9"/>
  <c r="J131" i="9"/>
  <c r="J130" i="9"/>
  <c r="J129" i="9"/>
  <c r="J128" i="9"/>
  <c r="J126" i="9"/>
  <c r="J125" i="9"/>
  <c r="J124" i="9"/>
  <c r="J123" i="9"/>
  <c r="J122" i="9"/>
  <c r="J121" i="9"/>
  <c r="J120" i="9"/>
  <c r="J119" i="9"/>
  <c r="J118" i="9"/>
  <c r="J117" i="9"/>
  <c r="J116" i="9"/>
  <c r="J115" i="9"/>
  <c r="J114" i="9"/>
  <c r="J113" i="9"/>
  <c r="J112" i="9"/>
  <c r="J111" i="9"/>
  <c r="J110" i="9"/>
  <c r="J109" i="9"/>
  <c r="J108" i="9"/>
  <c r="J107" i="9"/>
  <c r="J106" i="9"/>
  <c r="J105" i="9"/>
  <c r="J104" i="9"/>
  <c r="J103" i="9"/>
  <c r="J101" i="9"/>
  <c r="J100" i="9"/>
  <c r="J99" i="9"/>
  <c r="J98" i="9"/>
  <c r="J97" i="9"/>
  <c r="J96" i="9"/>
  <c r="J95" i="9"/>
  <c r="J94" i="9"/>
  <c r="J93" i="9"/>
  <c r="J92" i="9"/>
  <c r="J91" i="9"/>
  <c r="J90" i="9"/>
  <c r="J89" i="9"/>
  <c r="J88" i="9"/>
  <c r="J87" i="9"/>
  <c r="J86" i="9"/>
  <c r="J85" i="9"/>
  <c r="J84" i="9"/>
  <c r="J83" i="9"/>
  <c r="J81" i="9"/>
  <c r="J80" i="9"/>
  <c r="J79" i="9"/>
  <c r="J78" i="9"/>
  <c r="J76" i="9"/>
  <c r="J75" i="9"/>
  <c r="J74" i="9"/>
  <c r="J73" i="9"/>
  <c r="J72" i="9"/>
  <c r="J71" i="9"/>
  <c r="J70" i="9"/>
  <c r="J69" i="9"/>
  <c r="J68" i="9"/>
  <c r="J67" i="9"/>
  <c r="J66" i="9"/>
  <c r="J65" i="9"/>
  <c r="J64" i="9"/>
  <c r="J63" i="9"/>
  <c r="J62" i="9"/>
  <c r="J61" i="9"/>
  <c r="J60" i="9"/>
  <c r="J59" i="9"/>
  <c r="J58" i="9"/>
  <c r="J57" i="9"/>
  <c r="J56" i="9"/>
  <c r="J55" i="9"/>
  <c r="J54" i="9"/>
  <c r="J53" i="9"/>
  <c r="J51" i="9"/>
  <c r="J50" i="9"/>
  <c r="J49" i="9"/>
  <c r="J48" i="9"/>
  <c r="J47" i="9"/>
  <c r="J46" i="9"/>
  <c r="J45" i="9"/>
  <c r="J44" i="9"/>
  <c r="J43" i="9"/>
  <c r="J42" i="9"/>
  <c r="J41" i="9"/>
  <c r="J39" i="9"/>
  <c r="J38" i="9"/>
  <c r="J37" i="9"/>
  <c r="J36" i="9"/>
  <c r="J35" i="9"/>
  <c r="J34" i="9"/>
  <c r="J33" i="9"/>
  <c r="J32" i="9"/>
  <c r="J31" i="9"/>
  <c r="J30" i="9"/>
  <c r="J28" i="9"/>
  <c r="J27" i="9"/>
  <c r="J26" i="9"/>
  <c r="J25" i="9"/>
  <c r="J24" i="9"/>
  <c r="J23" i="9"/>
  <c r="J22" i="9"/>
  <c r="J21" i="9"/>
  <c r="J20" i="9"/>
  <c r="J19" i="9"/>
  <c r="J18" i="9"/>
  <c r="J16" i="9"/>
  <c r="J15" i="9"/>
  <c r="J14" i="9"/>
  <c r="J13" i="9"/>
  <c r="J12" i="9"/>
  <c r="J11" i="9"/>
  <c r="J10" i="9"/>
  <c r="J9" i="9"/>
  <c r="J8" i="9"/>
  <c r="J7" i="9"/>
  <c r="J194" i="16"/>
  <c r="J193" i="16"/>
  <c r="J192" i="16"/>
  <c r="J191" i="16"/>
  <c r="J189" i="16"/>
  <c r="J188" i="16"/>
  <c r="J187" i="16"/>
  <c r="J186" i="16"/>
  <c r="J185" i="16"/>
  <c r="J183" i="16"/>
  <c r="J182" i="16"/>
  <c r="J181" i="16"/>
  <c r="J180" i="16"/>
  <c r="J179" i="16"/>
  <c r="J178" i="16"/>
  <c r="J177" i="16"/>
  <c r="J176" i="16"/>
  <c r="J175" i="16"/>
  <c r="J174" i="16"/>
  <c r="J173" i="16"/>
  <c r="J172" i="16"/>
  <c r="J171" i="16"/>
  <c r="J170" i="16"/>
  <c r="J169" i="16"/>
  <c r="J168" i="16"/>
  <c r="J167" i="16"/>
  <c r="J166" i="16"/>
  <c r="J165" i="16"/>
  <c r="J164" i="16"/>
  <c r="J163" i="16"/>
  <c r="J162" i="16"/>
  <c r="J161" i="16"/>
  <c r="J160" i="16"/>
  <c r="J159" i="16"/>
  <c r="J158" i="16"/>
  <c r="J156" i="16"/>
  <c r="J155" i="16"/>
  <c r="J154" i="16"/>
  <c r="J153" i="16"/>
  <c r="J152" i="16"/>
  <c r="J151" i="16"/>
  <c r="J150" i="16"/>
  <c r="J149" i="16"/>
  <c r="J148" i="16"/>
  <c r="J147" i="16"/>
  <c r="J146" i="16"/>
  <c r="J145" i="16"/>
  <c r="J144" i="16"/>
  <c r="J143" i="16"/>
  <c r="J142" i="16"/>
  <c r="J141" i="16"/>
  <c r="J140" i="16"/>
  <c r="J139" i="16"/>
  <c r="J138" i="16"/>
  <c r="J137" i="16"/>
  <c r="J136" i="16"/>
  <c r="J135" i="16"/>
  <c r="J134" i="16"/>
  <c r="J133" i="16"/>
  <c r="J132" i="16"/>
  <c r="J131" i="16"/>
  <c r="J130" i="16"/>
  <c r="J129" i="16"/>
  <c r="J128" i="16"/>
  <c r="J126" i="16"/>
  <c r="J125" i="16"/>
  <c r="J124" i="16"/>
  <c r="J123" i="16"/>
  <c r="J122" i="16"/>
  <c r="J121" i="16"/>
  <c r="J120" i="16"/>
  <c r="J119" i="16"/>
  <c r="J118" i="16"/>
  <c r="J117" i="16"/>
  <c r="J116" i="16"/>
  <c r="J115" i="16"/>
  <c r="J114" i="16"/>
  <c r="J113" i="16"/>
  <c r="J112" i="16"/>
  <c r="J111" i="16"/>
  <c r="J110" i="16"/>
  <c r="J109" i="16"/>
  <c r="J108" i="16"/>
  <c r="J107" i="16"/>
  <c r="J106" i="16"/>
  <c r="J105" i="16"/>
  <c r="J104" i="16"/>
  <c r="J103" i="16"/>
  <c r="J101" i="16"/>
  <c r="J100" i="16"/>
  <c r="J99" i="16"/>
  <c r="J98" i="16"/>
  <c r="J97" i="16"/>
  <c r="J96" i="16"/>
  <c r="J95" i="16"/>
  <c r="J94" i="16"/>
  <c r="J93" i="16"/>
  <c r="J92" i="16"/>
  <c r="J91" i="16"/>
  <c r="J90" i="16"/>
  <c r="J89" i="16"/>
  <c r="J88" i="16"/>
  <c r="J87" i="16"/>
  <c r="J86" i="16"/>
  <c r="J85" i="16"/>
  <c r="J84" i="16"/>
  <c r="J83" i="16"/>
  <c r="J81" i="16"/>
  <c r="J80" i="16"/>
  <c r="J79" i="16"/>
  <c r="J78" i="16"/>
  <c r="J76" i="16"/>
  <c r="J75" i="16"/>
  <c r="J74" i="16"/>
  <c r="J73" i="16"/>
  <c r="J72" i="16"/>
  <c r="J71" i="16"/>
  <c r="J70" i="16"/>
  <c r="J69" i="16"/>
  <c r="J68" i="16"/>
  <c r="J67" i="16"/>
  <c r="J66" i="16"/>
  <c r="J65" i="16"/>
  <c r="J64" i="16"/>
  <c r="J63" i="16"/>
  <c r="J62" i="16"/>
  <c r="J61" i="16"/>
  <c r="J60" i="16"/>
  <c r="J59" i="16"/>
  <c r="J58" i="16"/>
  <c r="J57" i="16"/>
  <c r="J56" i="16"/>
  <c r="J55" i="16"/>
  <c r="J54" i="16"/>
  <c r="J53" i="16"/>
  <c r="J51" i="16"/>
  <c r="J50" i="16"/>
  <c r="J49" i="16"/>
  <c r="J48" i="16"/>
  <c r="J47" i="16"/>
  <c r="J46" i="16"/>
  <c r="J45" i="16"/>
  <c r="J44" i="16"/>
  <c r="J43" i="16"/>
  <c r="J42" i="16"/>
  <c r="J41" i="16"/>
  <c r="J39" i="16"/>
  <c r="J38" i="16"/>
  <c r="J37" i="16"/>
  <c r="J36" i="16"/>
  <c r="J35" i="16"/>
  <c r="J34" i="16"/>
  <c r="J33" i="16"/>
  <c r="J32" i="16"/>
  <c r="J31" i="16"/>
  <c r="J30" i="16"/>
  <c r="J28" i="16"/>
  <c r="J27" i="16"/>
  <c r="J26" i="16"/>
  <c r="J25" i="16"/>
  <c r="J24" i="16"/>
  <c r="J23" i="16"/>
  <c r="J22" i="16"/>
  <c r="J21" i="16"/>
  <c r="J20" i="16"/>
  <c r="J19" i="16"/>
  <c r="J18" i="16"/>
  <c r="J16" i="16"/>
  <c r="J15" i="16"/>
  <c r="J14" i="16"/>
  <c r="J13" i="16"/>
  <c r="J12" i="16"/>
  <c r="J11" i="16"/>
  <c r="J10" i="16"/>
  <c r="J9" i="16"/>
  <c r="J8" i="16"/>
  <c r="J7" i="16"/>
  <c r="L194" i="11"/>
  <c r="D194" i="11"/>
  <c r="B194" i="11"/>
  <c r="L193" i="11"/>
  <c r="D193" i="11"/>
  <c r="B193" i="11"/>
  <c r="L192" i="11"/>
  <c r="D192" i="11"/>
  <c r="B192" i="11"/>
  <c r="L191" i="11"/>
  <c r="D191" i="11"/>
  <c r="B191" i="11"/>
  <c r="Y190" i="11"/>
  <c r="X190" i="11"/>
  <c r="W190" i="11"/>
  <c r="V190" i="11"/>
  <c r="J190" i="11"/>
  <c r="U190" i="11"/>
  <c r="L190" i="11"/>
  <c r="D190" i="11"/>
  <c r="B190" i="11"/>
  <c r="L189" i="11"/>
  <c r="C189" i="11"/>
  <c r="D189" i="11"/>
  <c r="B189" i="11"/>
  <c r="L188" i="11"/>
  <c r="D188" i="11"/>
  <c r="B188" i="11"/>
  <c r="L187" i="11"/>
  <c r="D187" i="11"/>
  <c r="B187" i="11"/>
  <c r="L186" i="11"/>
  <c r="D186" i="11"/>
  <c r="B186" i="11"/>
  <c r="L185" i="11"/>
  <c r="D185" i="11"/>
  <c r="B185" i="11"/>
  <c r="Y184" i="11"/>
  <c r="X184" i="11"/>
  <c r="W184" i="11"/>
  <c r="V184" i="11"/>
  <c r="J184" i="11"/>
  <c r="U184" i="11"/>
  <c r="L184" i="11"/>
  <c r="D184" i="11"/>
  <c r="B184" i="11"/>
  <c r="L183" i="11"/>
  <c r="D183" i="11"/>
  <c r="B183" i="11"/>
  <c r="L182" i="11"/>
  <c r="D182" i="11"/>
  <c r="B182" i="11"/>
  <c r="L181" i="11"/>
  <c r="D181" i="11"/>
  <c r="B181" i="11"/>
  <c r="L180" i="11"/>
  <c r="D180" i="11"/>
  <c r="B180" i="11"/>
  <c r="L179" i="11"/>
  <c r="D179" i="11"/>
  <c r="B179" i="11"/>
  <c r="L178" i="11"/>
  <c r="D178" i="11"/>
  <c r="B178" i="11"/>
  <c r="L177" i="11"/>
  <c r="D177" i="11"/>
  <c r="B177" i="11"/>
  <c r="L176" i="11"/>
  <c r="D176" i="11"/>
  <c r="B176" i="11"/>
  <c r="L175" i="11"/>
  <c r="D175" i="11"/>
  <c r="B175" i="11"/>
  <c r="L174" i="11"/>
  <c r="C174" i="11"/>
  <c r="D174" i="11"/>
  <c r="B174" i="11"/>
  <c r="L173" i="11"/>
  <c r="D173" i="11"/>
  <c r="B173" i="11"/>
  <c r="L172" i="11"/>
  <c r="D172" i="11"/>
  <c r="B172" i="11"/>
  <c r="L171" i="11"/>
  <c r="D171" i="11"/>
  <c r="B171" i="11"/>
  <c r="L170" i="11"/>
  <c r="D170" i="11"/>
  <c r="B170" i="11"/>
  <c r="L169" i="11"/>
  <c r="D169" i="11"/>
  <c r="B169" i="11"/>
  <c r="L168" i="11"/>
  <c r="D168" i="11"/>
  <c r="B168" i="11"/>
  <c r="L167" i="11"/>
  <c r="C167" i="11"/>
  <c r="D167" i="11"/>
  <c r="B167" i="11"/>
  <c r="L166" i="11"/>
  <c r="D166" i="11"/>
  <c r="B166" i="11"/>
  <c r="L165" i="11"/>
  <c r="D165" i="11"/>
  <c r="B165" i="11"/>
  <c r="L164" i="11"/>
  <c r="D164" i="11"/>
  <c r="B164" i="11"/>
  <c r="L163" i="11"/>
  <c r="D163" i="11"/>
  <c r="B163" i="11"/>
  <c r="L162" i="11"/>
  <c r="C162" i="11"/>
  <c r="D162" i="11"/>
  <c r="B162" i="11"/>
  <c r="L161" i="11"/>
  <c r="D161" i="11"/>
  <c r="B161" i="11"/>
  <c r="L160" i="11"/>
  <c r="D160" i="11"/>
  <c r="B160" i="11"/>
  <c r="L159" i="11"/>
  <c r="D159" i="11"/>
  <c r="B159" i="11"/>
  <c r="L158" i="11"/>
  <c r="D158" i="11"/>
  <c r="B158" i="11"/>
  <c r="Y157" i="11"/>
  <c r="X157" i="11"/>
  <c r="W157" i="11"/>
  <c r="V157" i="11"/>
  <c r="J157" i="11"/>
  <c r="U157" i="11"/>
  <c r="L157" i="11"/>
  <c r="D157" i="11"/>
  <c r="B157" i="11"/>
  <c r="L156" i="11"/>
  <c r="C156" i="11"/>
  <c r="D156" i="11"/>
  <c r="B156" i="11"/>
  <c r="L155" i="11"/>
  <c r="D155" i="11"/>
  <c r="B155" i="11"/>
  <c r="L154" i="11"/>
  <c r="D154" i="11"/>
  <c r="B154" i="11"/>
  <c r="L153" i="11"/>
  <c r="D153" i="11"/>
  <c r="B153" i="11"/>
  <c r="L152" i="11"/>
  <c r="D152" i="11"/>
  <c r="B152" i="11"/>
  <c r="L151" i="11"/>
  <c r="C151" i="11"/>
  <c r="D151" i="11"/>
  <c r="B151" i="11"/>
  <c r="L150" i="11"/>
  <c r="D150" i="11"/>
  <c r="B150" i="11"/>
  <c r="L149" i="11"/>
  <c r="D149" i="11"/>
  <c r="B149" i="11"/>
  <c r="L148" i="11"/>
  <c r="D148" i="11"/>
  <c r="B148" i="11"/>
  <c r="L147" i="11"/>
  <c r="D147" i="11"/>
  <c r="B147" i="11"/>
  <c r="L146" i="11"/>
  <c r="D146" i="11"/>
  <c r="B146" i="11"/>
  <c r="L145" i="11"/>
  <c r="D145" i="11"/>
  <c r="C145" i="11"/>
  <c r="B145" i="11"/>
  <c r="L144" i="11"/>
  <c r="D144" i="11"/>
  <c r="B144" i="11"/>
  <c r="L143" i="11"/>
  <c r="D143" i="11"/>
  <c r="B143" i="11"/>
  <c r="L142" i="11"/>
  <c r="D142" i="11"/>
  <c r="B142" i="11"/>
  <c r="L141" i="11"/>
  <c r="D141" i="11"/>
  <c r="B141" i="11"/>
  <c r="L140" i="11"/>
  <c r="D140" i="11"/>
  <c r="B140" i="11"/>
  <c r="L139" i="11"/>
  <c r="D139" i="11"/>
  <c r="B139" i="11"/>
  <c r="L138" i="11"/>
  <c r="D138" i="11"/>
  <c r="C138" i="11"/>
  <c r="B138" i="11"/>
  <c r="L137" i="11"/>
  <c r="D137" i="11"/>
  <c r="B137" i="11"/>
  <c r="L136" i="11"/>
  <c r="D136" i="11"/>
  <c r="B136" i="11"/>
  <c r="L135" i="11"/>
  <c r="D135" i="11"/>
  <c r="B135" i="11"/>
  <c r="L134" i="11"/>
  <c r="D134" i="11"/>
  <c r="B134" i="11"/>
  <c r="L133" i="11"/>
  <c r="D133" i="11"/>
  <c r="B133" i="11"/>
  <c r="L132" i="11"/>
  <c r="D132" i="11"/>
  <c r="B132" i="11"/>
  <c r="L131" i="11"/>
  <c r="D131" i="11"/>
  <c r="B131" i="11"/>
  <c r="L130" i="11"/>
  <c r="D130" i="11"/>
  <c r="B130" i="11"/>
  <c r="L129" i="11"/>
  <c r="D129" i="11"/>
  <c r="B129" i="11"/>
  <c r="L128" i="11"/>
  <c r="D128" i="11"/>
  <c r="B128" i="11"/>
  <c r="Y127" i="11"/>
  <c r="X127" i="11"/>
  <c r="W127" i="11"/>
  <c r="V127" i="11"/>
  <c r="J127" i="11"/>
  <c r="U127" i="11"/>
  <c r="L127" i="11"/>
  <c r="D127" i="11"/>
  <c r="B127" i="11"/>
  <c r="L126" i="11"/>
  <c r="C126" i="11"/>
  <c r="D126" i="11"/>
  <c r="B126" i="11"/>
  <c r="L125" i="11"/>
  <c r="D125" i="11"/>
  <c r="B125" i="11"/>
  <c r="L124" i="11"/>
  <c r="D124" i="11"/>
  <c r="B124" i="11"/>
  <c r="D123" i="11"/>
  <c r="B123" i="11"/>
  <c r="L122" i="11"/>
  <c r="C122" i="11"/>
  <c r="D122" i="11"/>
  <c r="B122" i="11"/>
  <c r="L121" i="11"/>
  <c r="D121" i="11"/>
  <c r="B121" i="11"/>
  <c r="L120" i="11"/>
  <c r="D120" i="11"/>
  <c r="B120" i="11"/>
  <c r="L119" i="11"/>
  <c r="D119" i="11"/>
  <c r="B119" i="11"/>
  <c r="L118" i="11"/>
  <c r="D118" i="11"/>
  <c r="B118" i="11"/>
  <c r="L117" i="11"/>
  <c r="C117" i="11"/>
  <c r="D117" i="11"/>
  <c r="B117" i="11"/>
  <c r="N116" i="11"/>
  <c r="L116" i="11"/>
  <c r="D116" i="11"/>
  <c r="B116" i="11"/>
  <c r="L115" i="11"/>
  <c r="D115" i="11"/>
  <c r="B115" i="11"/>
  <c r="L114" i="11"/>
  <c r="D114" i="11"/>
  <c r="B114" i="11"/>
  <c r="L113" i="11"/>
  <c r="D113" i="11"/>
  <c r="B113" i="11"/>
  <c r="L112" i="11"/>
  <c r="D112" i="11"/>
  <c r="B112" i="11"/>
  <c r="N111" i="11"/>
  <c r="L111" i="11"/>
  <c r="D111" i="11"/>
  <c r="B111" i="11"/>
  <c r="L110" i="11"/>
  <c r="D110" i="11"/>
  <c r="B110" i="11"/>
  <c r="L109" i="11"/>
  <c r="D109" i="11"/>
  <c r="B109" i="11"/>
  <c r="L108" i="11"/>
  <c r="D108" i="11"/>
  <c r="B108" i="11"/>
  <c r="L107" i="11"/>
  <c r="D107" i="11"/>
  <c r="B107" i="11"/>
  <c r="L106" i="11"/>
  <c r="D106" i="11"/>
  <c r="B106" i="11"/>
  <c r="L105" i="11"/>
  <c r="D105" i="11"/>
  <c r="B105" i="11"/>
  <c r="L104" i="11"/>
  <c r="C104" i="11"/>
  <c r="D104" i="11"/>
  <c r="B104" i="11"/>
  <c r="L103" i="11"/>
  <c r="D103" i="11"/>
  <c r="B103" i="11"/>
  <c r="Y102" i="11"/>
  <c r="X102" i="11"/>
  <c r="W102" i="11"/>
  <c r="V102" i="11"/>
  <c r="J102" i="11"/>
  <c r="U102" i="11"/>
  <c r="L102" i="11"/>
  <c r="D102" i="11"/>
  <c r="B102" i="11"/>
  <c r="L101" i="11"/>
  <c r="D101" i="11"/>
  <c r="B101" i="11"/>
  <c r="L100" i="11"/>
  <c r="D100" i="11"/>
  <c r="B100" i="11"/>
  <c r="L99" i="11"/>
  <c r="C99" i="11"/>
  <c r="D99" i="11"/>
  <c r="B99" i="11"/>
  <c r="L98" i="11"/>
  <c r="D98" i="11"/>
  <c r="B98" i="11"/>
  <c r="L97" i="11"/>
  <c r="D97" i="11"/>
  <c r="B97" i="11"/>
  <c r="L96" i="11"/>
  <c r="D96" i="11"/>
  <c r="B96" i="11"/>
  <c r="L95" i="11"/>
  <c r="D95" i="11"/>
  <c r="B95" i="11"/>
  <c r="L94" i="11"/>
  <c r="D94" i="11"/>
  <c r="B94" i="11"/>
  <c r="L93" i="11"/>
  <c r="D93" i="11"/>
  <c r="B93" i="11"/>
  <c r="L92" i="11"/>
  <c r="D92" i="11"/>
  <c r="B92" i="11"/>
  <c r="L91" i="11"/>
  <c r="D91" i="11"/>
  <c r="B91" i="11"/>
  <c r="L90" i="11"/>
  <c r="D90" i="11"/>
  <c r="B90" i="11"/>
  <c r="L89" i="11"/>
  <c r="D89" i="11"/>
  <c r="B89" i="11"/>
  <c r="L88" i="11"/>
  <c r="C88" i="11"/>
  <c r="D88" i="11"/>
  <c r="B88" i="11"/>
  <c r="L87" i="11"/>
  <c r="D87" i="11"/>
  <c r="B87" i="11"/>
  <c r="L86" i="11"/>
  <c r="D86" i="11"/>
  <c r="B86" i="11"/>
  <c r="L85" i="11"/>
  <c r="D85" i="11"/>
  <c r="B85" i="11"/>
  <c r="L84" i="11"/>
  <c r="D84" i="11"/>
  <c r="B84" i="11"/>
  <c r="L83" i="11"/>
  <c r="D83" i="11"/>
  <c r="B83" i="11"/>
  <c r="Y82" i="11"/>
  <c r="X82" i="11"/>
  <c r="W82" i="11"/>
  <c r="V82" i="11"/>
  <c r="J82" i="11"/>
  <c r="U82" i="11"/>
  <c r="L82" i="11"/>
  <c r="D82" i="11"/>
  <c r="B82" i="11"/>
  <c r="L81" i="11"/>
  <c r="C81" i="11"/>
  <c r="D81" i="11"/>
  <c r="B81" i="11"/>
  <c r="L80" i="11"/>
  <c r="D80" i="11"/>
  <c r="B80" i="11"/>
  <c r="L79" i="11"/>
  <c r="D79" i="11"/>
  <c r="B79" i="11"/>
  <c r="L78" i="11"/>
  <c r="D78" i="11"/>
  <c r="B78" i="11"/>
  <c r="Y77" i="11"/>
  <c r="X77" i="11"/>
  <c r="W77" i="11"/>
  <c r="V77" i="11"/>
  <c r="J77" i="11"/>
  <c r="U77" i="11"/>
  <c r="L77" i="11"/>
  <c r="D77" i="11"/>
  <c r="B77" i="11"/>
  <c r="L76" i="11"/>
  <c r="C76" i="11"/>
  <c r="D76" i="11"/>
  <c r="B76" i="11"/>
  <c r="L75" i="11"/>
  <c r="D75" i="11"/>
  <c r="B75" i="11"/>
  <c r="L74" i="11"/>
  <c r="D74" i="11"/>
  <c r="B74" i="11"/>
  <c r="L73" i="11"/>
  <c r="D73" i="11"/>
  <c r="B73" i="11"/>
  <c r="L72" i="11"/>
  <c r="D72" i="11"/>
  <c r="B72" i="11"/>
  <c r="L71" i="11"/>
  <c r="C71" i="11"/>
  <c r="D71" i="11"/>
  <c r="B71" i="11"/>
  <c r="L70" i="11"/>
  <c r="D70" i="11"/>
  <c r="B70" i="11"/>
  <c r="L69" i="11"/>
  <c r="D69" i="11"/>
  <c r="B69" i="11"/>
  <c r="L68" i="11"/>
  <c r="D68" i="11"/>
  <c r="B68" i="11"/>
  <c r="L67" i="11"/>
  <c r="D67" i="11"/>
  <c r="B67" i="11"/>
  <c r="L66" i="11"/>
  <c r="D66" i="11"/>
  <c r="B66" i="11"/>
  <c r="L65" i="11"/>
  <c r="D65" i="11"/>
  <c r="B65" i="11"/>
  <c r="L64" i="11"/>
  <c r="D64" i="11"/>
  <c r="B64" i="11"/>
  <c r="L63" i="11"/>
  <c r="D63" i="11"/>
  <c r="B63" i="11"/>
  <c r="L62" i="11"/>
  <c r="D62" i="11"/>
  <c r="B62" i="11"/>
  <c r="L61" i="11"/>
  <c r="D61" i="11"/>
  <c r="B61" i="11"/>
  <c r="L60" i="11"/>
  <c r="D60" i="11"/>
  <c r="B60" i="11"/>
  <c r="L59" i="11"/>
  <c r="D59" i="11"/>
  <c r="B59" i="11"/>
  <c r="L58" i="11"/>
  <c r="D58" i="11"/>
  <c r="B58" i="11"/>
  <c r="L57" i="11"/>
  <c r="D57" i="11"/>
  <c r="B57" i="11"/>
  <c r="L56" i="11"/>
  <c r="C56" i="11"/>
  <c r="D56" i="11"/>
  <c r="B56" i="11"/>
  <c r="L55" i="11"/>
  <c r="D55" i="11"/>
  <c r="B55" i="11"/>
  <c r="L54" i="11"/>
  <c r="D54" i="11"/>
  <c r="B54" i="11"/>
  <c r="L53" i="11"/>
  <c r="D53" i="11"/>
  <c r="B53" i="11"/>
  <c r="Y52" i="11"/>
  <c r="X52" i="11"/>
  <c r="W52" i="11"/>
  <c r="V52" i="11"/>
  <c r="J52" i="11"/>
  <c r="U52" i="11"/>
  <c r="L52" i="11"/>
  <c r="D52" i="11"/>
  <c r="B52" i="11"/>
  <c r="L51" i="11"/>
  <c r="C51" i="11"/>
  <c r="D51" i="11"/>
  <c r="B51" i="11"/>
  <c r="L50" i="11"/>
  <c r="D50" i="11"/>
  <c r="B50" i="11"/>
  <c r="L49" i="11"/>
  <c r="D49" i="11"/>
  <c r="B49" i="11"/>
  <c r="L48" i="11"/>
  <c r="D48" i="11"/>
  <c r="B48" i="11"/>
  <c r="L47" i="11"/>
  <c r="D47" i="11"/>
  <c r="B47" i="11"/>
  <c r="L46" i="11"/>
  <c r="D46" i="11"/>
  <c r="B46" i="11"/>
  <c r="L45" i="11"/>
  <c r="C45" i="11"/>
  <c r="D45" i="11"/>
  <c r="B45" i="11"/>
  <c r="L44" i="11"/>
  <c r="D44" i="11"/>
  <c r="B44" i="11"/>
  <c r="L43" i="11"/>
  <c r="D43" i="11"/>
  <c r="B43" i="11"/>
  <c r="L42" i="11"/>
  <c r="D42" i="11"/>
  <c r="B42" i="11"/>
  <c r="L41" i="11"/>
  <c r="D41" i="11"/>
  <c r="B41" i="11"/>
  <c r="Y40" i="11"/>
  <c r="X40" i="11"/>
  <c r="W40" i="11"/>
  <c r="V40" i="11"/>
  <c r="J40" i="11"/>
  <c r="U40" i="11"/>
  <c r="L40" i="11"/>
  <c r="D40" i="11"/>
  <c r="B40" i="11"/>
  <c r="L39" i="11"/>
  <c r="C39" i="11"/>
  <c r="D39" i="11"/>
  <c r="B39" i="11"/>
  <c r="L38" i="11"/>
  <c r="D38" i="11"/>
  <c r="B38" i="11"/>
  <c r="L37" i="11"/>
  <c r="D37" i="11"/>
  <c r="B37" i="11"/>
  <c r="L36" i="11"/>
  <c r="D36" i="11"/>
  <c r="B36" i="11"/>
  <c r="L35" i="11"/>
  <c r="D35" i="11"/>
  <c r="B35" i="11"/>
  <c r="L34" i="11"/>
  <c r="D34" i="11"/>
  <c r="B34" i="11"/>
  <c r="L33" i="11"/>
  <c r="D33" i="11"/>
  <c r="B33" i="11"/>
  <c r="L32" i="11"/>
  <c r="D32" i="11"/>
  <c r="B32" i="11"/>
  <c r="L31" i="11"/>
  <c r="D31" i="11"/>
  <c r="B31" i="11"/>
  <c r="L30" i="11"/>
  <c r="D30" i="11"/>
  <c r="B30" i="11"/>
  <c r="Y29" i="11"/>
  <c r="X29" i="11"/>
  <c r="W29" i="11"/>
  <c r="V29" i="11"/>
  <c r="J29" i="11"/>
  <c r="U29" i="11"/>
  <c r="L29" i="11"/>
  <c r="D29" i="11"/>
  <c r="B29" i="11"/>
  <c r="L28" i="11"/>
  <c r="C28" i="11"/>
  <c r="D28" i="11"/>
  <c r="B28" i="11"/>
  <c r="L27" i="11"/>
  <c r="D27" i="11"/>
  <c r="B27" i="11"/>
  <c r="L26" i="11"/>
  <c r="D26" i="11"/>
  <c r="B26" i="11"/>
  <c r="L25" i="11"/>
  <c r="D25" i="11"/>
  <c r="B25" i="11"/>
  <c r="L24" i="11"/>
  <c r="D24" i="11"/>
  <c r="B24" i="11"/>
  <c r="L23" i="11"/>
  <c r="D23" i="11"/>
  <c r="B23" i="11"/>
  <c r="L22" i="11"/>
  <c r="D22" i="11"/>
  <c r="B22" i="11"/>
  <c r="L21" i="11"/>
  <c r="D21" i="11"/>
  <c r="B21" i="11"/>
  <c r="L20" i="11"/>
  <c r="D20" i="11"/>
  <c r="B20" i="11"/>
  <c r="L19" i="11"/>
  <c r="D19" i="11"/>
  <c r="B19" i="11"/>
  <c r="L18" i="11"/>
  <c r="D18" i="11"/>
  <c r="B18" i="11"/>
  <c r="Y17" i="11"/>
  <c r="X17" i="11"/>
  <c r="W17" i="11"/>
  <c r="V17" i="11"/>
  <c r="J17" i="11"/>
  <c r="U17" i="11"/>
  <c r="L17" i="11"/>
  <c r="D17" i="11"/>
  <c r="B17" i="11"/>
  <c r="L16" i="11"/>
  <c r="D16" i="11"/>
  <c r="B16" i="11"/>
  <c r="L15" i="11"/>
  <c r="C15" i="11"/>
  <c r="D15" i="11"/>
  <c r="B15" i="11"/>
  <c r="L14" i="11"/>
  <c r="D14" i="11"/>
  <c r="B14" i="11"/>
  <c r="L13" i="11"/>
  <c r="D13" i="11"/>
  <c r="B13" i="11"/>
  <c r="L12" i="11"/>
  <c r="D12" i="11"/>
  <c r="B12" i="11"/>
  <c r="L11" i="11"/>
  <c r="C11" i="11"/>
  <c r="D11" i="11"/>
  <c r="B11" i="11"/>
  <c r="L10" i="11"/>
  <c r="D10" i="11"/>
  <c r="B10" i="11"/>
  <c r="L9" i="11"/>
  <c r="D9" i="11"/>
  <c r="B9" i="11"/>
  <c r="L8" i="11"/>
  <c r="D8" i="11"/>
  <c r="B8" i="11"/>
  <c r="L7" i="11"/>
  <c r="C7" i="11"/>
  <c r="D7" i="11"/>
  <c r="B7" i="11"/>
  <c r="L6" i="11"/>
  <c r="D6" i="11"/>
  <c r="B6" i="11"/>
  <c r="L5" i="11"/>
  <c r="D5" i="11"/>
  <c r="B5" i="11"/>
  <c r="L4" i="11"/>
  <c r="D4" i="11"/>
  <c r="B4" i="11"/>
  <c r="L3" i="11"/>
  <c r="D3" i="11"/>
  <c r="B3" i="11"/>
  <c r="L2" i="11"/>
  <c r="C2" i="11"/>
  <c r="D2" i="11"/>
  <c r="B2" i="11"/>
  <c r="L194" i="9"/>
  <c r="D194" i="9"/>
  <c r="B194" i="9"/>
  <c r="L193" i="9"/>
  <c r="D193" i="9"/>
  <c r="B193" i="9"/>
  <c r="L192" i="9"/>
  <c r="D192" i="9"/>
  <c r="B192" i="9"/>
  <c r="L191" i="9"/>
  <c r="D191" i="9"/>
  <c r="B191" i="9"/>
  <c r="Y190" i="9"/>
  <c r="X190" i="9"/>
  <c r="W190" i="9"/>
  <c r="V190" i="9"/>
  <c r="J190" i="9"/>
  <c r="U190" i="9"/>
  <c r="L190" i="9"/>
  <c r="D190" i="9"/>
  <c r="B190" i="9"/>
  <c r="L189" i="9"/>
  <c r="C189" i="9"/>
  <c r="D189" i="9"/>
  <c r="B189" i="9"/>
  <c r="L188" i="9"/>
  <c r="D188" i="9"/>
  <c r="B188" i="9"/>
  <c r="L187" i="9"/>
  <c r="D187" i="9"/>
  <c r="B187" i="9"/>
  <c r="L186" i="9"/>
  <c r="D186" i="9"/>
  <c r="B186" i="9"/>
  <c r="L185" i="9"/>
  <c r="D185" i="9"/>
  <c r="B185" i="9"/>
  <c r="Y184" i="9"/>
  <c r="X184" i="9"/>
  <c r="W184" i="9"/>
  <c r="V184" i="9"/>
  <c r="J184" i="9"/>
  <c r="U184" i="9"/>
  <c r="L184" i="9"/>
  <c r="D184" i="9"/>
  <c r="B184" i="9"/>
  <c r="L183" i="9"/>
  <c r="D183" i="9"/>
  <c r="B183" i="9"/>
  <c r="L182" i="9"/>
  <c r="D182" i="9"/>
  <c r="B182" i="9"/>
  <c r="L181" i="9"/>
  <c r="D181" i="9"/>
  <c r="B181" i="9"/>
  <c r="L180" i="9"/>
  <c r="D180" i="9"/>
  <c r="B180" i="9"/>
  <c r="L179" i="9"/>
  <c r="D179" i="9"/>
  <c r="B179" i="9"/>
  <c r="L178" i="9"/>
  <c r="D178" i="9"/>
  <c r="B178" i="9"/>
  <c r="L177" i="9"/>
  <c r="D177" i="9"/>
  <c r="B177" i="9"/>
  <c r="L176" i="9"/>
  <c r="D176" i="9"/>
  <c r="B176" i="9"/>
  <c r="L175" i="9"/>
  <c r="D175" i="9"/>
  <c r="B175" i="9"/>
  <c r="L174" i="9"/>
  <c r="C174" i="9"/>
  <c r="D174" i="9"/>
  <c r="B174" i="9"/>
  <c r="L173" i="9"/>
  <c r="D173" i="9"/>
  <c r="B173" i="9"/>
  <c r="L172" i="9"/>
  <c r="D172" i="9"/>
  <c r="B172" i="9"/>
  <c r="L171" i="9"/>
  <c r="D171" i="9"/>
  <c r="B171" i="9"/>
  <c r="L170" i="9"/>
  <c r="D170" i="9"/>
  <c r="B170" i="9"/>
  <c r="L169" i="9"/>
  <c r="D169" i="9"/>
  <c r="B169" i="9"/>
  <c r="L168" i="9"/>
  <c r="D168" i="9"/>
  <c r="B168" i="9"/>
  <c r="L167" i="9"/>
  <c r="C167" i="9"/>
  <c r="D167" i="9"/>
  <c r="B167" i="9"/>
  <c r="L166" i="9"/>
  <c r="D166" i="9"/>
  <c r="B166" i="9"/>
  <c r="L165" i="9"/>
  <c r="D165" i="9"/>
  <c r="B165" i="9"/>
  <c r="L164" i="9"/>
  <c r="D164" i="9"/>
  <c r="B164" i="9"/>
  <c r="L163" i="9"/>
  <c r="D163" i="9"/>
  <c r="B163" i="9"/>
  <c r="L162" i="9"/>
  <c r="C162" i="9"/>
  <c r="D162" i="9"/>
  <c r="B162" i="9"/>
  <c r="L161" i="9"/>
  <c r="D161" i="9"/>
  <c r="B161" i="9"/>
  <c r="L160" i="9"/>
  <c r="D160" i="9"/>
  <c r="B160" i="9"/>
  <c r="L159" i="9"/>
  <c r="D159" i="9"/>
  <c r="B159" i="9"/>
  <c r="L158" i="9"/>
  <c r="D158" i="9"/>
  <c r="B158" i="9"/>
  <c r="Y157" i="9"/>
  <c r="X157" i="9"/>
  <c r="W157" i="9"/>
  <c r="V157" i="9"/>
  <c r="J157" i="9"/>
  <c r="U157" i="9"/>
  <c r="L157" i="9"/>
  <c r="D157" i="9"/>
  <c r="B157" i="9"/>
  <c r="L156" i="9"/>
  <c r="C156" i="9"/>
  <c r="D156" i="9"/>
  <c r="B156" i="9"/>
  <c r="L155" i="9"/>
  <c r="D155" i="9"/>
  <c r="B155" i="9"/>
  <c r="L154" i="9"/>
  <c r="D154" i="9"/>
  <c r="B154" i="9"/>
  <c r="L153" i="9"/>
  <c r="D153" i="9"/>
  <c r="B153" i="9"/>
  <c r="L152" i="9"/>
  <c r="D152" i="9"/>
  <c r="B152" i="9"/>
  <c r="L151" i="9"/>
  <c r="C151" i="9"/>
  <c r="D151" i="9"/>
  <c r="B151" i="9"/>
  <c r="L150" i="9"/>
  <c r="D150" i="9"/>
  <c r="B150" i="9"/>
  <c r="L149" i="9"/>
  <c r="D149" i="9"/>
  <c r="B149" i="9"/>
  <c r="L148" i="9"/>
  <c r="D148" i="9"/>
  <c r="B148" i="9"/>
  <c r="L147" i="9"/>
  <c r="D147" i="9"/>
  <c r="B147" i="9"/>
  <c r="L146" i="9"/>
  <c r="D146" i="9"/>
  <c r="B146" i="9"/>
  <c r="L145" i="9"/>
  <c r="C145" i="9"/>
  <c r="D145" i="9"/>
  <c r="B145" i="9"/>
  <c r="L144" i="9"/>
  <c r="D144" i="9"/>
  <c r="B144" i="9"/>
  <c r="L143" i="9"/>
  <c r="D143" i="9"/>
  <c r="B143" i="9"/>
  <c r="L142" i="9"/>
  <c r="D142" i="9"/>
  <c r="B142" i="9"/>
  <c r="L141" i="9"/>
  <c r="D141" i="9"/>
  <c r="B141" i="9"/>
  <c r="L140" i="9"/>
  <c r="D140" i="9"/>
  <c r="B140" i="9"/>
  <c r="L139" i="9"/>
  <c r="D139" i="9"/>
  <c r="B139" i="9"/>
  <c r="L138" i="9"/>
  <c r="C138" i="9"/>
  <c r="D138" i="9"/>
  <c r="B138" i="9"/>
  <c r="L137" i="9"/>
  <c r="D137" i="9"/>
  <c r="B137" i="9"/>
  <c r="L136" i="9"/>
  <c r="D136" i="9"/>
  <c r="B136" i="9"/>
  <c r="L135" i="9"/>
  <c r="D135" i="9"/>
  <c r="B135" i="9"/>
  <c r="L134" i="9"/>
  <c r="D134" i="9"/>
  <c r="B134" i="9"/>
  <c r="L133" i="9"/>
  <c r="D133" i="9"/>
  <c r="B133" i="9"/>
  <c r="L132" i="9"/>
  <c r="D132" i="9"/>
  <c r="B132" i="9"/>
  <c r="L131" i="9"/>
  <c r="D131" i="9"/>
  <c r="B131" i="9"/>
  <c r="L130" i="9"/>
  <c r="D130" i="9"/>
  <c r="B130" i="9"/>
  <c r="L129" i="9"/>
  <c r="D129" i="9"/>
  <c r="B129" i="9"/>
  <c r="L128" i="9"/>
  <c r="D128" i="9"/>
  <c r="B128" i="9"/>
  <c r="Y127" i="9"/>
  <c r="X127" i="9"/>
  <c r="W127" i="9"/>
  <c r="V127" i="9"/>
  <c r="J127" i="9"/>
  <c r="U127" i="9"/>
  <c r="L127" i="9"/>
  <c r="D127" i="9"/>
  <c r="B127" i="9"/>
  <c r="L126" i="9"/>
  <c r="C126" i="9"/>
  <c r="D126" i="9"/>
  <c r="B126" i="9"/>
  <c r="L125" i="9"/>
  <c r="D125" i="9"/>
  <c r="B125" i="9"/>
  <c r="L124" i="9"/>
  <c r="D124" i="9"/>
  <c r="B124" i="9"/>
  <c r="D123" i="9"/>
  <c r="B123" i="9"/>
  <c r="L122" i="9"/>
  <c r="C122" i="9"/>
  <c r="D122" i="9"/>
  <c r="B122" i="9"/>
  <c r="L121" i="9"/>
  <c r="D121" i="9"/>
  <c r="B121" i="9"/>
  <c r="L120" i="9"/>
  <c r="D120" i="9"/>
  <c r="B120" i="9"/>
  <c r="L119" i="9"/>
  <c r="D119" i="9"/>
  <c r="B119" i="9"/>
  <c r="L118" i="9"/>
  <c r="D118" i="9"/>
  <c r="B118" i="9"/>
  <c r="L117" i="9"/>
  <c r="C117" i="9"/>
  <c r="D117" i="9"/>
  <c r="B117" i="9"/>
  <c r="N116" i="9"/>
  <c r="L116" i="9"/>
  <c r="D116" i="9"/>
  <c r="B116" i="9"/>
  <c r="L115" i="9"/>
  <c r="D115" i="9"/>
  <c r="B115" i="9"/>
  <c r="L114" i="9"/>
  <c r="D114" i="9"/>
  <c r="B114" i="9"/>
  <c r="L113" i="9"/>
  <c r="D113" i="9"/>
  <c r="B113" i="9"/>
  <c r="L112" i="9"/>
  <c r="D112" i="9"/>
  <c r="B112" i="9"/>
  <c r="N111" i="9"/>
  <c r="L111" i="9"/>
  <c r="D111" i="9"/>
  <c r="B111" i="9"/>
  <c r="L110" i="9"/>
  <c r="D110" i="9"/>
  <c r="B110" i="9"/>
  <c r="L109" i="9"/>
  <c r="D109" i="9"/>
  <c r="B109" i="9"/>
  <c r="L108" i="9"/>
  <c r="D108" i="9"/>
  <c r="B108" i="9"/>
  <c r="L107" i="9"/>
  <c r="D107" i="9"/>
  <c r="B107" i="9"/>
  <c r="L106" i="9"/>
  <c r="D106" i="9"/>
  <c r="B106" i="9"/>
  <c r="L105" i="9"/>
  <c r="D105" i="9"/>
  <c r="B105" i="9"/>
  <c r="L104" i="9"/>
  <c r="C104" i="9"/>
  <c r="D104" i="9"/>
  <c r="B104" i="9"/>
  <c r="L103" i="9"/>
  <c r="D103" i="9"/>
  <c r="B103" i="9"/>
  <c r="Y102" i="9"/>
  <c r="X102" i="9"/>
  <c r="W102" i="9"/>
  <c r="V102" i="9"/>
  <c r="J102" i="9"/>
  <c r="U102" i="9"/>
  <c r="L102" i="9"/>
  <c r="D102" i="9"/>
  <c r="B102" i="9"/>
  <c r="L101" i="9"/>
  <c r="D101" i="9"/>
  <c r="B101" i="9"/>
  <c r="L100" i="9"/>
  <c r="D100" i="9"/>
  <c r="B100" i="9"/>
  <c r="L99" i="9"/>
  <c r="C99" i="9"/>
  <c r="D99" i="9"/>
  <c r="B99" i="9"/>
  <c r="L98" i="9"/>
  <c r="D98" i="9"/>
  <c r="B98" i="9"/>
  <c r="L97" i="9"/>
  <c r="D97" i="9"/>
  <c r="B97" i="9"/>
  <c r="L96" i="9"/>
  <c r="D96" i="9"/>
  <c r="B96" i="9"/>
  <c r="L95" i="9"/>
  <c r="D95" i="9"/>
  <c r="B95" i="9"/>
  <c r="L94" i="9"/>
  <c r="D94" i="9"/>
  <c r="B94" i="9"/>
  <c r="L93" i="9"/>
  <c r="D93" i="9"/>
  <c r="B93" i="9"/>
  <c r="L92" i="9"/>
  <c r="D92" i="9"/>
  <c r="B92" i="9"/>
  <c r="L91" i="9"/>
  <c r="D91" i="9"/>
  <c r="B91" i="9"/>
  <c r="L90" i="9"/>
  <c r="D90" i="9"/>
  <c r="B90" i="9"/>
  <c r="L89" i="9"/>
  <c r="D89" i="9"/>
  <c r="B89" i="9"/>
  <c r="L88" i="9"/>
  <c r="C88" i="9"/>
  <c r="D88" i="9"/>
  <c r="B88" i="9"/>
  <c r="L87" i="9"/>
  <c r="D87" i="9"/>
  <c r="B87" i="9"/>
  <c r="L86" i="9"/>
  <c r="D86" i="9"/>
  <c r="B86" i="9"/>
  <c r="L85" i="9"/>
  <c r="D85" i="9"/>
  <c r="B85" i="9"/>
  <c r="L84" i="9"/>
  <c r="D84" i="9"/>
  <c r="B84" i="9"/>
  <c r="L83" i="9"/>
  <c r="D83" i="9"/>
  <c r="B83" i="9"/>
  <c r="Y82" i="9"/>
  <c r="X82" i="9"/>
  <c r="W82" i="9"/>
  <c r="V82" i="9"/>
  <c r="J82" i="9"/>
  <c r="U82" i="9"/>
  <c r="L82" i="9"/>
  <c r="D82" i="9"/>
  <c r="B82" i="9"/>
  <c r="L81" i="9"/>
  <c r="C81" i="9"/>
  <c r="D81" i="9"/>
  <c r="B81" i="9"/>
  <c r="L80" i="9"/>
  <c r="D80" i="9"/>
  <c r="B80" i="9"/>
  <c r="L79" i="9"/>
  <c r="D79" i="9"/>
  <c r="B79" i="9"/>
  <c r="L78" i="9"/>
  <c r="D78" i="9"/>
  <c r="B78" i="9"/>
  <c r="Y77" i="9"/>
  <c r="X77" i="9"/>
  <c r="W77" i="9"/>
  <c r="V77" i="9"/>
  <c r="J77" i="9"/>
  <c r="U77" i="9"/>
  <c r="L77" i="9"/>
  <c r="D77" i="9"/>
  <c r="B77" i="9"/>
  <c r="L76" i="9"/>
  <c r="C76" i="9"/>
  <c r="D76" i="9"/>
  <c r="B76" i="9"/>
  <c r="L75" i="9"/>
  <c r="D75" i="9"/>
  <c r="B75" i="9"/>
  <c r="L74" i="9"/>
  <c r="D74" i="9"/>
  <c r="B74" i="9"/>
  <c r="L73" i="9"/>
  <c r="D73" i="9"/>
  <c r="B73" i="9"/>
  <c r="L72" i="9"/>
  <c r="D72" i="9"/>
  <c r="B72" i="9"/>
  <c r="L71" i="9"/>
  <c r="C71" i="9"/>
  <c r="D71" i="9"/>
  <c r="B71" i="9"/>
  <c r="L70" i="9"/>
  <c r="D70" i="9"/>
  <c r="B70" i="9"/>
  <c r="L69" i="9"/>
  <c r="D69" i="9"/>
  <c r="B69" i="9"/>
  <c r="L68" i="9"/>
  <c r="D68" i="9"/>
  <c r="B68" i="9"/>
  <c r="L67" i="9"/>
  <c r="D67" i="9"/>
  <c r="B67" i="9"/>
  <c r="L66" i="9"/>
  <c r="D66" i="9"/>
  <c r="B66" i="9"/>
  <c r="L65" i="9"/>
  <c r="D65" i="9"/>
  <c r="B65" i="9"/>
  <c r="L64" i="9"/>
  <c r="D64" i="9"/>
  <c r="B64" i="9"/>
  <c r="L63" i="9"/>
  <c r="D63" i="9"/>
  <c r="B63" i="9"/>
  <c r="L62" i="9"/>
  <c r="D62" i="9"/>
  <c r="B62" i="9"/>
  <c r="L61" i="9"/>
  <c r="D61" i="9"/>
  <c r="B61" i="9"/>
  <c r="L60" i="9"/>
  <c r="D60" i="9"/>
  <c r="B60" i="9"/>
  <c r="L59" i="9"/>
  <c r="D59" i="9"/>
  <c r="B59" i="9"/>
  <c r="L58" i="9"/>
  <c r="D58" i="9"/>
  <c r="B58" i="9"/>
  <c r="L57" i="9"/>
  <c r="D57" i="9"/>
  <c r="B57" i="9"/>
  <c r="L56" i="9"/>
  <c r="C56" i="9"/>
  <c r="D56" i="9"/>
  <c r="B56" i="9"/>
  <c r="L55" i="9"/>
  <c r="D55" i="9"/>
  <c r="B55" i="9"/>
  <c r="L54" i="9"/>
  <c r="D54" i="9"/>
  <c r="B54" i="9"/>
  <c r="L53" i="9"/>
  <c r="D53" i="9"/>
  <c r="B53" i="9"/>
  <c r="Y52" i="9"/>
  <c r="X52" i="9"/>
  <c r="W52" i="9"/>
  <c r="V52" i="9"/>
  <c r="J52" i="9"/>
  <c r="U52" i="9"/>
  <c r="L52" i="9"/>
  <c r="D52" i="9"/>
  <c r="B52" i="9"/>
  <c r="L51" i="9"/>
  <c r="C51" i="9"/>
  <c r="D51" i="9"/>
  <c r="B51" i="9"/>
  <c r="L50" i="9"/>
  <c r="D50" i="9"/>
  <c r="B50" i="9"/>
  <c r="L49" i="9"/>
  <c r="D49" i="9"/>
  <c r="B49" i="9"/>
  <c r="L48" i="9"/>
  <c r="D48" i="9"/>
  <c r="B48" i="9"/>
  <c r="L47" i="9"/>
  <c r="D47" i="9"/>
  <c r="B47" i="9"/>
  <c r="L46" i="9"/>
  <c r="D46" i="9"/>
  <c r="B46" i="9"/>
  <c r="L45" i="9"/>
  <c r="C45" i="9"/>
  <c r="D45" i="9"/>
  <c r="B45" i="9"/>
  <c r="L44" i="9"/>
  <c r="D44" i="9"/>
  <c r="B44" i="9"/>
  <c r="L43" i="9"/>
  <c r="D43" i="9"/>
  <c r="B43" i="9"/>
  <c r="L42" i="9"/>
  <c r="D42" i="9"/>
  <c r="B42" i="9"/>
  <c r="L41" i="9"/>
  <c r="D41" i="9"/>
  <c r="B41" i="9"/>
  <c r="Y40" i="9"/>
  <c r="X40" i="9"/>
  <c r="W40" i="9"/>
  <c r="V40" i="9"/>
  <c r="J40" i="9"/>
  <c r="U40" i="9"/>
  <c r="L40" i="9"/>
  <c r="D40" i="9"/>
  <c r="B40" i="9"/>
  <c r="L39" i="9"/>
  <c r="C39" i="9"/>
  <c r="D39" i="9"/>
  <c r="B39" i="9"/>
  <c r="L38" i="9"/>
  <c r="D38" i="9"/>
  <c r="B38" i="9"/>
  <c r="L37" i="9"/>
  <c r="D37" i="9"/>
  <c r="B37" i="9"/>
  <c r="L36" i="9"/>
  <c r="D36" i="9"/>
  <c r="B36" i="9"/>
  <c r="L35" i="9"/>
  <c r="D35" i="9"/>
  <c r="B35" i="9"/>
  <c r="L34" i="9"/>
  <c r="D34" i="9"/>
  <c r="B34" i="9"/>
  <c r="L33" i="9"/>
  <c r="D33" i="9"/>
  <c r="B33" i="9"/>
  <c r="L32" i="9"/>
  <c r="D32" i="9"/>
  <c r="B32" i="9"/>
  <c r="L31" i="9"/>
  <c r="D31" i="9"/>
  <c r="B31" i="9"/>
  <c r="L30" i="9"/>
  <c r="D30" i="9"/>
  <c r="B30" i="9"/>
  <c r="Y29" i="9"/>
  <c r="X29" i="9"/>
  <c r="W29" i="9"/>
  <c r="V29" i="9"/>
  <c r="J29" i="9"/>
  <c r="U29" i="9"/>
  <c r="L29" i="9"/>
  <c r="D29" i="9"/>
  <c r="B29" i="9"/>
  <c r="L28" i="9"/>
  <c r="C28" i="9"/>
  <c r="D28" i="9"/>
  <c r="B28" i="9"/>
  <c r="L27" i="9"/>
  <c r="D27" i="9"/>
  <c r="B27" i="9"/>
  <c r="L26" i="9"/>
  <c r="D26" i="9"/>
  <c r="B26" i="9"/>
  <c r="L25" i="9"/>
  <c r="D25" i="9"/>
  <c r="B25" i="9"/>
  <c r="L24" i="9"/>
  <c r="D24" i="9"/>
  <c r="B24" i="9"/>
  <c r="L23" i="9"/>
  <c r="D23" i="9"/>
  <c r="B23" i="9"/>
  <c r="L22" i="9"/>
  <c r="D22" i="9"/>
  <c r="B22" i="9"/>
  <c r="L21" i="9"/>
  <c r="D21" i="9"/>
  <c r="B21" i="9"/>
  <c r="L20" i="9"/>
  <c r="D20" i="9"/>
  <c r="B20" i="9"/>
  <c r="L19" i="9"/>
  <c r="D19" i="9"/>
  <c r="B19" i="9"/>
  <c r="L18" i="9"/>
  <c r="D18" i="9"/>
  <c r="B18" i="9"/>
  <c r="Y17" i="9"/>
  <c r="X17" i="9"/>
  <c r="W17" i="9"/>
  <c r="V17" i="9"/>
  <c r="J17" i="9"/>
  <c r="U17" i="9"/>
  <c r="L17" i="9"/>
  <c r="D17" i="9"/>
  <c r="B17" i="9"/>
  <c r="L16" i="9"/>
  <c r="D16" i="9"/>
  <c r="B16" i="9"/>
  <c r="L15" i="9"/>
  <c r="C15" i="9"/>
  <c r="D15" i="9"/>
  <c r="B15" i="9"/>
  <c r="L14" i="9"/>
  <c r="D14" i="9"/>
  <c r="B14" i="9"/>
  <c r="L13" i="9"/>
  <c r="D13" i="9"/>
  <c r="B13" i="9"/>
  <c r="L12" i="9"/>
  <c r="D12" i="9"/>
  <c r="B12" i="9"/>
  <c r="L11" i="9"/>
  <c r="C11" i="9"/>
  <c r="D11" i="9"/>
  <c r="B11" i="9"/>
  <c r="L10" i="9"/>
  <c r="D10" i="9"/>
  <c r="B10" i="9"/>
  <c r="L9" i="9"/>
  <c r="D9" i="9"/>
  <c r="B9" i="9"/>
  <c r="L8" i="9"/>
  <c r="D8" i="9"/>
  <c r="B8" i="9"/>
  <c r="L7" i="9"/>
  <c r="C7" i="9"/>
  <c r="D7" i="9"/>
  <c r="B7" i="9"/>
  <c r="L6" i="9"/>
  <c r="D6" i="9"/>
  <c r="B6" i="9"/>
  <c r="L5" i="9"/>
  <c r="D5" i="9"/>
  <c r="B5" i="9"/>
  <c r="L4" i="9"/>
  <c r="D4" i="9"/>
  <c r="B4" i="9"/>
  <c r="L3" i="9"/>
  <c r="D3" i="9"/>
  <c r="B3" i="9"/>
  <c r="L2" i="9"/>
  <c r="C2" i="9"/>
  <c r="D2" i="9"/>
  <c r="B2" i="9"/>
  <c r="L194" i="16"/>
  <c r="D194" i="16"/>
  <c r="B194" i="16"/>
  <c r="L193" i="16"/>
  <c r="D193" i="16"/>
  <c r="B193" i="16"/>
  <c r="L192" i="16"/>
  <c r="D192" i="16"/>
  <c r="B192" i="16"/>
  <c r="L191" i="16"/>
  <c r="D191" i="16"/>
  <c r="B191" i="16"/>
  <c r="Y190" i="16"/>
  <c r="X190" i="16"/>
  <c r="W190" i="16"/>
  <c r="V190" i="16"/>
  <c r="J190" i="16"/>
  <c r="U190" i="16"/>
  <c r="L190" i="16"/>
  <c r="D190" i="16"/>
  <c r="B190" i="16"/>
  <c r="L189" i="16"/>
  <c r="C189" i="16"/>
  <c r="D189" i="16"/>
  <c r="B189" i="16"/>
  <c r="L188" i="16"/>
  <c r="D188" i="16"/>
  <c r="B188" i="16"/>
  <c r="L187" i="16"/>
  <c r="D187" i="16"/>
  <c r="B187" i="16"/>
  <c r="L186" i="16"/>
  <c r="D186" i="16"/>
  <c r="B186" i="16"/>
  <c r="L185" i="16"/>
  <c r="D185" i="16"/>
  <c r="B185" i="16"/>
  <c r="Y184" i="16"/>
  <c r="X184" i="16"/>
  <c r="W184" i="16"/>
  <c r="V184" i="16"/>
  <c r="J184" i="16"/>
  <c r="U184" i="16"/>
  <c r="L184" i="16"/>
  <c r="D184" i="16"/>
  <c r="B184" i="16"/>
  <c r="L183" i="16"/>
  <c r="D183" i="16"/>
  <c r="B183" i="16"/>
  <c r="L182" i="16"/>
  <c r="D182" i="16"/>
  <c r="B182" i="16"/>
  <c r="L181" i="16"/>
  <c r="D181" i="16"/>
  <c r="B181" i="16"/>
  <c r="L180" i="16"/>
  <c r="D180" i="16"/>
  <c r="B180" i="16"/>
  <c r="L179" i="16"/>
  <c r="D179" i="16"/>
  <c r="B179" i="16"/>
  <c r="L178" i="16"/>
  <c r="D178" i="16"/>
  <c r="B178" i="16"/>
  <c r="L177" i="16"/>
  <c r="D177" i="16"/>
  <c r="B177" i="16"/>
  <c r="L176" i="16"/>
  <c r="D176" i="16"/>
  <c r="B176" i="16"/>
  <c r="L175" i="16"/>
  <c r="D175" i="16"/>
  <c r="B175" i="16"/>
  <c r="L174" i="16"/>
  <c r="C174" i="16"/>
  <c r="D174" i="16"/>
  <c r="B174" i="16"/>
  <c r="L173" i="16"/>
  <c r="D173" i="16"/>
  <c r="B173" i="16"/>
  <c r="L172" i="16"/>
  <c r="D172" i="16"/>
  <c r="B172" i="16"/>
  <c r="L171" i="16"/>
  <c r="D171" i="16"/>
  <c r="B171" i="16"/>
  <c r="L170" i="16"/>
  <c r="D170" i="16"/>
  <c r="B170" i="16"/>
  <c r="L169" i="16"/>
  <c r="D169" i="16"/>
  <c r="B169" i="16"/>
  <c r="L168" i="16"/>
  <c r="D168" i="16"/>
  <c r="B168" i="16"/>
  <c r="L167" i="16"/>
  <c r="C167" i="16"/>
  <c r="D167" i="16"/>
  <c r="B167" i="16"/>
  <c r="L166" i="16"/>
  <c r="D166" i="16"/>
  <c r="B166" i="16"/>
  <c r="L165" i="16"/>
  <c r="D165" i="16"/>
  <c r="B165" i="16"/>
  <c r="L164" i="16"/>
  <c r="D164" i="16"/>
  <c r="B164" i="16"/>
  <c r="L163" i="16"/>
  <c r="D163" i="16"/>
  <c r="B163" i="16"/>
  <c r="L162" i="16"/>
  <c r="C162" i="16"/>
  <c r="D162" i="16"/>
  <c r="B162" i="16"/>
  <c r="L161" i="16"/>
  <c r="D161" i="16"/>
  <c r="B161" i="16"/>
  <c r="L160" i="16"/>
  <c r="D160" i="16"/>
  <c r="B160" i="16"/>
  <c r="L159" i="16"/>
  <c r="D159" i="16"/>
  <c r="B159" i="16"/>
  <c r="L158" i="16"/>
  <c r="D158" i="16"/>
  <c r="B158" i="16"/>
  <c r="Y157" i="16"/>
  <c r="X157" i="16"/>
  <c r="W157" i="16"/>
  <c r="V157" i="16"/>
  <c r="J157" i="16"/>
  <c r="U157" i="16"/>
  <c r="L157" i="16"/>
  <c r="D157" i="16"/>
  <c r="B157" i="16"/>
  <c r="L156" i="16"/>
  <c r="C156" i="16"/>
  <c r="D156" i="16"/>
  <c r="B156" i="16"/>
  <c r="L155" i="16"/>
  <c r="D155" i="16"/>
  <c r="B155" i="16"/>
  <c r="L154" i="16"/>
  <c r="D154" i="16"/>
  <c r="B154" i="16"/>
  <c r="L153" i="16"/>
  <c r="D153" i="16"/>
  <c r="B153" i="16"/>
  <c r="L152" i="16"/>
  <c r="D152" i="16"/>
  <c r="B152" i="16"/>
  <c r="L151" i="16"/>
  <c r="C151" i="16"/>
  <c r="D151" i="16"/>
  <c r="B151" i="16"/>
  <c r="L150" i="16"/>
  <c r="D150" i="16"/>
  <c r="B150" i="16"/>
  <c r="L149" i="16"/>
  <c r="D149" i="16"/>
  <c r="B149" i="16"/>
  <c r="L148" i="16"/>
  <c r="D148" i="16"/>
  <c r="B148" i="16"/>
  <c r="L147" i="16"/>
  <c r="D147" i="16"/>
  <c r="B147" i="16"/>
  <c r="L146" i="16"/>
  <c r="D146" i="16"/>
  <c r="B146" i="16"/>
  <c r="L145" i="16"/>
  <c r="C145" i="16"/>
  <c r="D145" i="16"/>
  <c r="B145" i="16"/>
  <c r="L144" i="16"/>
  <c r="D144" i="16"/>
  <c r="B144" i="16"/>
  <c r="L143" i="16"/>
  <c r="D143" i="16"/>
  <c r="B143" i="16"/>
  <c r="L142" i="16"/>
  <c r="D142" i="16"/>
  <c r="B142" i="16"/>
  <c r="L141" i="16"/>
  <c r="D141" i="16"/>
  <c r="B141" i="16"/>
  <c r="L140" i="16"/>
  <c r="D140" i="16"/>
  <c r="B140" i="16"/>
  <c r="L139" i="16"/>
  <c r="D139" i="16"/>
  <c r="B139" i="16"/>
  <c r="L138" i="16"/>
  <c r="C138" i="16"/>
  <c r="D138" i="16"/>
  <c r="B138" i="16"/>
  <c r="L137" i="16"/>
  <c r="D137" i="16"/>
  <c r="B137" i="16"/>
  <c r="L136" i="16"/>
  <c r="D136" i="16"/>
  <c r="B136" i="16"/>
  <c r="L135" i="16"/>
  <c r="D135" i="16"/>
  <c r="B135" i="16"/>
  <c r="L134" i="16"/>
  <c r="D134" i="16"/>
  <c r="B134" i="16"/>
  <c r="L133" i="16"/>
  <c r="D133" i="16"/>
  <c r="B133" i="16"/>
  <c r="L132" i="16"/>
  <c r="D132" i="16"/>
  <c r="B132" i="16"/>
  <c r="L131" i="16"/>
  <c r="D131" i="16"/>
  <c r="B131" i="16"/>
  <c r="L130" i="16"/>
  <c r="D130" i="16"/>
  <c r="B130" i="16"/>
  <c r="L129" i="16"/>
  <c r="D129" i="16"/>
  <c r="B129" i="16"/>
  <c r="L128" i="16"/>
  <c r="D128" i="16"/>
  <c r="B128" i="16"/>
  <c r="Y127" i="16"/>
  <c r="X127" i="16"/>
  <c r="W127" i="16"/>
  <c r="V127" i="16"/>
  <c r="J127" i="16"/>
  <c r="U127" i="16"/>
  <c r="L127" i="16"/>
  <c r="D127" i="16"/>
  <c r="B127" i="16"/>
  <c r="L126" i="16"/>
  <c r="C126" i="16"/>
  <c r="D126" i="16"/>
  <c r="B126" i="16"/>
  <c r="L125" i="16"/>
  <c r="D125" i="16"/>
  <c r="B125" i="16"/>
  <c r="L124" i="16"/>
  <c r="D124" i="16"/>
  <c r="B124" i="16"/>
  <c r="D123" i="16"/>
  <c r="B123" i="16"/>
  <c r="L122" i="16"/>
  <c r="C122" i="16"/>
  <c r="D122" i="16"/>
  <c r="B122" i="16"/>
  <c r="L121" i="16"/>
  <c r="D121" i="16"/>
  <c r="B121" i="16"/>
  <c r="L120" i="16"/>
  <c r="D120" i="16"/>
  <c r="B120" i="16"/>
  <c r="L119" i="16"/>
  <c r="D119" i="16"/>
  <c r="B119" i="16"/>
  <c r="L118" i="16"/>
  <c r="D118" i="16"/>
  <c r="B118" i="16"/>
  <c r="L117" i="16"/>
  <c r="C117" i="16"/>
  <c r="D117" i="16"/>
  <c r="B117" i="16"/>
  <c r="N116" i="16"/>
  <c r="L116" i="16"/>
  <c r="D116" i="16"/>
  <c r="B116" i="16"/>
  <c r="L115" i="16"/>
  <c r="D115" i="16"/>
  <c r="B115" i="16"/>
  <c r="L114" i="16"/>
  <c r="D114" i="16"/>
  <c r="B114" i="16"/>
  <c r="L113" i="16"/>
  <c r="D113" i="16"/>
  <c r="B113" i="16"/>
  <c r="L112" i="16"/>
  <c r="D112" i="16"/>
  <c r="B112" i="16"/>
  <c r="N111" i="16"/>
  <c r="L111" i="16"/>
  <c r="D111" i="16"/>
  <c r="B111" i="16"/>
  <c r="L110" i="16"/>
  <c r="D110" i="16"/>
  <c r="B110" i="16"/>
  <c r="L109" i="16"/>
  <c r="D109" i="16"/>
  <c r="B109" i="16"/>
  <c r="L108" i="16"/>
  <c r="D108" i="16"/>
  <c r="B108" i="16"/>
  <c r="L107" i="16"/>
  <c r="D107" i="16"/>
  <c r="B107" i="16"/>
  <c r="L106" i="16"/>
  <c r="D106" i="16"/>
  <c r="B106" i="16"/>
  <c r="L105" i="16"/>
  <c r="D105" i="16"/>
  <c r="B105" i="16"/>
  <c r="L104" i="16"/>
  <c r="C104" i="16"/>
  <c r="D104" i="16"/>
  <c r="B104" i="16"/>
  <c r="L103" i="16"/>
  <c r="D103" i="16"/>
  <c r="B103" i="16"/>
  <c r="Y102" i="16"/>
  <c r="X102" i="16"/>
  <c r="W102" i="16"/>
  <c r="V102" i="16"/>
  <c r="J102" i="16"/>
  <c r="U102" i="16"/>
  <c r="L102" i="16"/>
  <c r="D102" i="16"/>
  <c r="B102" i="16"/>
  <c r="L101" i="16"/>
  <c r="D101" i="16"/>
  <c r="B101" i="16"/>
  <c r="L100" i="16"/>
  <c r="D100" i="16"/>
  <c r="B100" i="16"/>
  <c r="L99" i="16"/>
  <c r="C99" i="16"/>
  <c r="D99" i="16"/>
  <c r="B99" i="16"/>
  <c r="L98" i="16"/>
  <c r="D98" i="16"/>
  <c r="B98" i="16"/>
  <c r="L97" i="16"/>
  <c r="D97" i="16"/>
  <c r="B97" i="16"/>
  <c r="L96" i="16"/>
  <c r="D96" i="16"/>
  <c r="B96" i="16"/>
  <c r="L95" i="16"/>
  <c r="D95" i="16"/>
  <c r="B95" i="16"/>
  <c r="L94" i="16"/>
  <c r="D94" i="16"/>
  <c r="B94" i="16"/>
  <c r="L93" i="16"/>
  <c r="D93" i="16"/>
  <c r="B93" i="16"/>
  <c r="L92" i="16"/>
  <c r="D92" i="16"/>
  <c r="B92" i="16"/>
  <c r="L91" i="16"/>
  <c r="D91" i="16"/>
  <c r="B91" i="16"/>
  <c r="L90" i="16"/>
  <c r="D90" i="16"/>
  <c r="B90" i="16"/>
  <c r="L89" i="16"/>
  <c r="D89" i="16"/>
  <c r="B89" i="16"/>
  <c r="L88" i="16"/>
  <c r="C88" i="16"/>
  <c r="D88" i="16"/>
  <c r="B88" i="16"/>
  <c r="L87" i="16"/>
  <c r="D87" i="16"/>
  <c r="B87" i="16"/>
  <c r="L86" i="16"/>
  <c r="D86" i="16"/>
  <c r="B86" i="16"/>
  <c r="L85" i="16"/>
  <c r="D85" i="16"/>
  <c r="B85" i="16"/>
  <c r="L84" i="16"/>
  <c r="D84" i="16"/>
  <c r="B84" i="16"/>
  <c r="L83" i="16"/>
  <c r="D83" i="16"/>
  <c r="B83" i="16"/>
  <c r="Y82" i="16"/>
  <c r="X82" i="16"/>
  <c r="W82" i="16"/>
  <c r="V82" i="16"/>
  <c r="J82" i="16"/>
  <c r="U82" i="16"/>
  <c r="L82" i="16"/>
  <c r="D82" i="16"/>
  <c r="B82" i="16"/>
  <c r="L81" i="16"/>
  <c r="D81" i="16"/>
  <c r="C81" i="16"/>
  <c r="B81" i="16"/>
  <c r="L80" i="16"/>
  <c r="D80" i="16"/>
  <c r="B80" i="16"/>
  <c r="L79" i="16"/>
  <c r="D79" i="16"/>
  <c r="B79" i="16"/>
  <c r="L78" i="16"/>
  <c r="D78" i="16"/>
  <c r="B78" i="16"/>
  <c r="Y77" i="16"/>
  <c r="X77" i="16"/>
  <c r="W77" i="16"/>
  <c r="V77" i="16"/>
  <c r="J77" i="16"/>
  <c r="U77" i="16"/>
  <c r="L77" i="16"/>
  <c r="D77" i="16"/>
  <c r="B77" i="16"/>
  <c r="L76" i="16"/>
  <c r="C76" i="16"/>
  <c r="D76" i="16"/>
  <c r="B76" i="16"/>
  <c r="L75" i="16"/>
  <c r="D75" i="16"/>
  <c r="B75" i="16"/>
  <c r="L74" i="16"/>
  <c r="D74" i="16"/>
  <c r="B74" i="16"/>
  <c r="L73" i="16"/>
  <c r="D73" i="16"/>
  <c r="B73" i="16"/>
  <c r="L72" i="16"/>
  <c r="D72" i="16"/>
  <c r="B72" i="16"/>
  <c r="L71" i="16"/>
  <c r="C71" i="16"/>
  <c r="D71" i="16"/>
  <c r="B71" i="16"/>
  <c r="L70" i="16"/>
  <c r="D70" i="16"/>
  <c r="B70" i="16"/>
  <c r="L69" i="16"/>
  <c r="D69" i="16"/>
  <c r="B69" i="16"/>
  <c r="L68" i="16"/>
  <c r="D68" i="16"/>
  <c r="B68" i="16"/>
  <c r="L67" i="16"/>
  <c r="D67" i="16"/>
  <c r="B67" i="16"/>
  <c r="L66" i="16"/>
  <c r="D66" i="16"/>
  <c r="B66" i="16"/>
  <c r="L65" i="16"/>
  <c r="D65" i="16"/>
  <c r="B65" i="16"/>
  <c r="L64" i="16"/>
  <c r="D64" i="16"/>
  <c r="B64" i="16"/>
  <c r="L63" i="16"/>
  <c r="D63" i="16"/>
  <c r="B63" i="16"/>
  <c r="L62" i="16"/>
  <c r="D62" i="16"/>
  <c r="B62" i="16"/>
  <c r="L61" i="16"/>
  <c r="D61" i="16"/>
  <c r="B61" i="16"/>
  <c r="L60" i="16"/>
  <c r="D60" i="16"/>
  <c r="B60" i="16"/>
  <c r="L59" i="16"/>
  <c r="D59" i="16"/>
  <c r="B59" i="16"/>
  <c r="L58" i="16"/>
  <c r="D58" i="16"/>
  <c r="B58" i="16"/>
  <c r="L57" i="16"/>
  <c r="D57" i="16"/>
  <c r="B57" i="16"/>
  <c r="L56" i="16"/>
  <c r="C56" i="16"/>
  <c r="D56" i="16"/>
  <c r="B56" i="16"/>
  <c r="L55" i="16"/>
  <c r="D55" i="16"/>
  <c r="B55" i="16"/>
  <c r="L54" i="16"/>
  <c r="D54" i="16"/>
  <c r="B54" i="16"/>
  <c r="L53" i="16"/>
  <c r="D53" i="16"/>
  <c r="B53" i="16"/>
  <c r="Y52" i="16"/>
  <c r="X52" i="16"/>
  <c r="W52" i="16"/>
  <c r="V52" i="16"/>
  <c r="J52" i="16"/>
  <c r="U52" i="16"/>
  <c r="L52" i="16"/>
  <c r="D52" i="16"/>
  <c r="B52" i="16"/>
  <c r="L51" i="16"/>
  <c r="C51" i="16"/>
  <c r="D51" i="16"/>
  <c r="B51" i="16"/>
  <c r="L50" i="16"/>
  <c r="D50" i="16"/>
  <c r="B50" i="16"/>
  <c r="L49" i="16"/>
  <c r="D49" i="16"/>
  <c r="B49" i="16"/>
  <c r="L48" i="16"/>
  <c r="D48" i="16"/>
  <c r="B48" i="16"/>
  <c r="L47" i="16"/>
  <c r="D47" i="16"/>
  <c r="B47" i="16"/>
  <c r="L46" i="16"/>
  <c r="D46" i="16"/>
  <c r="B46" i="16"/>
  <c r="L45" i="16"/>
  <c r="C45" i="16"/>
  <c r="D45" i="16"/>
  <c r="B45" i="16"/>
  <c r="L44" i="16"/>
  <c r="D44" i="16"/>
  <c r="B44" i="16"/>
  <c r="L43" i="16"/>
  <c r="D43" i="16"/>
  <c r="B43" i="16"/>
  <c r="L42" i="16"/>
  <c r="D42" i="16"/>
  <c r="B42" i="16"/>
  <c r="L41" i="16"/>
  <c r="D41" i="16"/>
  <c r="B41" i="16"/>
  <c r="Y40" i="16"/>
  <c r="X40" i="16"/>
  <c r="W40" i="16"/>
  <c r="V40" i="16"/>
  <c r="J40" i="16"/>
  <c r="U40" i="16"/>
  <c r="L40" i="16"/>
  <c r="D40" i="16"/>
  <c r="B40" i="16"/>
  <c r="L39" i="16"/>
  <c r="C39" i="16"/>
  <c r="D39" i="16"/>
  <c r="B39" i="16"/>
  <c r="L38" i="16"/>
  <c r="D38" i="16"/>
  <c r="B38" i="16"/>
  <c r="L37" i="16"/>
  <c r="D37" i="16"/>
  <c r="B37" i="16"/>
  <c r="L36" i="16"/>
  <c r="D36" i="16"/>
  <c r="B36" i="16"/>
  <c r="L35" i="16"/>
  <c r="D35" i="16"/>
  <c r="B35" i="16"/>
  <c r="L34" i="16"/>
  <c r="D34" i="16"/>
  <c r="B34" i="16"/>
  <c r="L33" i="16"/>
  <c r="D33" i="16"/>
  <c r="B33" i="16"/>
  <c r="L32" i="16"/>
  <c r="D32" i="16"/>
  <c r="B32" i="16"/>
  <c r="L31" i="16"/>
  <c r="D31" i="16"/>
  <c r="B31" i="16"/>
  <c r="L30" i="16"/>
  <c r="D30" i="16"/>
  <c r="B30" i="16"/>
  <c r="Y29" i="16"/>
  <c r="X29" i="16"/>
  <c r="W29" i="16"/>
  <c r="V29" i="16"/>
  <c r="J29" i="16"/>
  <c r="U29" i="16"/>
  <c r="L29" i="16"/>
  <c r="D29" i="16"/>
  <c r="B29" i="16"/>
  <c r="L28" i="16"/>
  <c r="C28" i="16"/>
  <c r="D28" i="16"/>
  <c r="B28" i="16"/>
  <c r="L27" i="16"/>
  <c r="D27" i="16"/>
  <c r="B27" i="16"/>
  <c r="L26" i="16"/>
  <c r="D26" i="16"/>
  <c r="B26" i="16"/>
  <c r="L25" i="16"/>
  <c r="D25" i="16"/>
  <c r="B25" i="16"/>
  <c r="L24" i="16"/>
  <c r="D24" i="16"/>
  <c r="B24" i="16"/>
  <c r="L23" i="16"/>
  <c r="D23" i="16"/>
  <c r="B23" i="16"/>
  <c r="L22" i="16"/>
  <c r="D22" i="16"/>
  <c r="B22" i="16"/>
  <c r="L21" i="16"/>
  <c r="D21" i="16"/>
  <c r="B21" i="16"/>
  <c r="L20" i="16"/>
  <c r="D20" i="16"/>
  <c r="B20" i="16"/>
  <c r="L19" i="16"/>
  <c r="D19" i="16"/>
  <c r="B19" i="16"/>
  <c r="L18" i="16"/>
  <c r="D18" i="16"/>
  <c r="B18" i="16"/>
  <c r="Y17" i="16"/>
  <c r="X17" i="16"/>
  <c r="W17" i="16"/>
  <c r="V17" i="16"/>
  <c r="J17" i="16"/>
  <c r="U17" i="16"/>
  <c r="L17" i="16"/>
  <c r="D17" i="16"/>
  <c r="B17" i="16"/>
  <c r="L16" i="16"/>
  <c r="D16" i="16"/>
  <c r="B16" i="16"/>
  <c r="L15" i="16"/>
  <c r="C15" i="16"/>
  <c r="D15" i="16"/>
  <c r="B15" i="16"/>
  <c r="L14" i="16"/>
  <c r="D14" i="16"/>
  <c r="B14" i="16"/>
  <c r="L13" i="16"/>
  <c r="D13" i="16"/>
  <c r="B13" i="16"/>
  <c r="L12" i="16"/>
  <c r="D12" i="16"/>
  <c r="B12" i="16"/>
  <c r="L11" i="16"/>
  <c r="C11" i="16"/>
  <c r="D11" i="16"/>
  <c r="B11" i="16"/>
  <c r="L10" i="16"/>
  <c r="D10" i="16"/>
  <c r="B10" i="16"/>
  <c r="L9" i="16"/>
  <c r="D9" i="16"/>
  <c r="B9" i="16"/>
  <c r="L8" i="16"/>
  <c r="D8" i="16"/>
  <c r="B8" i="16"/>
  <c r="L7" i="16"/>
  <c r="C7" i="16"/>
  <c r="D7" i="16"/>
  <c r="B7" i="16"/>
  <c r="L6" i="16"/>
  <c r="D6" i="16"/>
  <c r="B6" i="16"/>
  <c r="L5" i="16"/>
  <c r="D5" i="16"/>
  <c r="B5" i="16"/>
  <c r="L4" i="16"/>
  <c r="D4" i="16"/>
  <c r="B4" i="16"/>
  <c r="L3" i="16"/>
  <c r="D3" i="16"/>
  <c r="B3" i="16"/>
  <c r="L2" i="16"/>
  <c r="C2" i="16"/>
  <c r="D2" i="16"/>
  <c r="B2" i="16"/>
  <c r="R22" i="17"/>
  <c r="R22" i="12"/>
  <c r="R22" i="10"/>
  <c r="R22" i="2"/>
  <c r="AV56" i="17"/>
  <c r="AV55" i="17"/>
  <c r="AV54" i="17"/>
  <c r="AV53" i="17"/>
  <c r="AV52" i="17"/>
  <c r="AV51" i="17"/>
  <c r="AV50" i="17"/>
  <c r="AV49" i="17"/>
  <c r="AV48" i="17"/>
  <c r="AV47" i="17"/>
  <c r="AV49" i="12"/>
  <c r="AV62" i="12" s="1"/>
  <c r="B76" i="12" s="1"/>
  <c r="AV50" i="12"/>
  <c r="AV51" i="12"/>
  <c r="AV52" i="12"/>
  <c r="AV53" i="12"/>
  <c r="AV54" i="12"/>
  <c r="AV55" i="12"/>
  <c r="AV56" i="12"/>
  <c r="AV57" i="12"/>
  <c r="AV58" i="12"/>
  <c r="AV59" i="12"/>
  <c r="AV61" i="12"/>
  <c r="AV61" i="10"/>
  <c r="AV60" i="10"/>
  <c r="AV59" i="10"/>
  <c r="AV58" i="10"/>
  <c r="AV57" i="10"/>
  <c r="AV56" i="10"/>
  <c r="AV55" i="10"/>
  <c r="AV54" i="10"/>
  <c r="AV53" i="10"/>
  <c r="AV52" i="10"/>
  <c r="AV50" i="10"/>
  <c r="AV48" i="10"/>
  <c r="AV47" i="10"/>
  <c r="AV47" i="2"/>
  <c r="AV48" i="2"/>
  <c r="AV50" i="2"/>
  <c r="AV51" i="2"/>
  <c r="AV52" i="2"/>
  <c r="AV53" i="2"/>
  <c r="AV54" i="2"/>
  <c r="AV55" i="2"/>
  <c r="E8" i="1"/>
  <c r="D8" i="1"/>
  <c r="C22" i="2"/>
  <c r="B73" i="17"/>
  <c r="B75" i="12"/>
  <c r="B74" i="10"/>
  <c r="B75" i="2"/>
  <c r="AR22" i="2"/>
  <c r="C22" i="17"/>
  <c r="C22" i="12"/>
  <c r="C22" i="10"/>
  <c r="C23" i="2"/>
  <c r="I8" i="1"/>
  <c r="F8" i="1"/>
  <c r="K8" i="1"/>
  <c r="K9" i="1"/>
  <c r="U11" i="1"/>
  <c r="U12" i="1"/>
  <c r="G12" i="1"/>
  <c r="G10" i="1"/>
  <c r="G9" i="1"/>
  <c r="G11" i="1"/>
  <c r="E12" i="1"/>
  <c r="E10" i="1"/>
  <c r="E9" i="1"/>
  <c r="E11" i="1"/>
  <c r="R10" i="1" s="1"/>
  <c r="D12" i="1"/>
  <c r="D10" i="1"/>
  <c r="D9" i="1"/>
  <c r="D11" i="1"/>
  <c r="G8" i="1"/>
  <c r="K12" i="1"/>
  <c r="K11" i="1"/>
  <c r="K10" i="1"/>
  <c r="L12" i="1"/>
  <c r="D37" i="1"/>
  <c r="F37" i="1"/>
  <c r="G37" i="1"/>
  <c r="D38" i="1"/>
  <c r="F38" i="1"/>
  <c r="G38" i="1"/>
  <c r="D39" i="1"/>
  <c r="F39" i="1"/>
  <c r="G39" i="1"/>
  <c r="D40" i="1"/>
  <c r="F40" i="1"/>
  <c r="G40" i="1"/>
  <c r="G36" i="1"/>
  <c r="F36" i="1"/>
  <c r="D36" i="1"/>
  <c r="C36" i="1"/>
  <c r="C37" i="1"/>
  <c r="C38" i="1"/>
  <c r="C39" i="1"/>
  <c r="C40" i="1"/>
  <c r="B20" i="17"/>
  <c r="B19" i="17"/>
  <c r="B20" i="2"/>
  <c r="B19" i="2"/>
  <c r="AW37" i="2"/>
  <c r="AW38" i="2"/>
  <c r="AW39" i="2"/>
  <c r="AW40" i="2"/>
  <c r="AW41" i="2"/>
  <c r="AW36" i="2"/>
  <c r="AW36" i="17"/>
  <c r="AW41" i="17"/>
  <c r="AW37" i="17"/>
  <c r="AW38" i="17"/>
  <c r="AW39" i="17"/>
  <c r="AW40" i="17"/>
  <c r="AU36" i="17"/>
  <c r="AT36" i="17"/>
  <c r="CA75" i="17"/>
  <c r="CA74" i="17"/>
  <c r="CA73" i="17"/>
  <c r="CA72" i="17"/>
  <c r="CA71" i="17"/>
  <c r="CC69" i="17"/>
  <c r="CC68" i="17"/>
  <c r="CC67" i="17"/>
  <c r="CC66" i="17"/>
  <c r="CC65" i="17"/>
  <c r="BY71" i="17"/>
  <c r="BY70" i="17"/>
  <c r="BY69" i="17"/>
  <c r="BY68" i="17"/>
  <c r="BY67" i="17"/>
  <c r="BW71" i="17"/>
  <c r="BW70" i="17"/>
  <c r="BW69" i="17"/>
  <c r="BW68" i="17"/>
  <c r="BW67" i="17"/>
  <c r="BU71" i="17"/>
  <c r="BU70" i="17"/>
  <c r="BU69" i="17"/>
  <c r="BU68" i="17"/>
  <c r="BU67" i="17"/>
  <c r="BS67" i="17"/>
  <c r="BS71" i="17"/>
  <c r="BS70" i="17"/>
  <c r="BS69" i="17"/>
  <c r="BS68" i="17"/>
  <c r="Q9" i="1"/>
  <c r="Q12" i="1"/>
  <c r="Q10" i="1"/>
  <c r="Q13" i="1" s="1"/>
  <c r="Q11" i="1"/>
  <c r="F35" i="1"/>
  <c r="C35" i="1"/>
  <c r="D35" i="1"/>
  <c r="BL46" i="17"/>
  <c r="BT46" i="17" s="1"/>
  <c r="BK46" i="17"/>
  <c r="AN20" i="17"/>
  <c r="AQ20" i="17" s="1"/>
  <c r="N20" i="17"/>
  <c r="M20" i="17"/>
  <c r="L20" i="17"/>
  <c r="K20" i="17"/>
  <c r="J20" i="17"/>
  <c r="I20" i="17"/>
  <c r="AA20" i="17" s="1"/>
  <c r="CA163" i="17"/>
  <c r="CA162" i="17"/>
  <c r="CA161" i="17"/>
  <c r="CA160" i="17"/>
  <c r="CA159" i="17"/>
  <c r="CA158" i="17"/>
  <c r="CA157" i="17"/>
  <c r="CA156" i="17"/>
  <c r="CB144" i="17"/>
  <c r="CA144" i="17"/>
  <c r="CB143" i="17"/>
  <c r="CA143" i="17"/>
  <c r="CB142" i="17"/>
  <c r="CA142" i="17"/>
  <c r="CB141" i="17"/>
  <c r="CA141" i="17"/>
  <c r="CB140" i="17"/>
  <c r="CA140" i="17"/>
  <c r="BY140" i="17"/>
  <c r="BX140" i="17"/>
  <c r="BW140" i="17"/>
  <c r="BV140" i="17"/>
  <c r="BU140" i="17"/>
  <c r="BT140" i="17"/>
  <c r="BS140" i="17"/>
  <c r="CB139" i="17"/>
  <c r="CA139" i="17"/>
  <c r="BY139" i="17"/>
  <c r="BX139" i="17"/>
  <c r="BW139" i="17"/>
  <c r="BV139" i="17"/>
  <c r="BU139" i="17"/>
  <c r="BT139" i="17"/>
  <c r="BS139" i="17"/>
  <c r="CB138" i="17"/>
  <c r="CA138" i="17"/>
  <c r="BY138" i="17"/>
  <c r="BX138" i="17"/>
  <c r="BW138" i="17"/>
  <c r="BV138" i="17"/>
  <c r="BU138" i="17"/>
  <c r="BT138" i="17"/>
  <c r="BS138" i="17"/>
  <c r="CB137" i="17"/>
  <c r="CA137" i="17"/>
  <c r="BY137" i="17"/>
  <c r="BX137" i="17"/>
  <c r="BW137" i="17"/>
  <c r="BV137" i="17"/>
  <c r="BU137" i="17"/>
  <c r="BT137" i="17"/>
  <c r="BS137" i="17"/>
  <c r="CB136" i="17"/>
  <c r="CA136" i="17"/>
  <c r="BY136" i="17"/>
  <c r="BX136" i="17"/>
  <c r="BW136" i="17"/>
  <c r="BV136" i="17"/>
  <c r="BU136" i="17"/>
  <c r="BT136" i="17"/>
  <c r="BS136" i="17"/>
  <c r="CB135" i="17"/>
  <c r="CA135" i="17"/>
  <c r="BY135" i="17"/>
  <c r="BX135" i="17"/>
  <c r="BW135" i="17"/>
  <c r="BV135" i="17"/>
  <c r="BU135" i="17"/>
  <c r="BT135" i="17"/>
  <c r="BS135" i="17"/>
  <c r="CB134" i="17"/>
  <c r="CA134" i="17"/>
  <c r="BY134" i="17"/>
  <c r="BX134" i="17"/>
  <c r="BW134" i="17"/>
  <c r="BV134" i="17"/>
  <c r="BU134" i="17"/>
  <c r="BT134" i="17"/>
  <c r="BS134" i="17"/>
  <c r="CB133" i="17"/>
  <c r="CA133" i="17"/>
  <c r="BY133" i="17"/>
  <c r="BX133" i="17"/>
  <c r="BW133" i="17"/>
  <c r="BV133" i="17"/>
  <c r="BU133" i="17"/>
  <c r="BT133" i="17"/>
  <c r="BS133" i="17"/>
  <c r="CB132" i="17"/>
  <c r="CA132" i="17"/>
  <c r="BY132" i="17"/>
  <c r="BX132" i="17"/>
  <c r="BW132" i="17"/>
  <c r="BV132" i="17"/>
  <c r="BU132" i="17"/>
  <c r="BT132" i="17"/>
  <c r="BS132" i="17"/>
  <c r="CB131" i="17"/>
  <c r="CA131" i="17"/>
  <c r="BZ131" i="17"/>
  <c r="BY131" i="17"/>
  <c r="BX131" i="17"/>
  <c r="BW131" i="17"/>
  <c r="BV131" i="17"/>
  <c r="BU131" i="17"/>
  <c r="BS131" i="17"/>
  <c r="CB130" i="17"/>
  <c r="CA130" i="17"/>
  <c r="BZ130" i="17"/>
  <c r="BY130" i="17"/>
  <c r="BX130" i="17"/>
  <c r="BW130" i="17"/>
  <c r="BV130" i="17"/>
  <c r="BU130" i="17"/>
  <c r="BS130" i="17"/>
  <c r="CC129" i="17"/>
  <c r="CB129" i="17"/>
  <c r="CA129" i="17"/>
  <c r="BZ129" i="17"/>
  <c r="BY129" i="17"/>
  <c r="BX129" i="17"/>
  <c r="BW129" i="17"/>
  <c r="BV129" i="17"/>
  <c r="BU129" i="17"/>
  <c r="BS129" i="17"/>
  <c r="CC128" i="17"/>
  <c r="CB128" i="17"/>
  <c r="CA128" i="17"/>
  <c r="BZ128" i="17"/>
  <c r="BY128" i="17"/>
  <c r="BX128" i="17"/>
  <c r="BW128" i="17"/>
  <c r="BV128" i="17"/>
  <c r="BU128" i="17"/>
  <c r="BS128" i="17"/>
  <c r="CC127" i="17"/>
  <c r="CB127" i="17"/>
  <c r="CA127" i="17"/>
  <c r="BZ127" i="17"/>
  <c r="BY127" i="17"/>
  <c r="BX127" i="17"/>
  <c r="BW127" i="17"/>
  <c r="BV127" i="17"/>
  <c r="BU127" i="17"/>
  <c r="BS127" i="17"/>
  <c r="CC126" i="17"/>
  <c r="CB126" i="17"/>
  <c r="CA126" i="17"/>
  <c r="BZ126" i="17"/>
  <c r="BY126" i="17"/>
  <c r="BX126" i="17"/>
  <c r="BW126" i="17"/>
  <c r="BV126" i="17"/>
  <c r="BU126" i="17"/>
  <c r="BS126" i="17"/>
  <c r="CC125" i="17"/>
  <c r="CB125" i="17"/>
  <c r="CA125" i="17"/>
  <c r="BZ125" i="17"/>
  <c r="BY125" i="17"/>
  <c r="BX125" i="17"/>
  <c r="BW125" i="17"/>
  <c r="BV125" i="17"/>
  <c r="BU125" i="17"/>
  <c r="BS125" i="17"/>
  <c r="CC124" i="17"/>
  <c r="CB124" i="17"/>
  <c r="CA124" i="17"/>
  <c r="BZ124" i="17"/>
  <c r="BY124" i="17"/>
  <c r="BX124" i="17"/>
  <c r="BW124" i="17"/>
  <c r="BV124" i="17"/>
  <c r="BU124" i="17"/>
  <c r="BS124" i="17"/>
  <c r="CC123" i="17"/>
  <c r="CB123" i="17"/>
  <c r="CA123" i="17"/>
  <c r="BZ123" i="17"/>
  <c r="BY123" i="17"/>
  <c r="BX123" i="17"/>
  <c r="BW123" i="17"/>
  <c r="BV123" i="17"/>
  <c r="BU123" i="17"/>
  <c r="BS123" i="17"/>
  <c r="CC122" i="17"/>
  <c r="CB122" i="17"/>
  <c r="CA122" i="17"/>
  <c r="BZ122" i="17"/>
  <c r="BY122" i="17"/>
  <c r="BX122" i="17"/>
  <c r="BW122" i="17"/>
  <c r="BV122" i="17"/>
  <c r="BU122" i="17"/>
  <c r="BS122" i="17"/>
  <c r="CC121" i="17"/>
  <c r="CB121" i="17"/>
  <c r="CA121" i="17"/>
  <c r="BZ121" i="17"/>
  <c r="BY121" i="17"/>
  <c r="BX121" i="17"/>
  <c r="BW121" i="17"/>
  <c r="BV121" i="17"/>
  <c r="BU121" i="17"/>
  <c r="BS121" i="17"/>
  <c r="CC120" i="17"/>
  <c r="CB120" i="17"/>
  <c r="CA120" i="17"/>
  <c r="BZ120" i="17"/>
  <c r="BY120" i="17"/>
  <c r="BX120" i="17"/>
  <c r="BW120" i="17"/>
  <c r="BV120" i="17"/>
  <c r="BU120" i="17"/>
  <c r="BS120" i="17"/>
  <c r="CC119" i="17"/>
  <c r="CB119" i="17"/>
  <c r="CA119" i="17"/>
  <c r="BZ119" i="17"/>
  <c r="BY119" i="17"/>
  <c r="BW119" i="17"/>
  <c r="BU119" i="17"/>
  <c r="BS119" i="17"/>
  <c r="CC118" i="17"/>
  <c r="CB118" i="17"/>
  <c r="CA118" i="17"/>
  <c r="BZ118" i="17"/>
  <c r="BY118" i="17"/>
  <c r="BW118" i="17"/>
  <c r="BU118" i="17"/>
  <c r="BS118" i="17"/>
  <c r="CC117" i="17"/>
  <c r="CB117" i="17"/>
  <c r="CA117" i="17"/>
  <c r="BZ117" i="17"/>
  <c r="BY117" i="17"/>
  <c r="BW117" i="17"/>
  <c r="BU117" i="17"/>
  <c r="BS117" i="17"/>
  <c r="CC116" i="17"/>
  <c r="CB116" i="17"/>
  <c r="CA116" i="17"/>
  <c r="BZ116" i="17"/>
  <c r="BY116" i="17"/>
  <c r="BW116" i="17"/>
  <c r="BU116" i="17"/>
  <c r="BS116" i="17"/>
  <c r="CC115" i="17"/>
  <c r="CB115" i="17"/>
  <c r="CA115" i="17"/>
  <c r="BZ115" i="17"/>
  <c r="BY115" i="17"/>
  <c r="BW115" i="17"/>
  <c r="BU115" i="17"/>
  <c r="BS115" i="17"/>
  <c r="CC114" i="17"/>
  <c r="CB114" i="17"/>
  <c r="CA114" i="17"/>
  <c r="BZ114" i="17"/>
  <c r="BY114" i="17"/>
  <c r="BW114" i="17"/>
  <c r="BU114" i="17"/>
  <c r="BS114" i="17"/>
  <c r="CC113" i="17"/>
  <c r="CB113" i="17"/>
  <c r="CA113" i="17"/>
  <c r="BZ113" i="17"/>
  <c r="BY113" i="17"/>
  <c r="BW113" i="17"/>
  <c r="BU113" i="17"/>
  <c r="BS113" i="17"/>
  <c r="CC112" i="17"/>
  <c r="CB112" i="17"/>
  <c r="CA112" i="17"/>
  <c r="BZ112" i="17"/>
  <c r="BY112" i="17"/>
  <c r="BW112" i="17"/>
  <c r="BU112" i="17"/>
  <c r="BS112" i="17"/>
  <c r="CC111" i="17"/>
  <c r="CB111" i="17"/>
  <c r="CA111" i="17"/>
  <c r="BZ111" i="17"/>
  <c r="BY111" i="17"/>
  <c r="BW111" i="17"/>
  <c r="BU111" i="17"/>
  <c r="BS111" i="17"/>
  <c r="CC110" i="17"/>
  <c r="CB110" i="17"/>
  <c r="CA110" i="17"/>
  <c r="BZ110" i="17"/>
  <c r="BY110" i="17"/>
  <c r="BW110" i="17"/>
  <c r="BU110" i="17"/>
  <c r="BS110" i="17"/>
  <c r="CC109" i="17"/>
  <c r="CB109" i="17"/>
  <c r="CA109" i="17"/>
  <c r="BZ109" i="17"/>
  <c r="BY109" i="17"/>
  <c r="BW109" i="17"/>
  <c r="BU109" i="17"/>
  <c r="BS109" i="17"/>
  <c r="CC108" i="17"/>
  <c r="CB108" i="17"/>
  <c r="CA108" i="17"/>
  <c r="BZ108" i="17"/>
  <c r="BY108" i="17"/>
  <c r="BW108" i="17"/>
  <c r="BU108" i="17"/>
  <c r="BS108" i="17"/>
  <c r="CC107" i="17"/>
  <c r="CB107" i="17"/>
  <c r="CA107" i="17"/>
  <c r="BY107" i="17"/>
  <c r="BW107" i="17"/>
  <c r="BU107" i="17"/>
  <c r="BS107" i="17"/>
  <c r="CC106" i="17"/>
  <c r="CB106" i="17"/>
  <c r="CA106" i="17"/>
  <c r="BY106" i="17"/>
  <c r="BW106" i="17"/>
  <c r="BU106" i="17"/>
  <c r="BS106" i="17"/>
  <c r="CC105" i="17"/>
  <c r="CB105" i="17"/>
  <c r="CA105" i="17"/>
  <c r="BY105" i="17"/>
  <c r="BW105" i="17"/>
  <c r="BU105" i="17"/>
  <c r="BS105" i="17"/>
  <c r="CC104" i="17"/>
  <c r="CB104" i="17"/>
  <c r="CA104" i="17"/>
  <c r="BY104" i="17"/>
  <c r="BW104" i="17"/>
  <c r="BU104" i="17"/>
  <c r="BS104" i="17"/>
  <c r="CC103" i="17"/>
  <c r="CB103" i="17"/>
  <c r="CA103" i="17"/>
  <c r="BY103" i="17"/>
  <c r="BW103" i="17"/>
  <c r="BU103" i="17"/>
  <c r="BS103" i="17"/>
  <c r="CC102" i="17"/>
  <c r="CB102" i="17"/>
  <c r="CA102" i="17"/>
  <c r="BY102" i="17"/>
  <c r="BW102" i="17"/>
  <c r="BU102" i="17"/>
  <c r="BS102" i="17"/>
  <c r="CC101" i="17"/>
  <c r="CB101" i="17"/>
  <c r="CA101" i="17"/>
  <c r="BY101" i="17"/>
  <c r="BW101" i="17"/>
  <c r="BU101" i="17"/>
  <c r="BS101" i="17"/>
  <c r="CC100" i="17"/>
  <c r="CB100" i="17"/>
  <c r="CA100" i="17"/>
  <c r="BY100" i="17"/>
  <c r="BW100" i="17"/>
  <c r="BU100" i="17"/>
  <c r="BS100" i="17"/>
  <c r="CC99" i="17"/>
  <c r="CB99" i="17"/>
  <c r="CA99" i="17"/>
  <c r="BY99" i="17"/>
  <c r="BW99" i="17"/>
  <c r="BU99" i="17"/>
  <c r="BS99" i="17"/>
  <c r="CC98" i="17"/>
  <c r="CB98" i="17"/>
  <c r="CA98" i="17"/>
  <c r="BY98" i="17"/>
  <c r="BW98" i="17"/>
  <c r="BU98" i="17"/>
  <c r="BS98" i="17"/>
  <c r="CC97" i="17"/>
  <c r="CB97" i="17"/>
  <c r="CA97" i="17"/>
  <c r="BY97" i="17"/>
  <c r="BW97" i="17"/>
  <c r="BU97" i="17"/>
  <c r="BS97" i="17"/>
  <c r="CC96" i="17"/>
  <c r="CB96" i="17"/>
  <c r="CA96" i="17"/>
  <c r="BY96" i="17"/>
  <c r="BW96" i="17"/>
  <c r="BU96" i="17"/>
  <c r="BS96" i="17"/>
  <c r="CC95" i="17"/>
  <c r="CB95" i="17"/>
  <c r="CA95" i="17"/>
  <c r="BY95" i="17"/>
  <c r="BW95" i="17"/>
  <c r="BU95" i="17"/>
  <c r="BS95" i="17"/>
  <c r="CC94" i="17"/>
  <c r="CB94" i="17"/>
  <c r="CA94" i="17"/>
  <c r="BY94" i="17"/>
  <c r="BW94" i="17"/>
  <c r="BU94" i="17"/>
  <c r="BS94" i="17"/>
  <c r="CC93" i="17"/>
  <c r="CB93" i="17"/>
  <c r="CA93" i="17"/>
  <c r="BY93" i="17"/>
  <c r="BW93" i="17"/>
  <c r="BU93" i="17"/>
  <c r="BS93" i="17"/>
  <c r="CC92" i="17"/>
  <c r="CB92" i="17"/>
  <c r="CA92" i="17"/>
  <c r="BY92" i="17"/>
  <c r="BW92" i="17"/>
  <c r="BU92" i="17"/>
  <c r="BS92" i="17"/>
  <c r="CC91" i="17"/>
  <c r="CB91" i="17"/>
  <c r="CA91" i="17"/>
  <c r="BY91" i="17"/>
  <c r="BW91" i="17"/>
  <c r="BU91" i="17"/>
  <c r="BS91" i="17"/>
  <c r="CC90" i="17"/>
  <c r="CB90" i="17"/>
  <c r="CA90" i="17"/>
  <c r="BY90" i="17"/>
  <c r="BW90" i="17"/>
  <c r="BU90" i="17"/>
  <c r="BS90" i="17"/>
  <c r="CC89" i="17"/>
  <c r="CB89" i="17"/>
  <c r="CA89" i="17"/>
  <c r="BY89" i="17"/>
  <c r="BW89" i="17"/>
  <c r="BU89" i="17"/>
  <c r="BS89" i="17"/>
  <c r="CC88" i="17"/>
  <c r="CB88" i="17"/>
  <c r="CA88" i="17"/>
  <c r="BY88" i="17"/>
  <c r="BW88" i="17"/>
  <c r="BU88" i="17"/>
  <c r="BS88" i="17"/>
  <c r="CC87" i="17"/>
  <c r="CB87" i="17"/>
  <c r="CA87" i="17"/>
  <c r="BY87" i="17"/>
  <c r="BW87" i="17"/>
  <c r="BU87" i="17"/>
  <c r="BS87" i="17"/>
  <c r="CC86" i="17"/>
  <c r="CA86" i="17"/>
  <c r="BY86" i="17"/>
  <c r="BW86" i="17"/>
  <c r="BU86" i="17"/>
  <c r="BS86" i="17"/>
  <c r="CC85" i="17"/>
  <c r="CA85" i="17"/>
  <c r="BY85" i="17"/>
  <c r="BW85" i="17"/>
  <c r="BU85" i="17"/>
  <c r="BS85" i="17"/>
  <c r="CC84" i="17"/>
  <c r="CA84" i="17"/>
  <c r="BY84" i="17"/>
  <c r="BW84" i="17"/>
  <c r="BU84" i="17"/>
  <c r="BS84" i="17"/>
  <c r="CC83" i="17"/>
  <c r="CA83" i="17"/>
  <c r="BY83" i="17"/>
  <c r="BW83" i="17"/>
  <c r="BU83" i="17"/>
  <c r="BS83" i="17"/>
  <c r="CC82" i="17"/>
  <c r="CA82" i="17"/>
  <c r="BY82" i="17"/>
  <c r="BW82" i="17"/>
  <c r="BU82" i="17"/>
  <c r="BS82" i="17"/>
  <c r="CC81" i="17"/>
  <c r="CA81" i="17"/>
  <c r="BY81" i="17"/>
  <c r="BW81" i="17"/>
  <c r="BU81" i="17"/>
  <c r="BS81" i="17"/>
  <c r="AO81" i="17"/>
  <c r="AN81" i="17"/>
  <c r="AM81" i="17"/>
  <c r="AL81" i="17"/>
  <c r="AK81" i="17"/>
  <c r="CC80" i="17"/>
  <c r="CA80" i="17"/>
  <c r="BY80" i="17"/>
  <c r="BW80" i="17"/>
  <c r="BU80" i="17"/>
  <c r="BS80" i="17"/>
  <c r="AO80" i="17"/>
  <c r="AN80" i="17"/>
  <c r="AM80" i="17"/>
  <c r="AL80" i="17"/>
  <c r="AK80" i="17"/>
  <c r="CC79" i="17"/>
  <c r="CA79" i="17"/>
  <c r="BY79" i="17"/>
  <c r="BW79" i="17"/>
  <c r="BU79" i="17"/>
  <c r="BS79" i="17"/>
  <c r="AO79" i="17"/>
  <c r="AN79" i="17"/>
  <c r="AM79" i="17"/>
  <c r="AL79" i="17"/>
  <c r="AK79" i="17"/>
  <c r="CC78" i="17"/>
  <c r="CA78" i="17"/>
  <c r="BY78" i="17"/>
  <c r="BW78" i="17"/>
  <c r="BU78" i="17"/>
  <c r="BS78" i="17"/>
  <c r="AO78" i="17"/>
  <c r="AN78" i="17"/>
  <c r="AM78" i="17"/>
  <c r="AL78" i="17"/>
  <c r="AK78" i="17"/>
  <c r="CC77" i="17"/>
  <c r="CA77" i="17"/>
  <c r="BY77" i="17"/>
  <c r="BW77" i="17"/>
  <c r="BU77" i="17"/>
  <c r="BS77" i="17"/>
  <c r="AO77" i="17"/>
  <c r="AN77" i="17"/>
  <c r="AM77" i="17"/>
  <c r="AL77" i="17"/>
  <c r="AK77" i="17"/>
  <c r="CC76" i="17"/>
  <c r="CA76" i="17"/>
  <c r="BY76" i="17"/>
  <c r="BW76" i="17"/>
  <c r="BU76" i="17"/>
  <c r="BS76" i="17"/>
  <c r="AO76" i="17"/>
  <c r="AN76" i="17"/>
  <c r="AM76" i="17"/>
  <c r="AL76" i="17"/>
  <c r="AK76" i="17"/>
  <c r="AI76" i="17"/>
  <c r="CC75" i="17"/>
  <c r="BY75" i="17"/>
  <c r="BW75" i="17"/>
  <c r="BU75" i="17"/>
  <c r="BS75" i="17"/>
  <c r="AT75" i="17"/>
  <c r="AO75" i="17"/>
  <c r="AN75" i="17"/>
  <c r="AM75" i="17"/>
  <c r="AL75" i="17"/>
  <c r="AK75" i="17"/>
  <c r="CC74" i="17"/>
  <c r="BY74" i="17"/>
  <c r="BW74" i="17"/>
  <c r="BU74" i="17"/>
  <c r="BS74" i="17"/>
  <c r="BB74" i="17"/>
  <c r="BA74" i="17"/>
  <c r="AT74" i="17"/>
  <c r="AO74" i="17"/>
  <c r="AN74" i="17"/>
  <c r="AM74" i="17"/>
  <c r="AL74" i="17"/>
  <c r="AK74" i="17"/>
  <c r="CC73" i="17"/>
  <c r="BY73" i="17"/>
  <c r="BW73" i="17"/>
  <c r="BU73" i="17"/>
  <c r="BS73" i="17"/>
  <c r="BO73" i="17"/>
  <c r="AK27" i="17"/>
  <c r="AN27" i="17" s="1"/>
  <c r="BB73" i="17"/>
  <c r="BA73" i="17"/>
  <c r="AT73" i="17"/>
  <c r="AO73" i="17"/>
  <c r="AN73" i="17"/>
  <c r="AM73" i="17"/>
  <c r="AL73" i="17"/>
  <c r="AK73" i="17"/>
  <c r="CC72" i="17"/>
  <c r="BY72" i="17"/>
  <c r="BW72" i="17"/>
  <c r="BU72" i="17"/>
  <c r="BS72" i="17"/>
  <c r="BH72" i="17"/>
  <c r="AT72" i="17"/>
  <c r="AO72" i="17"/>
  <c r="AN72" i="17"/>
  <c r="AM72" i="17"/>
  <c r="AL72" i="17"/>
  <c r="AK72" i="17"/>
  <c r="CC71" i="17"/>
  <c r="AT71" i="17"/>
  <c r="AO71" i="17"/>
  <c r="AN71" i="17"/>
  <c r="AM71" i="17"/>
  <c r="AL71" i="17"/>
  <c r="AK71" i="17"/>
  <c r="B71" i="17"/>
  <c r="CC70" i="17"/>
  <c r="CB70" i="17"/>
  <c r="CA70" i="17"/>
  <c r="AT70" i="17"/>
  <c r="AO70" i="17"/>
  <c r="AN70" i="17"/>
  <c r="AM70" i="17"/>
  <c r="AL70" i="17"/>
  <c r="AK70" i="17"/>
  <c r="AT69" i="17"/>
  <c r="AO69" i="17"/>
  <c r="AN69" i="17"/>
  <c r="AM69" i="17"/>
  <c r="AL69" i="17"/>
  <c r="AK69" i="17"/>
  <c r="AT68" i="17"/>
  <c r="AO68" i="17"/>
  <c r="AN68" i="17"/>
  <c r="AM68" i="17"/>
  <c r="AL68" i="17"/>
  <c r="AK68" i="17"/>
  <c r="AT67" i="17"/>
  <c r="AO67" i="17"/>
  <c r="AN67" i="17"/>
  <c r="AM67" i="17"/>
  <c r="AL67" i="17"/>
  <c r="AK67" i="17"/>
  <c r="CA66" i="17"/>
  <c r="BZ66" i="17"/>
  <c r="BY66" i="17"/>
  <c r="BX66" i="17"/>
  <c r="BW66" i="17"/>
  <c r="BV66" i="17"/>
  <c r="BU66" i="17"/>
  <c r="BT66" i="17"/>
  <c r="BS66" i="17"/>
  <c r="AT66" i="17"/>
  <c r="AO66" i="17"/>
  <c r="AN66" i="17"/>
  <c r="AM66" i="17"/>
  <c r="AL66" i="17"/>
  <c r="AK66" i="17"/>
  <c r="CA65" i="17"/>
  <c r="BH65" i="17"/>
  <c r="AI65" i="17"/>
  <c r="CS61" i="17"/>
  <c r="CR61" i="17"/>
  <c r="CQ61" i="17"/>
  <c r="CP61" i="17"/>
  <c r="CE61" i="17"/>
  <c r="CD61" i="17"/>
  <c r="CC61" i="17"/>
  <c r="CB61" i="17"/>
  <c r="CA61" i="17"/>
  <c r="BZ61" i="17"/>
  <c r="BX61" i="17"/>
  <c r="CL61" i="17" s="1"/>
  <c r="BW61" i="17"/>
  <c r="CY61" i="17" s="1"/>
  <c r="BV61" i="17"/>
  <c r="CX61" i="17" s="1"/>
  <c r="BU61" i="17"/>
  <c r="CW61" i="17" s="1"/>
  <c r="BL61" i="17"/>
  <c r="BT61" i="17" s="1"/>
  <c r="BK61" i="17"/>
  <c r="AF81" i="17" s="1"/>
  <c r="BH61" i="17"/>
  <c r="BG61" i="17"/>
  <c r="BF61" i="17"/>
  <c r="BE61" i="17"/>
  <c r="BD61" i="17"/>
  <c r="AX61" i="17"/>
  <c r="CS60" i="17"/>
  <c r="CR60" i="17"/>
  <c r="CQ60" i="17"/>
  <c r="CP60" i="17"/>
  <c r="CE60" i="17"/>
  <c r="CD60" i="17"/>
  <c r="CC60" i="17"/>
  <c r="CB60" i="17"/>
  <c r="CA60" i="17"/>
  <c r="BZ60" i="17"/>
  <c r="BX60" i="17"/>
  <c r="CL60" i="17" s="1"/>
  <c r="BW60" i="17"/>
  <c r="CY60" i="17" s="1"/>
  <c r="BV60" i="17"/>
  <c r="CJ60" i="17" s="1"/>
  <c r="BU60" i="17"/>
  <c r="BL60" i="17"/>
  <c r="CO60" i="17" s="1"/>
  <c r="BK60" i="17"/>
  <c r="BH60" i="17"/>
  <c r="BG60" i="17"/>
  <c r="BF60" i="17"/>
  <c r="BE60" i="17"/>
  <c r="BD60" i="17"/>
  <c r="AX60" i="17"/>
  <c r="CS59" i="17"/>
  <c r="CR59" i="17"/>
  <c r="CQ59" i="17"/>
  <c r="CP59" i="17"/>
  <c r="CE59" i="17"/>
  <c r="CD59" i="17"/>
  <c r="CC59" i="17"/>
  <c r="CB59" i="17"/>
  <c r="CA59" i="17"/>
  <c r="BZ59" i="17"/>
  <c r="BX59" i="17"/>
  <c r="CL59" i="17" s="1"/>
  <c r="BW59" i="17"/>
  <c r="CK59" i="17" s="1"/>
  <c r="BV59" i="17"/>
  <c r="BU59" i="17"/>
  <c r="CW59" i="17" s="1"/>
  <c r="BL59" i="17"/>
  <c r="CO59" i="17" s="1"/>
  <c r="BK59" i="17"/>
  <c r="BS59" i="17"/>
  <c r="BH59" i="17"/>
  <c r="BG59" i="17"/>
  <c r="BF59" i="17"/>
  <c r="BE59" i="17"/>
  <c r="BD59" i="17"/>
  <c r="AX59" i="17"/>
  <c r="CS58" i="17"/>
  <c r="CR58" i="17"/>
  <c r="CQ58" i="17"/>
  <c r="CP58" i="17"/>
  <c r="CE58" i="17"/>
  <c r="CD58" i="17"/>
  <c r="CC58" i="17"/>
  <c r="CB58" i="17"/>
  <c r="CA58" i="17"/>
  <c r="BZ58" i="17"/>
  <c r="BX58" i="17"/>
  <c r="BW58" i="17"/>
  <c r="CY58" i="17" s="1"/>
  <c r="BV58" i="17"/>
  <c r="CX58" i="17" s="1"/>
  <c r="BU58" i="17"/>
  <c r="CW58" i="17" s="1"/>
  <c r="BL58" i="17"/>
  <c r="CO58" i="17" s="1"/>
  <c r="BK58" i="17"/>
  <c r="AG78" i="17" s="1"/>
  <c r="BH58" i="17"/>
  <c r="BG58" i="17"/>
  <c r="BF58" i="17"/>
  <c r="BE58" i="17"/>
  <c r="BD58" i="17"/>
  <c r="AX58" i="17"/>
  <c r="CS57" i="17"/>
  <c r="CR57" i="17"/>
  <c r="CQ57" i="17"/>
  <c r="CP57" i="17"/>
  <c r="CE57" i="17"/>
  <c r="CD57" i="17"/>
  <c r="CC57" i="17"/>
  <c r="CB57" i="17"/>
  <c r="CA57" i="17"/>
  <c r="BZ57" i="17"/>
  <c r="BX57" i="17"/>
  <c r="CL57" i="17" s="1"/>
  <c r="BW57" i="17"/>
  <c r="CK57" i="17" s="1"/>
  <c r="BV57" i="17"/>
  <c r="CX57" i="17" s="1"/>
  <c r="BU57" i="17"/>
  <c r="CI57" i="17" s="1"/>
  <c r="BL57" i="17"/>
  <c r="CO57" i="17" s="1"/>
  <c r="BK57" i="17"/>
  <c r="BS57" i="17" s="1"/>
  <c r="BH57" i="17"/>
  <c r="BG57" i="17"/>
  <c r="BF57" i="17"/>
  <c r="BE57" i="17"/>
  <c r="BD57" i="17"/>
  <c r="AX57" i="17"/>
  <c r="CS56" i="17"/>
  <c r="CR56" i="17"/>
  <c r="CQ56" i="17"/>
  <c r="CP56" i="17"/>
  <c r="CE56" i="17"/>
  <c r="CD56" i="17"/>
  <c r="CC56" i="17"/>
  <c r="CB56" i="17"/>
  <c r="CA56" i="17"/>
  <c r="BZ56" i="17"/>
  <c r="BX56" i="17"/>
  <c r="CL56" i="17" s="1"/>
  <c r="BW56" i="17"/>
  <c r="CY56" i="17" s="1"/>
  <c r="BV56" i="17"/>
  <c r="CJ56" i="17" s="1"/>
  <c r="BU56" i="17"/>
  <c r="BL56" i="17"/>
  <c r="CO56" i="17"/>
  <c r="BK56" i="17"/>
  <c r="BH56" i="17"/>
  <c r="BG56" i="17"/>
  <c r="BF56" i="17"/>
  <c r="BE56" i="17"/>
  <c r="BD56" i="17"/>
  <c r="AX56" i="17"/>
  <c r="CS55" i="17"/>
  <c r="CR55" i="17"/>
  <c r="CQ55" i="17"/>
  <c r="CP55" i="17"/>
  <c r="CE55" i="17"/>
  <c r="CD55" i="17"/>
  <c r="CC55" i="17"/>
  <c r="CB55" i="17"/>
  <c r="CA55" i="17"/>
  <c r="BZ55" i="17"/>
  <c r="BX55" i="17"/>
  <c r="CL55" i="17" s="1"/>
  <c r="BW55" i="17"/>
  <c r="CK55" i="17" s="1"/>
  <c r="BV55" i="17"/>
  <c r="BU55" i="17"/>
  <c r="CW55" i="17" s="1"/>
  <c r="BL55" i="17"/>
  <c r="CO55" i="17" s="1"/>
  <c r="BK55" i="17"/>
  <c r="BH55" i="17"/>
  <c r="BG55" i="17"/>
  <c r="BF55" i="17"/>
  <c r="BE55" i="17"/>
  <c r="BD55" i="17"/>
  <c r="AX55" i="17"/>
  <c r="CS54" i="17"/>
  <c r="CR54" i="17"/>
  <c r="CQ54" i="17"/>
  <c r="CP54" i="17"/>
  <c r="CE54" i="17"/>
  <c r="CD54" i="17"/>
  <c r="CC54" i="17"/>
  <c r="CB54" i="17"/>
  <c r="CA54" i="17"/>
  <c r="BZ54" i="17"/>
  <c r="BX54" i="17"/>
  <c r="CL54" i="17" s="1"/>
  <c r="BW54" i="17"/>
  <c r="CK54" i="17" s="1"/>
  <c r="BV54" i="17"/>
  <c r="CX54" i="17" s="1"/>
  <c r="BU54" i="17"/>
  <c r="CI54" i="17" s="1"/>
  <c r="BL54" i="17"/>
  <c r="CO54" i="17" s="1"/>
  <c r="BK54" i="17"/>
  <c r="AF74" i="17" s="1"/>
  <c r="BH54" i="17"/>
  <c r="BG54" i="17"/>
  <c r="BF54" i="17"/>
  <c r="BE54" i="17"/>
  <c r="BD54" i="17"/>
  <c r="AX54" i="17"/>
  <c r="CS53" i="17"/>
  <c r="CR53" i="17"/>
  <c r="CQ53" i="17"/>
  <c r="CP53" i="17"/>
  <c r="CE53" i="17"/>
  <c r="CD53" i="17"/>
  <c r="CC53" i="17"/>
  <c r="CB53" i="17"/>
  <c r="CA53" i="17"/>
  <c r="BZ53" i="17"/>
  <c r="BX53" i="17"/>
  <c r="CL53" i="17" s="1"/>
  <c r="BW53" i="17"/>
  <c r="CY53" i="17" s="1"/>
  <c r="BV53" i="17"/>
  <c r="CX53" i="17" s="1"/>
  <c r="BU53" i="17"/>
  <c r="CW53" i="17" s="1"/>
  <c r="BL53" i="17"/>
  <c r="CO53" i="17" s="1"/>
  <c r="BK53" i="17"/>
  <c r="BH53" i="17"/>
  <c r="BG53" i="17"/>
  <c r="BF53" i="17"/>
  <c r="BE53" i="17"/>
  <c r="BD53" i="17"/>
  <c r="AX53" i="17"/>
  <c r="CS52" i="17"/>
  <c r="CR52" i="17"/>
  <c r="CQ52" i="17"/>
  <c r="CP52" i="17"/>
  <c r="CE52" i="17"/>
  <c r="CD52" i="17"/>
  <c r="CC52" i="17"/>
  <c r="CB52" i="17"/>
  <c r="CA52" i="17"/>
  <c r="BZ52" i="17"/>
  <c r="BX52" i="17"/>
  <c r="CL52" i="17" s="1"/>
  <c r="BW52" i="17"/>
  <c r="CY52" i="17" s="1"/>
  <c r="BV52" i="17"/>
  <c r="CX52" i="17" s="1"/>
  <c r="BU52" i="17"/>
  <c r="CW52" i="17" s="1"/>
  <c r="BL52" i="17"/>
  <c r="CO52" i="17" s="1"/>
  <c r="BK52" i="17"/>
  <c r="BH52" i="17"/>
  <c r="BG52" i="17"/>
  <c r="BF52" i="17"/>
  <c r="BE52" i="17"/>
  <c r="BD52" i="17"/>
  <c r="AX52" i="17"/>
  <c r="CS51" i="17"/>
  <c r="CR51" i="17"/>
  <c r="CQ51" i="17"/>
  <c r="CP51" i="17"/>
  <c r="CE51" i="17"/>
  <c r="CD51" i="17"/>
  <c r="CC51" i="17"/>
  <c r="CB51" i="17"/>
  <c r="CA51" i="17"/>
  <c r="BZ51" i="17"/>
  <c r="BX51" i="17"/>
  <c r="CL51" i="17" s="1"/>
  <c r="BW51" i="17"/>
  <c r="CY51" i="17" s="1"/>
  <c r="BV51" i="17"/>
  <c r="CX51" i="17" s="1"/>
  <c r="BU51" i="17"/>
  <c r="CI51" i="17" s="1"/>
  <c r="BL51" i="17"/>
  <c r="CO51" i="17" s="1"/>
  <c r="BK51" i="17"/>
  <c r="BH51" i="17"/>
  <c r="BG51" i="17"/>
  <c r="BF51" i="17"/>
  <c r="BE51" i="17"/>
  <c r="BD51" i="17"/>
  <c r="AX51" i="17"/>
  <c r="CS50" i="17"/>
  <c r="CR50" i="17"/>
  <c r="CQ50" i="17"/>
  <c r="CP50" i="17"/>
  <c r="CE50" i="17"/>
  <c r="CD50" i="17"/>
  <c r="CC50" i="17"/>
  <c r="CB50" i="17"/>
  <c r="CA50" i="17"/>
  <c r="BZ50" i="17"/>
  <c r="BX50" i="17"/>
  <c r="BW50" i="17"/>
  <c r="CY50" i="17" s="1"/>
  <c r="BV50" i="17"/>
  <c r="CX50" i="17" s="1"/>
  <c r="BU50" i="17"/>
  <c r="CW50" i="17" s="1"/>
  <c r="BL50" i="17"/>
  <c r="CO50" i="17" s="1"/>
  <c r="BK50" i="17"/>
  <c r="BS50" i="17" s="1"/>
  <c r="CU50" i="17" s="1"/>
  <c r="BH50" i="17"/>
  <c r="BG50" i="17"/>
  <c r="BF50" i="17"/>
  <c r="BE50" i="17"/>
  <c r="BD50" i="17"/>
  <c r="AX50" i="17"/>
  <c r="CS49" i="17"/>
  <c r="CR49" i="17"/>
  <c r="CQ49" i="17"/>
  <c r="CP49" i="17"/>
  <c r="CE49" i="17"/>
  <c r="CD49" i="17"/>
  <c r="CC49" i="17"/>
  <c r="CB49" i="17"/>
  <c r="CA49" i="17"/>
  <c r="BZ49" i="17"/>
  <c r="BX49" i="17"/>
  <c r="CL49" i="17" s="1"/>
  <c r="BW49" i="17"/>
  <c r="CY49" i="17" s="1"/>
  <c r="BV49" i="17"/>
  <c r="CX49" i="17" s="1"/>
  <c r="BU49" i="17"/>
  <c r="CW49" i="17" s="1"/>
  <c r="BL49" i="17"/>
  <c r="CO49" i="17" s="1"/>
  <c r="BK49" i="17"/>
  <c r="BH49" i="17"/>
  <c r="BG49" i="17"/>
  <c r="BF49" i="17"/>
  <c r="BE49" i="17"/>
  <c r="BD49" i="17"/>
  <c r="AX49" i="17"/>
  <c r="CS48" i="17"/>
  <c r="CR48" i="17"/>
  <c r="CQ48" i="17"/>
  <c r="CP48" i="17"/>
  <c r="CE48" i="17"/>
  <c r="CD48" i="17"/>
  <c r="CC48" i="17"/>
  <c r="CB48" i="17"/>
  <c r="CA48" i="17"/>
  <c r="BZ48" i="17"/>
  <c r="BX48" i="17"/>
  <c r="CL48" i="17" s="1"/>
  <c r="BW48" i="17"/>
  <c r="CK48" i="17" s="1"/>
  <c r="BV48" i="17"/>
  <c r="CX48" i="17" s="1"/>
  <c r="BU48" i="17"/>
  <c r="CW48" i="17" s="1"/>
  <c r="BL48" i="17"/>
  <c r="CO48" i="17" s="1"/>
  <c r="BK48" i="17"/>
  <c r="CN48" i="17" s="1"/>
  <c r="BH48" i="17"/>
  <c r="BG48" i="17"/>
  <c r="BF48" i="17"/>
  <c r="BE48" i="17"/>
  <c r="BD48" i="17"/>
  <c r="AX48" i="17"/>
  <c r="CS47" i="17"/>
  <c r="CR47" i="17"/>
  <c r="CQ47" i="17"/>
  <c r="CP47" i="17"/>
  <c r="CE47" i="17"/>
  <c r="CD47" i="17"/>
  <c r="CC47" i="17"/>
  <c r="CB47" i="17"/>
  <c r="CA47" i="17"/>
  <c r="BZ47" i="17"/>
  <c r="BX47" i="17"/>
  <c r="CL47" i="17" s="1"/>
  <c r="BW47" i="17"/>
  <c r="CY47" i="17" s="1"/>
  <c r="BV47" i="17"/>
  <c r="CX47" i="17" s="1"/>
  <c r="BU47" i="17"/>
  <c r="CW47" i="17" s="1"/>
  <c r="BL47" i="17"/>
  <c r="CO47" i="17" s="1"/>
  <c r="BK47" i="17"/>
  <c r="BS47" i="17" s="1"/>
  <c r="BH47" i="17"/>
  <c r="BG47" i="17"/>
  <c r="BF47" i="17"/>
  <c r="BE47" i="17"/>
  <c r="BD47" i="17"/>
  <c r="AX47" i="17"/>
  <c r="CS46" i="17"/>
  <c r="CR46" i="17"/>
  <c r="CQ46" i="17"/>
  <c r="CP46" i="17"/>
  <c r="CE46" i="17"/>
  <c r="CD46" i="17"/>
  <c r="CC46" i="17"/>
  <c r="CB46" i="17"/>
  <c r="CA46" i="17"/>
  <c r="BZ46" i="17"/>
  <c r="BX46" i="17"/>
  <c r="CZ46" i="17" s="1"/>
  <c r="BW46" i="17"/>
  <c r="CY46" i="17" s="1"/>
  <c r="BV46" i="17"/>
  <c r="CX46" i="17" s="1"/>
  <c r="BU46" i="17"/>
  <c r="CW46" i="17" s="1"/>
  <c r="BH46" i="17"/>
  <c r="BG46" i="17"/>
  <c r="BF46" i="17"/>
  <c r="BE46" i="17"/>
  <c r="BD46" i="17"/>
  <c r="AX46" i="17"/>
  <c r="AU41" i="17"/>
  <c r="AT41" i="17"/>
  <c r="AI41" i="17"/>
  <c r="AB41" i="17"/>
  <c r="U41" i="17"/>
  <c r="N41" i="17"/>
  <c r="E41" i="17"/>
  <c r="B41" i="17"/>
  <c r="AU40" i="17"/>
  <c r="AT40" i="17"/>
  <c r="AI40" i="17"/>
  <c r="AB40" i="17"/>
  <c r="U40" i="17"/>
  <c r="S40" i="17"/>
  <c r="N40" i="17"/>
  <c r="L40" i="17"/>
  <c r="E40" i="17"/>
  <c r="B40" i="17"/>
  <c r="AU39" i="17"/>
  <c r="AT39" i="17"/>
  <c r="B39" i="17"/>
  <c r="AU38" i="17"/>
  <c r="AT38" i="17"/>
  <c r="AG38" i="17"/>
  <c r="AB38" i="17"/>
  <c r="W38" i="17"/>
  <c r="R38" i="17"/>
  <c r="M38" i="17"/>
  <c r="E38" i="17"/>
  <c r="B38" i="17"/>
  <c r="AU37" i="17"/>
  <c r="AT37" i="17"/>
  <c r="AE37" i="17"/>
  <c r="Y37" i="17"/>
  <c r="S37" i="17"/>
  <c r="M37" i="17"/>
  <c r="E37" i="17"/>
  <c r="B37" i="17"/>
  <c r="BS36" i="17"/>
  <c r="B36" i="17"/>
  <c r="BS35" i="17"/>
  <c r="AK35" i="17"/>
  <c r="AF35" i="17"/>
  <c r="AA35" i="17"/>
  <c r="V35" i="17"/>
  <c r="Q35" i="17"/>
  <c r="L35" i="17"/>
  <c r="E35" i="17"/>
  <c r="B35" i="17"/>
  <c r="BS34" i="17"/>
  <c r="B34" i="17"/>
  <c r="BS33" i="17"/>
  <c r="B33" i="17"/>
  <c r="BS32" i="17"/>
  <c r="BM32" i="17"/>
  <c r="A32" i="17"/>
  <c r="BS31" i="17"/>
  <c r="BM31" i="17"/>
  <c r="A31" i="17"/>
  <c r="BS30" i="17"/>
  <c r="BM30" i="17"/>
  <c r="R30" i="17"/>
  <c r="C30" i="17"/>
  <c r="BS29" i="17"/>
  <c r="BM29" i="17"/>
  <c r="N29" i="17"/>
  <c r="C29" i="17"/>
  <c r="BS28" i="17"/>
  <c r="BM28" i="17"/>
  <c r="AM28" i="17"/>
  <c r="AD28" i="17"/>
  <c r="AA28" i="17"/>
  <c r="R28" i="17"/>
  <c r="N28" i="17"/>
  <c r="C28" i="17"/>
  <c r="BS27" i="17"/>
  <c r="BM27" i="17"/>
  <c r="AM27" i="17"/>
  <c r="AA27" i="17"/>
  <c r="R27" i="17"/>
  <c r="N27" i="17"/>
  <c r="C27" i="17"/>
  <c r="BS26" i="17"/>
  <c r="BM26" i="17"/>
  <c r="AM26" i="17"/>
  <c r="AK26" i="17"/>
  <c r="AN26" i="17" s="1"/>
  <c r="AA26" i="17"/>
  <c r="R26" i="17"/>
  <c r="N26" i="17"/>
  <c r="C26" i="17"/>
  <c r="BS25" i="17"/>
  <c r="BM25" i="17"/>
  <c r="AM25" i="17"/>
  <c r="AK25" i="17"/>
  <c r="AN25" i="17" s="1"/>
  <c r="AB25" i="17"/>
  <c r="AA25" i="17"/>
  <c r="R25" i="17"/>
  <c r="N25" i="17"/>
  <c r="C25" i="17"/>
  <c r="BS24" i="17"/>
  <c r="BM24" i="17"/>
  <c r="AM24" i="17"/>
  <c r="AK24" i="17"/>
  <c r="AN24" i="17" s="1"/>
  <c r="AB24" i="17"/>
  <c r="AA24" i="17"/>
  <c r="R24" i="17"/>
  <c r="C24" i="17"/>
  <c r="BS23" i="17"/>
  <c r="BM23" i="17"/>
  <c r="AM23" i="17"/>
  <c r="AK23" i="17"/>
  <c r="AN23" i="17" s="1"/>
  <c r="AB23" i="17"/>
  <c r="AA23" i="17"/>
  <c r="R23" i="17"/>
  <c r="C23" i="17"/>
  <c r="BS22" i="17"/>
  <c r="BM22" i="17"/>
  <c r="AN22" i="17"/>
  <c r="AM22" i="17"/>
  <c r="AD22" i="17"/>
  <c r="AA22" i="17"/>
  <c r="BS21" i="17"/>
  <c r="BM21" i="17"/>
  <c r="AM21" i="17"/>
  <c r="AB21" i="17"/>
  <c r="AA21" i="17"/>
  <c r="R21" i="17"/>
  <c r="C21" i="17"/>
  <c r="BS20" i="17"/>
  <c r="BM20" i="17"/>
  <c r="G20" i="17"/>
  <c r="BS19" i="17"/>
  <c r="BM19" i="17"/>
  <c r="G19" i="17"/>
  <c r="BS18" i="17"/>
  <c r="BM18" i="17"/>
  <c r="G18" i="17"/>
  <c r="B18" i="17"/>
  <c r="BS17" i="17"/>
  <c r="BM17" i="17"/>
  <c r="BF17" i="17"/>
  <c r="BE17" i="17"/>
  <c r="BD17" i="17"/>
  <c r="BA17" i="17"/>
  <c r="AZ17" i="17"/>
  <c r="AY17" i="17"/>
  <c r="AX17" i="17"/>
  <c r="G17" i="17"/>
  <c r="BS16" i="17"/>
  <c r="BM16" i="17"/>
  <c r="BF16" i="17"/>
  <c r="BE16" i="17"/>
  <c r="BD16" i="17"/>
  <c r="BA16" i="17"/>
  <c r="AZ16" i="17"/>
  <c r="AY16" i="17"/>
  <c r="AX16" i="17"/>
  <c r="G16" i="17"/>
  <c r="BS15" i="17"/>
  <c r="BM15" i="17"/>
  <c r="BF15" i="17"/>
  <c r="BE15" i="17"/>
  <c r="BD15" i="17"/>
  <c r="BA15" i="17"/>
  <c r="AZ15" i="17"/>
  <c r="AY15" i="17"/>
  <c r="AX15" i="17"/>
  <c r="G15" i="17"/>
  <c r="BS14" i="17"/>
  <c r="BM14" i="17"/>
  <c r="BF14" i="17"/>
  <c r="BE14" i="17"/>
  <c r="BD14" i="17"/>
  <c r="BA14" i="17"/>
  <c r="AZ14" i="17"/>
  <c r="AY14" i="17"/>
  <c r="AX14" i="17"/>
  <c r="G14" i="17"/>
  <c r="BS13" i="17"/>
  <c r="BM13" i="17"/>
  <c r="BF13" i="17"/>
  <c r="BE13" i="17"/>
  <c r="BD13" i="17"/>
  <c r="BA13" i="17"/>
  <c r="AZ13" i="17"/>
  <c r="AY13" i="17"/>
  <c r="AX13" i="17"/>
  <c r="G13" i="17"/>
  <c r="BS12" i="17"/>
  <c r="BM12" i="17"/>
  <c r="BF12" i="17"/>
  <c r="BE12" i="17"/>
  <c r="BD12" i="17"/>
  <c r="BA12" i="17"/>
  <c r="AZ12" i="17"/>
  <c r="AY12" i="17"/>
  <c r="AX12" i="17"/>
  <c r="G12" i="17"/>
  <c r="BS11" i="17"/>
  <c r="BM11" i="17"/>
  <c r="BF11" i="17"/>
  <c r="BE11" i="17"/>
  <c r="BD11" i="17"/>
  <c r="BA11" i="17"/>
  <c r="AZ11" i="17"/>
  <c r="AY11" i="17"/>
  <c r="AX11" i="17"/>
  <c r="G11" i="17"/>
  <c r="BS10" i="17"/>
  <c r="BM10" i="17"/>
  <c r="BF10" i="17"/>
  <c r="BE10" i="17"/>
  <c r="BD10" i="17"/>
  <c r="BA10" i="17"/>
  <c r="AZ10" i="17"/>
  <c r="AY10" i="17"/>
  <c r="AX10" i="17"/>
  <c r="G10" i="17"/>
  <c r="BS9" i="17"/>
  <c r="BM9" i="17"/>
  <c r="BF9" i="17"/>
  <c r="BE9" i="17"/>
  <c r="BD9" i="17"/>
  <c r="BA9" i="17"/>
  <c r="AZ9" i="17"/>
  <c r="AY9" i="17"/>
  <c r="AX9" i="17"/>
  <c r="G9" i="17"/>
  <c r="BS8" i="17"/>
  <c r="BM8" i="17"/>
  <c r="BF8" i="17"/>
  <c r="BE8" i="17"/>
  <c r="BD8" i="17"/>
  <c r="BA8" i="17"/>
  <c r="AZ8" i="17"/>
  <c r="AY8" i="17"/>
  <c r="AX8" i="17"/>
  <c r="G8" i="17"/>
  <c r="BS7" i="17"/>
  <c r="BM7" i="17"/>
  <c r="BF7" i="17"/>
  <c r="BE7" i="17"/>
  <c r="BD7" i="17"/>
  <c r="BA7" i="17"/>
  <c r="AZ7" i="17"/>
  <c r="AY7" i="17"/>
  <c r="AX7" i="17"/>
  <c r="G7" i="17"/>
  <c r="BS6" i="17"/>
  <c r="BM6" i="17"/>
  <c r="BF6" i="17"/>
  <c r="BE6" i="17"/>
  <c r="BD6" i="17"/>
  <c r="BA6" i="17"/>
  <c r="AZ6" i="17"/>
  <c r="AY6" i="17"/>
  <c r="AX6" i="17"/>
  <c r="G6" i="17"/>
  <c r="BS5" i="17"/>
  <c r="BM5" i="17"/>
  <c r="BF5" i="17"/>
  <c r="BE5" i="17"/>
  <c r="BD5" i="17"/>
  <c r="BA5" i="17"/>
  <c r="AZ5" i="17"/>
  <c r="AY5" i="17"/>
  <c r="AX5" i="17"/>
  <c r="G5" i="17"/>
  <c r="BS4" i="17"/>
  <c r="BM4" i="17"/>
  <c r="BF4" i="17"/>
  <c r="BE4" i="17"/>
  <c r="BD4" i="17"/>
  <c r="BA4" i="17"/>
  <c r="AZ4" i="17"/>
  <c r="AY4" i="17"/>
  <c r="AX4" i="17"/>
  <c r="G4" i="17"/>
  <c r="BS3" i="17"/>
  <c r="BM3" i="17"/>
  <c r="BF3" i="17"/>
  <c r="BE3" i="17"/>
  <c r="BD3" i="17"/>
  <c r="BA3" i="17"/>
  <c r="AZ3" i="17"/>
  <c r="AY3" i="17"/>
  <c r="AX3" i="17"/>
  <c r="G3" i="17"/>
  <c r="BZ2" i="17"/>
  <c r="BY2" i="17"/>
  <c r="BF2" i="17"/>
  <c r="BE2" i="17"/>
  <c r="BD2" i="17"/>
  <c r="BA2" i="17"/>
  <c r="AZ2" i="17"/>
  <c r="AY2" i="17"/>
  <c r="AX2" i="17"/>
  <c r="G2" i="17"/>
  <c r="AM1" i="17"/>
  <c r="AI1" i="17"/>
  <c r="AE1" i="17"/>
  <c r="O1" i="17"/>
  <c r="N1" i="17"/>
  <c r="M1" i="17"/>
  <c r="L1" i="17"/>
  <c r="K1" i="17"/>
  <c r="J1" i="17"/>
  <c r="G1" i="17"/>
  <c r="C1" i="17"/>
  <c r="B1" i="17"/>
  <c r="R116" i="15"/>
  <c r="R115" i="15"/>
  <c r="Q115" i="15"/>
  <c r="P115" i="15"/>
  <c r="M115" i="15"/>
  <c r="L115" i="15"/>
  <c r="K115" i="15"/>
  <c r="J115" i="15"/>
  <c r="I115" i="15"/>
  <c r="H115" i="15"/>
  <c r="G115" i="15"/>
  <c r="F115" i="15"/>
  <c r="E115" i="15"/>
  <c r="R114" i="15"/>
  <c r="Q114" i="15"/>
  <c r="P114" i="15"/>
  <c r="M114" i="15"/>
  <c r="L114" i="15"/>
  <c r="K114" i="15"/>
  <c r="J114" i="15"/>
  <c r="I114" i="15"/>
  <c r="H114" i="15"/>
  <c r="G114" i="15"/>
  <c r="F114" i="15"/>
  <c r="E114" i="15"/>
  <c r="Q113" i="15"/>
  <c r="P113" i="15"/>
  <c r="M113" i="15"/>
  <c r="L113" i="15"/>
  <c r="K113" i="15"/>
  <c r="J113" i="15"/>
  <c r="I113" i="15"/>
  <c r="H113" i="15"/>
  <c r="G113" i="15"/>
  <c r="F113" i="15"/>
  <c r="E113" i="15"/>
  <c r="Q112" i="15"/>
  <c r="M112" i="15"/>
  <c r="L112" i="15"/>
  <c r="K112" i="15"/>
  <c r="J112" i="15"/>
  <c r="I112" i="15"/>
  <c r="F112" i="15"/>
  <c r="E112" i="15"/>
  <c r="Q111" i="15"/>
  <c r="M111" i="15"/>
  <c r="L111" i="15"/>
  <c r="K111" i="15"/>
  <c r="J111" i="15"/>
  <c r="I111" i="15"/>
  <c r="F111" i="15"/>
  <c r="E111" i="15"/>
  <c r="Q110" i="15"/>
  <c r="M110" i="15"/>
  <c r="L110" i="15"/>
  <c r="J110" i="15"/>
  <c r="I110" i="15"/>
  <c r="F110" i="15"/>
  <c r="E110" i="15"/>
  <c r="Q109" i="15"/>
  <c r="M109" i="15"/>
  <c r="L109" i="15"/>
  <c r="J109" i="15"/>
  <c r="I109" i="15"/>
  <c r="F109" i="15"/>
  <c r="E109" i="15"/>
  <c r="Q108" i="15"/>
  <c r="M108" i="15"/>
  <c r="L108" i="15"/>
  <c r="J108" i="15"/>
  <c r="I108" i="15"/>
  <c r="F108" i="15"/>
  <c r="E108" i="15"/>
  <c r="L107" i="15"/>
  <c r="I107" i="15"/>
  <c r="E107" i="15"/>
  <c r="L106" i="15"/>
  <c r="I106" i="15"/>
  <c r="E106" i="15"/>
  <c r="L105" i="15"/>
  <c r="I105" i="15"/>
  <c r="E105" i="15"/>
  <c r="S95" i="15"/>
  <c r="R95" i="15"/>
  <c r="Q95" i="15"/>
  <c r="P95" i="15"/>
  <c r="O95" i="15"/>
  <c r="N95" i="15"/>
  <c r="M95" i="15"/>
  <c r="L95" i="15"/>
  <c r="K95" i="15"/>
  <c r="J95" i="15"/>
  <c r="I95" i="15"/>
  <c r="H95" i="15"/>
  <c r="G95" i="15"/>
  <c r="F95" i="15"/>
  <c r="E95" i="15"/>
  <c r="Z94" i="15"/>
  <c r="C94" i="15"/>
  <c r="BV92" i="15"/>
  <c r="BV91" i="15"/>
  <c r="BV90" i="15"/>
  <c r="BV89" i="15"/>
  <c r="BV88" i="15"/>
  <c r="BV87" i="15"/>
  <c r="BV86" i="15"/>
  <c r="BV85" i="15"/>
  <c r="BV84" i="15"/>
  <c r="BV83" i="15"/>
  <c r="BV82" i="15"/>
  <c r="BV81" i="15"/>
  <c r="BV80" i="15"/>
  <c r="BV79" i="15"/>
  <c r="BV78" i="15"/>
  <c r="BV77" i="15"/>
  <c r="BV76" i="15"/>
  <c r="BU75" i="15"/>
  <c r="BT75" i="15"/>
  <c r="BS75" i="15"/>
  <c r="I70" i="15"/>
  <c r="H70" i="15"/>
  <c r="I69" i="15"/>
  <c r="H69" i="15"/>
  <c r="I68" i="15"/>
  <c r="H68" i="15"/>
  <c r="I67" i="15"/>
  <c r="H67" i="15"/>
  <c r="I66" i="15"/>
  <c r="H66" i="15"/>
  <c r="I65" i="15"/>
  <c r="H65" i="15"/>
  <c r="I64" i="15"/>
  <c r="H64" i="15"/>
  <c r="I63" i="15"/>
  <c r="H63" i="15"/>
  <c r="I62" i="15"/>
  <c r="H62" i="15"/>
  <c r="I61" i="15"/>
  <c r="H61" i="15"/>
  <c r="I60" i="15"/>
  <c r="H60" i="15"/>
  <c r="I59" i="15"/>
  <c r="H59" i="15"/>
  <c r="I58" i="15"/>
  <c r="H58" i="15"/>
  <c r="I57" i="15"/>
  <c r="H57" i="15"/>
  <c r="I56" i="15"/>
  <c r="H56" i="15"/>
  <c r="I55" i="15"/>
  <c r="H55" i="15"/>
  <c r="I54" i="15"/>
  <c r="H54" i="15"/>
  <c r="I53" i="15"/>
  <c r="H53" i="15"/>
  <c r="I52" i="15"/>
  <c r="H52" i="15"/>
  <c r="I51" i="15"/>
  <c r="H51" i="15"/>
  <c r="I50" i="15"/>
  <c r="H50" i="15"/>
  <c r="I49" i="15"/>
  <c r="H49" i="15"/>
  <c r="I48" i="15"/>
  <c r="H48" i="15"/>
  <c r="I47" i="15"/>
  <c r="H47" i="15"/>
  <c r="I46" i="15"/>
  <c r="H46" i="15"/>
  <c r="I45" i="15"/>
  <c r="H45" i="15"/>
  <c r="I44" i="15"/>
  <c r="H44" i="15"/>
  <c r="I43" i="15"/>
  <c r="H43" i="15"/>
  <c r="I42" i="15"/>
  <c r="H42" i="15"/>
  <c r="I41" i="15"/>
  <c r="H41" i="15"/>
  <c r="I40" i="15"/>
  <c r="H40" i="15"/>
  <c r="I39" i="15"/>
  <c r="H39" i="15"/>
  <c r="I38" i="15"/>
  <c r="H38" i="15"/>
  <c r="I37" i="15"/>
  <c r="H37" i="15"/>
  <c r="I36" i="15"/>
  <c r="H36" i="15"/>
  <c r="I35" i="15"/>
  <c r="H35" i="15"/>
  <c r="I34" i="15"/>
  <c r="H34" i="15"/>
  <c r="I33" i="15"/>
  <c r="H33" i="15"/>
  <c r="I32" i="15"/>
  <c r="H32" i="15"/>
  <c r="I31" i="15"/>
  <c r="H31" i="15"/>
  <c r="I30" i="15"/>
  <c r="H30" i="15"/>
  <c r="I29" i="15"/>
  <c r="H29" i="15"/>
  <c r="I28" i="15"/>
  <c r="H28" i="15"/>
  <c r="I27" i="15"/>
  <c r="H27" i="15"/>
  <c r="I26" i="15"/>
  <c r="H26" i="15"/>
  <c r="I25" i="15"/>
  <c r="H25" i="15"/>
  <c r="I24" i="15"/>
  <c r="H24" i="15"/>
  <c r="I23" i="15"/>
  <c r="H23" i="15"/>
  <c r="I22" i="15"/>
  <c r="H22" i="15"/>
  <c r="I21" i="15"/>
  <c r="H21" i="15"/>
  <c r="I20" i="15"/>
  <c r="H20" i="15"/>
  <c r="I19" i="15"/>
  <c r="H19" i="15"/>
  <c r="I18" i="15"/>
  <c r="H18" i="15"/>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I4" i="15"/>
  <c r="H4" i="15"/>
  <c r="CQ56" i="12"/>
  <c r="CQ57" i="12"/>
  <c r="BK47" i="12"/>
  <c r="BL47" i="12"/>
  <c r="BM47" i="12"/>
  <c r="BU47" i="12"/>
  <c r="BK48" i="12"/>
  <c r="CN48" i="12"/>
  <c r="BL48" i="12"/>
  <c r="BM48" i="12"/>
  <c r="CP48" i="12"/>
  <c r="BK49" i="12"/>
  <c r="BL49" i="12"/>
  <c r="CO49" i="12"/>
  <c r="BM49" i="12"/>
  <c r="CP49" i="12"/>
  <c r="BK50" i="12"/>
  <c r="BL50" i="12"/>
  <c r="BT50" i="12"/>
  <c r="CH50" i="12" s="1"/>
  <c r="BM50" i="12"/>
  <c r="BU50" i="12"/>
  <c r="BK51" i="12"/>
  <c r="CN51" i="12"/>
  <c r="BL51" i="12"/>
  <c r="CO51" i="12"/>
  <c r="BM51" i="12"/>
  <c r="BU51" i="12"/>
  <c r="CW51" i="12"/>
  <c r="BK52" i="12"/>
  <c r="BL52" i="12"/>
  <c r="BM52" i="12"/>
  <c r="BU52" i="12"/>
  <c r="CI52" i="12" s="1"/>
  <c r="BK53" i="12"/>
  <c r="BL53" i="12"/>
  <c r="BM53" i="12"/>
  <c r="CP53" i="12"/>
  <c r="BK54" i="12"/>
  <c r="BL54" i="12"/>
  <c r="CO54" i="12"/>
  <c r="BM54" i="12"/>
  <c r="CP54" i="12"/>
  <c r="BK55" i="12"/>
  <c r="BS55" i="12"/>
  <c r="CU55" i="12" s="1"/>
  <c r="BL55" i="12"/>
  <c r="CO55" i="12"/>
  <c r="BM55" i="12"/>
  <c r="BU55" i="12"/>
  <c r="BK56" i="12"/>
  <c r="BL56" i="12"/>
  <c r="BM56" i="12"/>
  <c r="BU56" i="12"/>
  <c r="BK57" i="12"/>
  <c r="BL57" i="12"/>
  <c r="BT57" i="12"/>
  <c r="BM57" i="12"/>
  <c r="CP57" i="12"/>
  <c r="BK58" i="12"/>
  <c r="BS58" i="12"/>
  <c r="BL58" i="12"/>
  <c r="CO58" i="12"/>
  <c r="BM58" i="12"/>
  <c r="BU58" i="12"/>
  <c r="CI58" i="12" s="1"/>
  <c r="BK59" i="12"/>
  <c r="CN59" i="12"/>
  <c r="BL59" i="12"/>
  <c r="BT59" i="12"/>
  <c r="CH59" i="12"/>
  <c r="BM59" i="12"/>
  <c r="BU59" i="12"/>
  <c r="BK60" i="12"/>
  <c r="BL60" i="12"/>
  <c r="BM60" i="12"/>
  <c r="BU60" i="12"/>
  <c r="BK61" i="12"/>
  <c r="BS61" i="12"/>
  <c r="BJ61" i="12" s="1"/>
  <c r="CG61" i="12"/>
  <c r="BL61" i="12"/>
  <c r="CO61" i="12"/>
  <c r="BM61" i="12"/>
  <c r="CP61" i="12"/>
  <c r="BM46" i="12"/>
  <c r="BU46" i="12"/>
  <c r="BL46" i="12"/>
  <c r="CO46" i="12"/>
  <c r="BK46" i="12"/>
  <c r="BS46" i="12"/>
  <c r="AJ1" i="12"/>
  <c r="AG1" i="12"/>
  <c r="AD1" i="12"/>
  <c r="CA163" i="12"/>
  <c r="CA162" i="12"/>
  <c r="CA161" i="12"/>
  <c r="CA160" i="12"/>
  <c r="CA159" i="12"/>
  <c r="CA158" i="12"/>
  <c r="CA157" i="12"/>
  <c r="CA156" i="12"/>
  <c r="CB144" i="12"/>
  <c r="CA144" i="12"/>
  <c r="CB143" i="12"/>
  <c r="CA143" i="12"/>
  <c r="CB142" i="12"/>
  <c r="CA142" i="12"/>
  <c r="CB141" i="12"/>
  <c r="CA141" i="12"/>
  <c r="CB140" i="12"/>
  <c r="CA140" i="12"/>
  <c r="BY140" i="12"/>
  <c r="BX140" i="12"/>
  <c r="BW140" i="12"/>
  <c r="BV140" i="12"/>
  <c r="BU140" i="12"/>
  <c r="BT140" i="12"/>
  <c r="BS140" i="12"/>
  <c r="CB139" i="12"/>
  <c r="CA139" i="12"/>
  <c r="BY139" i="12"/>
  <c r="BX139" i="12"/>
  <c r="BW139" i="12"/>
  <c r="BV139" i="12"/>
  <c r="BU139" i="12"/>
  <c r="BT139" i="12"/>
  <c r="BS139" i="12"/>
  <c r="CB138" i="12"/>
  <c r="CA138" i="12"/>
  <c r="BY138" i="12"/>
  <c r="BX138" i="12"/>
  <c r="BW138" i="12"/>
  <c r="BV138" i="12"/>
  <c r="BU138" i="12"/>
  <c r="BT138" i="12"/>
  <c r="BS138" i="12"/>
  <c r="CB137" i="12"/>
  <c r="CA137" i="12"/>
  <c r="BY137" i="12"/>
  <c r="BX137" i="12"/>
  <c r="BW137" i="12"/>
  <c r="BV137" i="12"/>
  <c r="BU137" i="12"/>
  <c r="BT137" i="12"/>
  <c r="BS137" i="12"/>
  <c r="CB136" i="12"/>
  <c r="CA136" i="12"/>
  <c r="BY136" i="12"/>
  <c r="BX136" i="12"/>
  <c r="BW136" i="12"/>
  <c r="BV136" i="12"/>
  <c r="BU136" i="12"/>
  <c r="BT136" i="12"/>
  <c r="BS136" i="12"/>
  <c r="CB135" i="12"/>
  <c r="CA135" i="12"/>
  <c r="BY135" i="12"/>
  <c r="BX135" i="12"/>
  <c r="BW135" i="12"/>
  <c r="BV135" i="12"/>
  <c r="BU135" i="12"/>
  <c r="BT135" i="12"/>
  <c r="BS135" i="12"/>
  <c r="CB134" i="12"/>
  <c r="CA134" i="12"/>
  <c r="BY134" i="12"/>
  <c r="BX134" i="12"/>
  <c r="BW134" i="12"/>
  <c r="BV134" i="12"/>
  <c r="BU134" i="12"/>
  <c r="BT134" i="12"/>
  <c r="BS134" i="12"/>
  <c r="CB133" i="12"/>
  <c r="CA133" i="12"/>
  <c r="BY133" i="12"/>
  <c r="BX133" i="12"/>
  <c r="BW133" i="12"/>
  <c r="BV133" i="12"/>
  <c r="BU133" i="12"/>
  <c r="BT133" i="12"/>
  <c r="BS133" i="12"/>
  <c r="CB132" i="12"/>
  <c r="CA132" i="12"/>
  <c r="BY132" i="12"/>
  <c r="BX132" i="12"/>
  <c r="BW132" i="12"/>
  <c r="BV132" i="12"/>
  <c r="BU132" i="12"/>
  <c r="BT132" i="12"/>
  <c r="BS132" i="12"/>
  <c r="CB131" i="12"/>
  <c r="CA131" i="12"/>
  <c r="BZ131" i="12"/>
  <c r="BY131" i="12"/>
  <c r="BX131" i="12"/>
  <c r="BW131" i="12"/>
  <c r="BV131" i="12"/>
  <c r="BU131" i="12"/>
  <c r="BS131" i="12"/>
  <c r="CB130" i="12"/>
  <c r="CA130" i="12"/>
  <c r="BZ130" i="12"/>
  <c r="BY130" i="12"/>
  <c r="BX130" i="12"/>
  <c r="BW130" i="12"/>
  <c r="BV130" i="12"/>
  <c r="BU130" i="12"/>
  <c r="BS130" i="12"/>
  <c r="CC129" i="12"/>
  <c r="CB129" i="12"/>
  <c r="CA129" i="12"/>
  <c r="BZ129" i="12"/>
  <c r="BY129" i="12"/>
  <c r="BX129" i="12"/>
  <c r="BW129" i="12"/>
  <c r="BV129" i="12"/>
  <c r="BU129" i="12"/>
  <c r="BS129" i="12"/>
  <c r="CC128" i="12"/>
  <c r="CB128" i="12"/>
  <c r="CA128" i="12"/>
  <c r="BZ128" i="12"/>
  <c r="BY128" i="12"/>
  <c r="BX128" i="12"/>
  <c r="BW128" i="12"/>
  <c r="BV128" i="12"/>
  <c r="BU128" i="12"/>
  <c r="BS128" i="12"/>
  <c r="CC127" i="12"/>
  <c r="CB127" i="12"/>
  <c r="CA127" i="12"/>
  <c r="BZ127" i="12"/>
  <c r="BY127" i="12"/>
  <c r="BX127" i="12"/>
  <c r="BW127" i="12"/>
  <c r="BV127" i="12"/>
  <c r="BU127" i="12"/>
  <c r="BS127" i="12"/>
  <c r="CC126" i="12"/>
  <c r="CB126" i="12"/>
  <c r="CA126" i="12"/>
  <c r="BZ126" i="12"/>
  <c r="BY126" i="12"/>
  <c r="BX126" i="12"/>
  <c r="BW126" i="12"/>
  <c r="BV126" i="12"/>
  <c r="BU126" i="12"/>
  <c r="BS126" i="12"/>
  <c r="CC125" i="12"/>
  <c r="CB125" i="12"/>
  <c r="CA125" i="12"/>
  <c r="BZ125" i="12"/>
  <c r="BY125" i="12"/>
  <c r="BX125" i="12"/>
  <c r="BW125" i="12"/>
  <c r="BV125" i="12"/>
  <c r="BU125" i="12"/>
  <c r="BS125" i="12"/>
  <c r="CC124" i="12"/>
  <c r="CB124" i="12"/>
  <c r="CA124" i="12"/>
  <c r="BZ124" i="12"/>
  <c r="BY124" i="12"/>
  <c r="BX124" i="12"/>
  <c r="BW124" i="12"/>
  <c r="BV124" i="12"/>
  <c r="BU124" i="12"/>
  <c r="BS124" i="12"/>
  <c r="CC123" i="12"/>
  <c r="CB123" i="12"/>
  <c r="CA123" i="12"/>
  <c r="BZ123" i="12"/>
  <c r="BY123" i="12"/>
  <c r="BX123" i="12"/>
  <c r="BW123" i="12"/>
  <c r="BV123" i="12"/>
  <c r="BU123" i="12"/>
  <c r="BS123" i="12"/>
  <c r="CC122" i="12"/>
  <c r="CB122" i="12"/>
  <c r="CA122" i="12"/>
  <c r="BZ122" i="12"/>
  <c r="BY122" i="12"/>
  <c r="BX122" i="12"/>
  <c r="BW122" i="12"/>
  <c r="BV122" i="12"/>
  <c r="BU122" i="12"/>
  <c r="BS122" i="12"/>
  <c r="CC121" i="12"/>
  <c r="CB121" i="12"/>
  <c r="CA121" i="12"/>
  <c r="BZ121" i="12"/>
  <c r="BY121" i="12"/>
  <c r="BX121" i="12"/>
  <c r="BW121" i="12"/>
  <c r="BV121" i="12"/>
  <c r="BU121" i="12"/>
  <c r="BS121" i="12"/>
  <c r="CC120" i="12"/>
  <c r="CB120" i="12"/>
  <c r="CA120" i="12"/>
  <c r="BZ120" i="12"/>
  <c r="BY120" i="12"/>
  <c r="BX120" i="12"/>
  <c r="BW120" i="12"/>
  <c r="BV120" i="12"/>
  <c r="BU120" i="12"/>
  <c r="BS120" i="12"/>
  <c r="CC119" i="12"/>
  <c r="CB119" i="12"/>
  <c r="CA119" i="12"/>
  <c r="BZ119" i="12"/>
  <c r="BY119" i="12"/>
  <c r="BW119" i="12"/>
  <c r="BU119" i="12"/>
  <c r="BS119" i="12"/>
  <c r="CC118" i="12"/>
  <c r="CB118" i="12"/>
  <c r="CA118" i="12"/>
  <c r="BZ118" i="12"/>
  <c r="BY118" i="12"/>
  <c r="BW118" i="12"/>
  <c r="BU118" i="12"/>
  <c r="BS118" i="12"/>
  <c r="CC117" i="12"/>
  <c r="CB117" i="12"/>
  <c r="CA117" i="12"/>
  <c r="BZ117" i="12"/>
  <c r="BY117" i="12"/>
  <c r="BW117" i="12"/>
  <c r="BU117" i="12"/>
  <c r="BS117" i="12"/>
  <c r="CC116" i="12"/>
  <c r="CB116" i="12"/>
  <c r="CA116" i="12"/>
  <c r="BZ116" i="12"/>
  <c r="BY116" i="12"/>
  <c r="BW116" i="12"/>
  <c r="BU116" i="12"/>
  <c r="BS116" i="12"/>
  <c r="CC115" i="12"/>
  <c r="CB115" i="12"/>
  <c r="CA115" i="12"/>
  <c r="BZ115" i="12"/>
  <c r="BY115" i="12"/>
  <c r="BW115" i="12"/>
  <c r="BU115" i="12"/>
  <c r="BS115" i="12"/>
  <c r="CC114" i="12"/>
  <c r="CB114" i="12"/>
  <c r="CA114" i="12"/>
  <c r="BZ114" i="12"/>
  <c r="BY114" i="12"/>
  <c r="BW114" i="12"/>
  <c r="BU114" i="12"/>
  <c r="BS114" i="12"/>
  <c r="CC113" i="12"/>
  <c r="CB113" i="12"/>
  <c r="CA113" i="12"/>
  <c r="BZ113" i="12"/>
  <c r="BY113" i="12"/>
  <c r="BW113" i="12"/>
  <c r="BU113" i="12"/>
  <c r="BS113" i="12"/>
  <c r="CC112" i="12"/>
  <c r="CB112" i="12"/>
  <c r="CA112" i="12"/>
  <c r="BZ112" i="12"/>
  <c r="BY112" i="12"/>
  <c r="BW112" i="12"/>
  <c r="BU112" i="12"/>
  <c r="BS112" i="12"/>
  <c r="CC111" i="12"/>
  <c r="CB111" i="12"/>
  <c r="CA111" i="12"/>
  <c r="BZ111" i="12"/>
  <c r="BY111" i="12"/>
  <c r="BW111" i="12"/>
  <c r="BU111" i="12"/>
  <c r="BS111" i="12"/>
  <c r="CC110" i="12"/>
  <c r="CB110" i="12"/>
  <c r="CA110" i="12"/>
  <c r="BZ110" i="12"/>
  <c r="BY110" i="12"/>
  <c r="BW110" i="12"/>
  <c r="BU110" i="12"/>
  <c r="BS110" i="12"/>
  <c r="CC109" i="12"/>
  <c r="CB109" i="12"/>
  <c r="CA109" i="12"/>
  <c r="BZ109" i="12"/>
  <c r="BY109" i="12"/>
  <c r="BW109" i="12"/>
  <c r="BU109" i="12"/>
  <c r="BS109" i="12"/>
  <c r="CC108" i="12"/>
  <c r="CB108" i="12"/>
  <c r="CA108" i="12"/>
  <c r="BZ108" i="12"/>
  <c r="BY108" i="12"/>
  <c r="BW108" i="12"/>
  <c r="BU108" i="12"/>
  <c r="BS108" i="12"/>
  <c r="CC107" i="12"/>
  <c r="CB107" i="12"/>
  <c r="CA107" i="12"/>
  <c r="BY107" i="12"/>
  <c r="BW107" i="12"/>
  <c r="BU107" i="12"/>
  <c r="BS107" i="12"/>
  <c r="CC106" i="12"/>
  <c r="CB106" i="12"/>
  <c r="CA106" i="12"/>
  <c r="BY106" i="12"/>
  <c r="BW106" i="12"/>
  <c r="BU106" i="12"/>
  <c r="BS106" i="12"/>
  <c r="CC105" i="12"/>
  <c r="CB105" i="12"/>
  <c r="CA105" i="12"/>
  <c r="BY105" i="12"/>
  <c r="BW105" i="12"/>
  <c r="BU105" i="12"/>
  <c r="BS105" i="12"/>
  <c r="CC104" i="12"/>
  <c r="CB104" i="12"/>
  <c r="CA104" i="12"/>
  <c r="BY104" i="12"/>
  <c r="BW104" i="12"/>
  <c r="BU104" i="12"/>
  <c r="BS104" i="12"/>
  <c r="CC103" i="12"/>
  <c r="CB103" i="12"/>
  <c r="CA103" i="12"/>
  <c r="BY103" i="12"/>
  <c r="BW103" i="12"/>
  <c r="BU103" i="12"/>
  <c r="BS103" i="12"/>
  <c r="CC102" i="12"/>
  <c r="CB102" i="12"/>
  <c r="CA102" i="12"/>
  <c r="BY102" i="12"/>
  <c r="BW102" i="12"/>
  <c r="BU102" i="12"/>
  <c r="BS102" i="12"/>
  <c r="CC101" i="12"/>
  <c r="CB101" i="12"/>
  <c r="CA101" i="12"/>
  <c r="BY101" i="12"/>
  <c r="BW101" i="12"/>
  <c r="BU101" i="12"/>
  <c r="BS101" i="12"/>
  <c r="CC100" i="12"/>
  <c r="CB100" i="12"/>
  <c r="CA100" i="12"/>
  <c r="BY100" i="12"/>
  <c r="BW100" i="12"/>
  <c r="BU100" i="12"/>
  <c r="BS100" i="12"/>
  <c r="CC99" i="12"/>
  <c r="CB99" i="12"/>
  <c r="CA99" i="12"/>
  <c r="BY99" i="12"/>
  <c r="BW99" i="12"/>
  <c r="BU99" i="12"/>
  <c r="BS99" i="12"/>
  <c r="CC98" i="12"/>
  <c r="CB98" i="12"/>
  <c r="CA98" i="12"/>
  <c r="BY98" i="12"/>
  <c r="BW98" i="12"/>
  <c r="BU98" i="12"/>
  <c r="BS98" i="12"/>
  <c r="CC97" i="12"/>
  <c r="CB97" i="12"/>
  <c r="CA97" i="12"/>
  <c r="BY97" i="12"/>
  <c r="BW97" i="12"/>
  <c r="BU97" i="12"/>
  <c r="BS97" i="12"/>
  <c r="CC96" i="12"/>
  <c r="CB96" i="12"/>
  <c r="CA96" i="12"/>
  <c r="BY96" i="12"/>
  <c r="BW96" i="12"/>
  <c r="BU96" i="12"/>
  <c r="BS96" i="12"/>
  <c r="CC95" i="12"/>
  <c r="CB95" i="12"/>
  <c r="CA95" i="12"/>
  <c r="BY95" i="12"/>
  <c r="BW95" i="12"/>
  <c r="BU95" i="12"/>
  <c r="BS95" i="12"/>
  <c r="CC94" i="12"/>
  <c r="CB94" i="12"/>
  <c r="CA94" i="12"/>
  <c r="BY94" i="12"/>
  <c r="BW94" i="12"/>
  <c r="BU94" i="12"/>
  <c r="BS94" i="12"/>
  <c r="CC93" i="12"/>
  <c r="CB93" i="12"/>
  <c r="CA93" i="12"/>
  <c r="BY93" i="12"/>
  <c r="BW93" i="12"/>
  <c r="BU93" i="12"/>
  <c r="BS93" i="12"/>
  <c r="CC92" i="12"/>
  <c r="CB92" i="12"/>
  <c r="CA92" i="12"/>
  <c r="BY92" i="12"/>
  <c r="BW92" i="12"/>
  <c r="BU92" i="12"/>
  <c r="BS92" i="12"/>
  <c r="CC91" i="12"/>
  <c r="CB91" i="12"/>
  <c r="CA91" i="12"/>
  <c r="BY91" i="12"/>
  <c r="BW91" i="12"/>
  <c r="BU91" i="12"/>
  <c r="BS91" i="12"/>
  <c r="CC90" i="12"/>
  <c r="CB90" i="12"/>
  <c r="CA90" i="12"/>
  <c r="BY90" i="12"/>
  <c r="BW90" i="12"/>
  <c r="BU90" i="12"/>
  <c r="BS90" i="12"/>
  <c r="CC89" i="12"/>
  <c r="CB89" i="12"/>
  <c r="CA89" i="12"/>
  <c r="BY89" i="12"/>
  <c r="BW89" i="12"/>
  <c r="BU89" i="12"/>
  <c r="BS89" i="12"/>
  <c r="CC88" i="12"/>
  <c r="CB88" i="12"/>
  <c r="CA88" i="12"/>
  <c r="BY88" i="12"/>
  <c r="BW88" i="12"/>
  <c r="BU88" i="12"/>
  <c r="BS88" i="12"/>
  <c r="CC87" i="12"/>
  <c r="CB87" i="12"/>
  <c r="CA87" i="12"/>
  <c r="BY87" i="12"/>
  <c r="BW87" i="12"/>
  <c r="BU87" i="12"/>
  <c r="BS87" i="12"/>
  <c r="CC86" i="12"/>
  <c r="CA86" i="12"/>
  <c r="BY86" i="12"/>
  <c r="BW86" i="12"/>
  <c r="BU86" i="12"/>
  <c r="BS86" i="12"/>
  <c r="CC85" i="12"/>
  <c r="CA85" i="12"/>
  <c r="BY85" i="12"/>
  <c r="BW85" i="12"/>
  <c r="BU85" i="12"/>
  <c r="BS85" i="12"/>
  <c r="CC84" i="12"/>
  <c r="CA84" i="12"/>
  <c r="BY84" i="12"/>
  <c r="BW84" i="12"/>
  <c r="BU84" i="12"/>
  <c r="BS84" i="12"/>
  <c r="CC83" i="12"/>
  <c r="CA83" i="12"/>
  <c r="BY83" i="12"/>
  <c r="BW83" i="12"/>
  <c r="BU83" i="12"/>
  <c r="BS83" i="12"/>
  <c r="CC82" i="12"/>
  <c r="CA82" i="12"/>
  <c r="BY82" i="12"/>
  <c r="BW82" i="12"/>
  <c r="BU82" i="12"/>
  <c r="BS82" i="12"/>
  <c r="CC81" i="12"/>
  <c r="CA81" i="12"/>
  <c r="BY81" i="12"/>
  <c r="BW81" i="12"/>
  <c r="BU81" i="12"/>
  <c r="BS81" i="12"/>
  <c r="CC80" i="12"/>
  <c r="CA80" i="12"/>
  <c r="BY80" i="12"/>
  <c r="BW80" i="12"/>
  <c r="BU80" i="12"/>
  <c r="BS80" i="12"/>
  <c r="CC79" i="12"/>
  <c r="CA79" i="12"/>
  <c r="BY79" i="12"/>
  <c r="BW79" i="12"/>
  <c r="BU79" i="12"/>
  <c r="BS79" i="12"/>
  <c r="CC78" i="12"/>
  <c r="CA78" i="12"/>
  <c r="BY78" i="12"/>
  <c r="BW78" i="12"/>
  <c r="BU78" i="12"/>
  <c r="BS78" i="12"/>
  <c r="CC77" i="12"/>
  <c r="CA77" i="12"/>
  <c r="BY77" i="12"/>
  <c r="BW77" i="12"/>
  <c r="BU77" i="12"/>
  <c r="BS77" i="12"/>
  <c r="CC76" i="12"/>
  <c r="CA76" i="12"/>
  <c r="BY76" i="12"/>
  <c r="BW76" i="12"/>
  <c r="BU76" i="12"/>
  <c r="BS76" i="12"/>
  <c r="AI76" i="12"/>
  <c r="CC75" i="12"/>
  <c r="CB75" i="12"/>
  <c r="CA75" i="12"/>
  <c r="BY75" i="12"/>
  <c r="BW75" i="12"/>
  <c r="BU75" i="12"/>
  <c r="BS75" i="12"/>
  <c r="AT75" i="12"/>
  <c r="CC74" i="12"/>
  <c r="CB74" i="12"/>
  <c r="CA74" i="12"/>
  <c r="BY74" i="12"/>
  <c r="BW74" i="12"/>
  <c r="BU74" i="12"/>
  <c r="BS74" i="12"/>
  <c r="BB74" i="12"/>
  <c r="BA74" i="12"/>
  <c r="AT74" i="12"/>
  <c r="CC73" i="12"/>
  <c r="CB73" i="12"/>
  <c r="CA73" i="12"/>
  <c r="BY73" i="12"/>
  <c r="BW73" i="12"/>
  <c r="BU73" i="12"/>
  <c r="BS73" i="12"/>
  <c r="BO73" i="12"/>
  <c r="AK27" i="12"/>
  <c r="AN27" i="12" s="1"/>
  <c r="BB73" i="12"/>
  <c r="BA73" i="12"/>
  <c r="AT73" i="12"/>
  <c r="CC72" i="12"/>
  <c r="CB72" i="12"/>
  <c r="CA72" i="12"/>
  <c r="BY72" i="12"/>
  <c r="BW72" i="12"/>
  <c r="BU72" i="12"/>
  <c r="BS72" i="12"/>
  <c r="BH72" i="12"/>
  <c r="AT72" i="12"/>
  <c r="CC71" i="12"/>
  <c r="CB71" i="12"/>
  <c r="CA71" i="12"/>
  <c r="BZ71" i="12"/>
  <c r="BY71" i="12"/>
  <c r="BX71" i="12"/>
  <c r="BW71" i="12"/>
  <c r="BV71" i="12"/>
  <c r="BU71" i="12"/>
  <c r="BT71" i="12"/>
  <c r="BS71" i="12"/>
  <c r="AT71" i="12"/>
  <c r="B71" i="12"/>
  <c r="CC70" i="12"/>
  <c r="CB70" i="12"/>
  <c r="CA70" i="12"/>
  <c r="BZ70" i="12"/>
  <c r="BY70" i="12"/>
  <c r="BX70" i="12"/>
  <c r="BW70" i="12"/>
  <c r="BV70" i="12"/>
  <c r="BU70" i="12"/>
  <c r="BT70" i="12"/>
  <c r="BS70" i="12"/>
  <c r="AT70" i="12"/>
  <c r="CD69" i="12"/>
  <c r="CC69" i="12"/>
  <c r="BZ69" i="12"/>
  <c r="BY69" i="12"/>
  <c r="BX69" i="12"/>
  <c r="BW69" i="12"/>
  <c r="BV69" i="12"/>
  <c r="BU69" i="12"/>
  <c r="BT69" i="12"/>
  <c r="BS69" i="12"/>
  <c r="AT69" i="12"/>
  <c r="CD68" i="12"/>
  <c r="CC68" i="12"/>
  <c r="BZ68" i="12"/>
  <c r="BY68" i="12"/>
  <c r="BX68" i="12"/>
  <c r="BW68" i="12"/>
  <c r="BV68" i="12"/>
  <c r="BU68" i="12"/>
  <c r="BT68" i="12"/>
  <c r="BS68" i="12"/>
  <c r="AT68" i="12"/>
  <c r="CD67" i="12"/>
  <c r="CC67" i="12"/>
  <c r="BZ67" i="12"/>
  <c r="BY67" i="12"/>
  <c r="BX67" i="12"/>
  <c r="BW67" i="12"/>
  <c r="BV67" i="12"/>
  <c r="BU67" i="12"/>
  <c r="BT67" i="12"/>
  <c r="BS67" i="12"/>
  <c r="AT67" i="12"/>
  <c r="CD66" i="12"/>
  <c r="CC66" i="12"/>
  <c r="CA66" i="12"/>
  <c r="BZ66" i="12"/>
  <c r="BY66" i="12"/>
  <c r="BX66" i="12"/>
  <c r="BW66" i="12"/>
  <c r="BV66" i="12"/>
  <c r="BU66" i="12"/>
  <c r="BT66" i="12"/>
  <c r="BS66" i="12"/>
  <c r="AT66" i="12"/>
  <c r="CD65" i="12"/>
  <c r="CC65" i="12"/>
  <c r="CA65" i="12"/>
  <c r="BH65" i="12"/>
  <c r="BB65" i="12"/>
  <c r="AI65" i="12"/>
  <c r="CY61" i="12"/>
  <c r="CX61" i="12"/>
  <c r="CS61" i="12"/>
  <c r="CR61" i="12"/>
  <c r="CK61" i="12"/>
  <c r="CJ61" i="12"/>
  <c r="CE61" i="12"/>
  <c r="CD61" i="12"/>
  <c r="CC61" i="12"/>
  <c r="CB61" i="12"/>
  <c r="CA61" i="12"/>
  <c r="BZ61" i="12"/>
  <c r="BX61" i="12"/>
  <c r="CL61" i="12" s="1"/>
  <c r="CQ61" i="12"/>
  <c r="BH61" i="12"/>
  <c r="BG61" i="12"/>
  <c r="BF61" i="12"/>
  <c r="BE61" i="12"/>
  <c r="BD61" i="12"/>
  <c r="AX61" i="12"/>
  <c r="CY60" i="12"/>
  <c r="CX60" i="12"/>
  <c r="CS60" i="12"/>
  <c r="CR60" i="12"/>
  <c r="CK60" i="12"/>
  <c r="CJ60" i="12"/>
  <c r="CE60" i="12"/>
  <c r="CD60" i="12"/>
  <c r="CC60" i="12"/>
  <c r="CB60" i="12"/>
  <c r="CA60" i="12"/>
  <c r="BZ60" i="12"/>
  <c r="BX60" i="12"/>
  <c r="CL60" i="12" s="1"/>
  <c r="CQ60" i="12"/>
  <c r="CO60" i="12"/>
  <c r="CN60" i="12"/>
  <c r="BH60" i="12"/>
  <c r="BG60" i="12"/>
  <c r="BF60" i="12"/>
  <c r="BE60" i="12"/>
  <c r="BD60" i="12"/>
  <c r="AX60" i="12"/>
  <c r="CY59" i="12"/>
  <c r="CX59" i="12"/>
  <c r="CS59" i="12"/>
  <c r="CR59" i="12"/>
  <c r="CK59" i="12"/>
  <c r="CJ59" i="12"/>
  <c r="CE59" i="12"/>
  <c r="CD59" i="12"/>
  <c r="CC59" i="12"/>
  <c r="CB59" i="12"/>
  <c r="CA59" i="12"/>
  <c r="BZ59" i="12"/>
  <c r="BX59" i="12"/>
  <c r="CZ59" i="12" s="1"/>
  <c r="CQ59" i="12"/>
  <c r="BH59" i="12"/>
  <c r="BG59" i="12"/>
  <c r="BF59" i="12"/>
  <c r="BE59" i="12"/>
  <c r="BD59" i="12"/>
  <c r="AX59" i="12"/>
  <c r="CY58" i="12"/>
  <c r="CX58" i="12"/>
  <c r="CS58" i="12"/>
  <c r="CR58" i="12"/>
  <c r="CK58" i="12"/>
  <c r="CJ58" i="12"/>
  <c r="CE58" i="12"/>
  <c r="CD58" i="12"/>
  <c r="CC58" i="12"/>
  <c r="CB58" i="12"/>
  <c r="CA58" i="12"/>
  <c r="BZ58" i="12"/>
  <c r="BX58" i="12"/>
  <c r="CQ58" i="12"/>
  <c r="BH58" i="12"/>
  <c r="BG58" i="12"/>
  <c r="BF58" i="12"/>
  <c r="BE58" i="12"/>
  <c r="BD58" i="12"/>
  <c r="AX58" i="12"/>
  <c r="CY57" i="12"/>
  <c r="CX57" i="12"/>
  <c r="CS57" i="12"/>
  <c r="CR57" i="12"/>
  <c r="CK57" i="12"/>
  <c r="CJ57" i="12"/>
  <c r="CE57" i="12"/>
  <c r="CD57" i="12"/>
  <c r="CC57" i="12"/>
  <c r="CB57" i="12"/>
  <c r="CA57" i="12"/>
  <c r="BZ57" i="12"/>
  <c r="BX57" i="12"/>
  <c r="BH57" i="12"/>
  <c r="BG57" i="12"/>
  <c r="BF57" i="12"/>
  <c r="BE57" i="12"/>
  <c r="BD57" i="12"/>
  <c r="AX57" i="12"/>
  <c r="CY56" i="12"/>
  <c r="CX56" i="12"/>
  <c r="CS56" i="12"/>
  <c r="CR56" i="12"/>
  <c r="CK56" i="12"/>
  <c r="CJ56" i="12"/>
  <c r="CE56" i="12"/>
  <c r="CD56" i="12"/>
  <c r="CC56" i="12"/>
  <c r="CB56" i="12"/>
  <c r="CA56" i="12"/>
  <c r="BZ56" i="12"/>
  <c r="BX56" i="12"/>
  <c r="CZ56" i="12" s="1"/>
  <c r="BS56" i="12"/>
  <c r="BJ56" i="12" s="1"/>
  <c r="BT56" i="12"/>
  <c r="CH56" i="12" s="1"/>
  <c r="BH56" i="12"/>
  <c r="BG56" i="12"/>
  <c r="BF56" i="12"/>
  <c r="BE56" i="12"/>
  <c r="BD56" i="12"/>
  <c r="AX56" i="12"/>
  <c r="CY55" i="12"/>
  <c r="CX55" i="12"/>
  <c r="CS55" i="12"/>
  <c r="CR55" i="12"/>
  <c r="CK55" i="12"/>
  <c r="CJ55" i="12"/>
  <c r="CE55" i="12"/>
  <c r="CD55" i="12"/>
  <c r="CC55" i="12"/>
  <c r="CB55" i="12"/>
  <c r="CA55" i="12"/>
  <c r="BZ55" i="12"/>
  <c r="BX55" i="12"/>
  <c r="CQ55" i="12"/>
  <c r="BH55" i="12"/>
  <c r="BG55" i="12"/>
  <c r="BF55" i="12"/>
  <c r="BE55" i="12"/>
  <c r="BD55" i="12"/>
  <c r="AX55" i="12"/>
  <c r="CY54" i="12"/>
  <c r="CX54" i="12"/>
  <c r="CS54" i="12"/>
  <c r="CR54" i="12"/>
  <c r="CK54" i="12"/>
  <c r="CJ54" i="12"/>
  <c r="CE54" i="12"/>
  <c r="CD54" i="12"/>
  <c r="CC54" i="12"/>
  <c r="CB54" i="12"/>
  <c r="CA54" i="12"/>
  <c r="BZ54" i="12"/>
  <c r="BX54" i="12"/>
  <c r="CZ54" i="12" s="1"/>
  <c r="CQ54" i="12"/>
  <c r="CN54" i="12"/>
  <c r="BH54" i="12"/>
  <c r="BG54" i="12"/>
  <c r="BF54" i="12"/>
  <c r="BE54" i="12"/>
  <c r="BD54" i="12"/>
  <c r="AX54" i="12"/>
  <c r="CY53" i="12"/>
  <c r="CX53" i="12"/>
  <c r="CS53" i="12"/>
  <c r="CR53" i="12"/>
  <c r="CK53" i="12"/>
  <c r="CJ53" i="12"/>
  <c r="CE53" i="12"/>
  <c r="CD53" i="12"/>
  <c r="CC53" i="12"/>
  <c r="CB53" i="12"/>
  <c r="CA53" i="12"/>
  <c r="BZ53" i="12"/>
  <c r="BX53" i="12"/>
  <c r="CZ53" i="12" s="1"/>
  <c r="CL53" i="12"/>
  <c r="CQ53" i="12"/>
  <c r="BT53" i="12"/>
  <c r="CH53" i="12" s="1"/>
  <c r="BH53" i="12"/>
  <c r="BG53" i="12"/>
  <c r="BF53" i="12"/>
  <c r="BE53" i="12"/>
  <c r="BD53" i="12"/>
  <c r="AX53" i="12"/>
  <c r="CY52" i="12"/>
  <c r="CX52" i="12"/>
  <c r="CS52" i="12"/>
  <c r="CR52" i="12"/>
  <c r="CK52" i="12"/>
  <c r="CJ52" i="12"/>
  <c r="CE52" i="12"/>
  <c r="CD52" i="12"/>
  <c r="CC52" i="12"/>
  <c r="CB52" i="12"/>
  <c r="CA52" i="12"/>
  <c r="BZ52" i="12"/>
  <c r="BX52" i="12"/>
  <c r="CL52" i="12" s="1"/>
  <c r="CQ52" i="12"/>
  <c r="CO52" i="12"/>
  <c r="BH52" i="12"/>
  <c r="BG52" i="12"/>
  <c r="BF52" i="12"/>
  <c r="BE52" i="12"/>
  <c r="BD52" i="12"/>
  <c r="AX52" i="12"/>
  <c r="CY51" i="12"/>
  <c r="CX51" i="12"/>
  <c r="CS51" i="12"/>
  <c r="CR51" i="12"/>
  <c r="CK51" i="12"/>
  <c r="CJ51" i="12"/>
  <c r="CE51" i="12"/>
  <c r="CD51" i="12"/>
  <c r="CC51" i="12"/>
  <c r="CB51" i="12"/>
  <c r="CA51" i="12"/>
  <c r="BZ51" i="12"/>
  <c r="BX51" i="12"/>
  <c r="CZ51" i="12" s="1"/>
  <c r="CQ51" i="12"/>
  <c r="CP51" i="12"/>
  <c r="BH51" i="12"/>
  <c r="BG51" i="12"/>
  <c r="BF51" i="12"/>
  <c r="BE51" i="12"/>
  <c r="BD51" i="12"/>
  <c r="AX51" i="12"/>
  <c r="CY50" i="12"/>
  <c r="CX50" i="12"/>
  <c r="CS50" i="12"/>
  <c r="CR50" i="12"/>
  <c r="CK50" i="12"/>
  <c r="CJ50" i="12"/>
  <c r="CE50" i="12"/>
  <c r="CD50" i="12"/>
  <c r="CC50" i="12"/>
  <c r="CB50" i="12"/>
  <c r="CA50" i="12"/>
  <c r="BZ50" i="12"/>
  <c r="BX50" i="12"/>
  <c r="CL50" i="12" s="1"/>
  <c r="CQ50" i="12"/>
  <c r="BH50" i="12"/>
  <c r="BG50" i="12"/>
  <c r="BF50" i="12"/>
  <c r="BE50" i="12"/>
  <c r="BD50" i="12"/>
  <c r="AX50" i="12"/>
  <c r="CY49" i="12"/>
  <c r="CX49" i="12"/>
  <c r="CS49" i="12"/>
  <c r="CR49" i="12"/>
  <c r="CK49" i="12"/>
  <c r="CJ49" i="12"/>
  <c r="CE49" i="12"/>
  <c r="CD49" i="12"/>
  <c r="CC49" i="12"/>
  <c r="CB49" i="12"/>
  <c r="CA49" i="12"/>
  <c r="BZ49" i="12"/>
  <c r="BX49" i="12"/>
  <c r="CQ49" i="12"/>
  <c r="BH49" i="12"/>
  <c r="BG49" i="12"/>
  <c r="BF49" i="12"/>
  <c r="BE49" i="12"/>
  <c r="BD49" i="12"/>
  <c r="AX49" i="12"/>
  <c r="CY48" i="12"/>
  <c r="CX48" i="12"/>
  <c r="CS48" i="12"/>
  <c r="CR48" i="12"/>
  <c r="CK48" i="12"/>
  <c r="CJ48" i="12"/>
  <c r="CE48" i="12"/>
  <c r="CD48" i="12"/>
  <c r="CC48" i="12"/>
  <c r="CB48" i="12"/>
  <c r="CA48" i="12"/>
  <c r="BZ48" i="12"/>
  <c r="BX48" i="12"/>
  <c r="CL48" i="12" s="1"/>
  <c r="CQ48" i="12"/>
  <c r="BH48" i="12"/>
  <c r="BG48" i="12"/>
  <c r="BF48" i="12"/>
  <c r="BE48" i="12"/>
  <c r="BD48" i="12"/>
  <c r="AX48" i="12"/>
  <c r="CY47" i="12"/>
  <c r="CX47" i="12"/>
  <c r="CS47" i="12"/>
  <c r="CR47" i="12"/>
  <c r="CK47" i="12"/>
  <c r="CJ47" i="12"/>
  <c r="CE47" i="12"/>
  <c r="CD47" i="12"/>
  <c r="CC47" i="12"/>
  <c r="CB47" i="12"/>
  <c r="CA47" i="12"/>
  <c r="BZ47" i="12"/>
  <c r="BX47" i="12"/>
  <c r="CL47" i="12" s="1"/>
  <c r="CQ47" i="12"/>
  <c r="BH47" i="12"/>
  <c r="BG47" i="12"/>
  <c r="BF47" i="12"/>
  <c r="BE47" i="12"/>
  <c r="BD47" i="12"/>
  <c r="AX47" i="12"/>
  <c r="AR47" i="12"/>
  <c r="CY46" i="12"/>
  <c r="CX46" i="12"/>
  <c r="CS46" i="12"/>
  <c r="CR46" i="12"/>
  <c r="CK46" i="12"/>
  <c r="CJ46" i="12"/>
  <c r="CE46" i="12"/>
  <c r="CD46" i="12"/>
  <c r="CC46" i="12"/>
  <c r="CB46" i="12"/>
  <c r="CA46" i="12"/>
  <c r="BZ46" i="12"/>
  <c r="BX46" i="12"/>
  <c r="CL46" i="12" s="1"/>
  <c r="BI46" i="12" s="1"/>
  <c r="CQ46" i="12"/>
  <c r="BH46" i="12"/>
  <c r="BG46" i="12"/>
  <c r="BF46" i="12"/>
  <c r="BE46" i="12"/>
  <c r="BD46" i="12"/>
  <c r="AX46" i="12"/>
  <c r="AU41" i="12"/>
  <c r="AT41" i="12"/>
  <c r="AI41" i="12"/>
  <c r="AB41" i="12"/>
  <c r="U41" i="12"/>
  <c r="N41" i="12"/>
  <c r="E41" i="12"/>
  <c r="B41" i="12"/>
  <c r="AU40" i="12"/>
  <c r="AT40" i="12"/>
  <c r="AI40" i="12"/>
  <c r="AB40" i="12"/>
  <c r="U40" i="12"/>
  <c r="S40" i="12"/>
  <c r="N40" i="12"/>
  <c r="L40" i="12"/>
  <c r="E40" i="12"/>
  <c r="B40" i="12"/>
  <c r="AU39" i="12"/>
  <c r="AT39" i="12"/>
  <c r="B39" i="12"/>
  <c r="AU38" i="12"/>
  <c r="AT38" i="12"/>
  <c r="AG38" i="12"/>
  <c r="AB38" i="12"/>
  <c r="W38" i="12"/>
  <c r="R38" i="12"/>
  <c r="M38" i="12"/>
  <c r="E38" i="12"/>
  <c r="B38" i="12"/>
  <c r="AU37" i="12"/>
  <c r="AT37" i="12"/>
  <c r="AE37" i="12"/>
  <c r="Y37" i="12"/>
  <c r="S37" i="12"/>
  <c r="M37" i="12"/>
  <c r="E37" i="12"/>
  <c r="B37" i="12"/>
  <c r="BS36" i="12"/>
  <c r="AU36" i="12"/>
  <c r="AT36" i="12"/>
  <c r="B36" i="12"/>
  <c r="BS35" i="12"/>
  <c r="AK35" i="12"/>
  <c r="AF35" i="12"/>
  <c r="AA35" i="12"/>
  <c r="V35" i="12"/>
  <c r="Q35" i="12"/>
  <c r="L35" i="12"/>
  <c r="E35" i="12"/>
  <c r="B35" i="12"/>
  <c r="BS34" i="12"/>
  <c r="B34" i="12"/>
  <c r="BS33" i="12"/>
  <c r="B33" i="12"/>
  <c r="BS32" i="12"/>
  <c r="BM32" i="12"/>
  <c r="A32" i="12"/>
  <c r="BS31" i="12"/>
  <c r="BM31" i="12"/>
  <c r="A31" i="12"/>
  <c r="BS30" i="12"/>
  <c r="BM30" i="12"/>
  <c r="R30" i="12"/>
  <c r="C30" i="12"/>
  <c r="BS29" i="12"/>
  <c r="BM29" i="12"/>
  <c r="N29" i="12"/>
  <c r="C29" i="12"/>
  <c r="BS28" i="12"/>
  <c r="BM28" i="12"/>
  <c r="AM28" i="12"/>
  <c r="AD28" i="12"/>
  <c r="AA28" i="12"/>
  <c r="R28" i="12"/>
  <c r="N28" i="12"/>
  <c r="C28" i="12"/>
  <c r="BS27" i="12"/>
  <c r="BM27" i="12"/>
  <c r="AM27" i="12"/>
  <c r="AA27" i="12"/>
  <c r="R27" i="12"/>
  <c r="N27" i="12"/>
  <c r="C27" i="12"/>
  <c r="BS26" i="12"/>
  <c r="BM26" i="12"/>
  <c r="AM26" i="12"/>
  <c r="AK26" i="12"/>
  <c r="AN26" i="12" s="1"/>
  <c r="AA26" i="12"/>
  <c r="R26" i="12"/>
  <c r="N26" i="12"/>
  <c r="C26" i="12"/>
  <c r="BS25" i="12"/>
  <c r="BM25" i="12"/>
  <c r="AM25" i="12"/>
  <c r="AK25" i="12"/>
  <c r="AN25" i="12" s="1"/>
  <c r="AB25" i="12"/>
  <c r="AA25" i="12"/>
  <c r="R25" i="12"/>
  <c r="N25" i="12"/>
  <c r="C25" i="12"/>
  <c r="BS24" i="12"/>
  <c r="BM24" i="12"/>
  <c r="AM24" i="12"/>
  <c r="AK24" i="12"/>
  <c r="AN24" i="12"/>
  <c r="AB24" i="12"/>
  <c r="AA24" i="12"/>
  <c r="R24" i="12"/>
  <c r="C24" i="12"/>
  <c r="BS23" i="12"/>
  <c r="BM23" i="12"/>
  <c r="AB23" i="12"/>
  <c r="AA23" i="12"/>
  <c r="R23" i="12"/>
  <c r="C23" i="12"/>
  <c r="BS22" i="12"/>
  <c r="BM22" i="12"/>
  <c r="AN22" i="12"/>
  <c r="AM22" i="12"/>
  <c r="AD22" i="12"/>
  <c r="AA22" i="12"/>
  <c r="BS21" i="12"/>
  <c r="BM21" i="12"/>
  <c r="AM21" i="12"/>
  <c r="AB21" i="12"/>
  <c r="AA21" i="12"/>
  <c r="R21" i="12"/>
  <c r="C21" i="12"/>
  <c r="BS20" i="12"/>
  <c r="BM20" i="12"/>
  <c r="AS20" i="12"/>
  <c r="AQ20" i="12"/>
  <c r="BS19" i="12"/>
  <c r="BM19" i="12"/>
  <c r="AS19" i="12"/>
  <c r="AQ19" i="12"/>
  <c r="BS18" i="12"/>
  <c r="BM18" i="12"/>
  <c r="AS18" i="12"/>
  <c r="AQ18" i="12"/>
  <c r="BS17" i="12"/>
  <c r="BM17" i="12"/>
  <c r="BF17" i="12"/>
  <c r="BE17" i="12"/>
  <c r="BD17" i="12"/>
  <c r="BA17" i="12"/>
  <c r="AZ17" i="12"/>
  <c r="AY17" i="12"/>
  <c r="AX17" i="12"/>
  <c r="G17" i="12"/>
  <c r="BS16" i="12"/>
  <c r="BM16" i="12"/>
  <c r="BF16" i="12"/>
  <c r="BE16" i="12"/>
  <c r="BD16" i="12"/>
  <c r="BA16" i="12"/>
  <c r="AZ16" i="12"/>
  <c r="AY16" i="12"/>
  <c r="AX16" i="12"/>
  <c r="G16" i="12"/>
  <c r="BS15" i="12"/>
  <c r="BM15" i="12"/>
  <c r="BF15" i="12"/>
  <c r="BE15" i="12"/>
  <c r="BD15" i="12"/>
  <c r="BA15" i="12"/>
  <c r="AZ15" i="12"/>
  <c r="AY15" i="12"/>
  <c r="AX15" i="12"/>
  <c r="G15" i="12"/>
  <c r="BS14" i="12"/>
  <c r="BM14" i="12"/>
  <c r="BF14" i="12"/>
  <c r="BE14" i="12"/>
  <c r="BD14" i="12"/>
  <c r="BA14" i="12"/>
  <c r="AZ14" i="12"/>
  <c r="AY14" i="12"/>
  <c r="AX14" i="12"/>
  <c r="G14" i="12"/>
  <c r="BS13" i="12"/>
  <c r="BM13" i="12"/>
  <c r="BF13" i="12"/>
  <c r="BE13" i="12"/>
  <c r="BD13" i="12"/>
  <c r="BA13" i="12"/>
  <c r="AZ13" i="12"/>
  <c r="AY13" i="12"/>
  <c r="AX13" i="12"/>
  <c r="G13" i="12"/>
  <c r="BS12" i="12"/>
  <c r="BM12" i="12"/>
  <c r="BF12" i="12"/>
  <c r="BE12" i="12"/>
  <c r="BD12" i="12"/>
  <c r="BA12" i="12"/>
  <c r="AZ12" i="12"/>
  <c r="AY12" i="12"/>
  <c r="AX12" i="12"/>
  <c r="G12" i="12"/>
  <c r="BS11" i="12"/>
  <c r="BM11" i="12"/>
  <c r="BF11" i="12"/>
  <c r="BE11" i="12"/>
  <c r="BD11" i="12"/>
  <c r="BA11" i="12"/>
  <c r="AZ11" i="12"/>
  <c r="AY11" i="12"/>
  <c r="AX11" i="12"/>
  <c r="G11" i="12"/>
  <c r="BS10" i="12"/>
  <c r="BM10" i="12"/>
  <c r="BF10" i="12"/>
  <c r="BE10" i="12"/>
  <c r="BD10" i="12"/>
  <c r="BA10" i="12"/>
  <c r="AZ10" i="12"/>
  <c r="AY10" i="12"/>
  <c r="AX10" i="12"/>
  <c r="G10" i="12"/>
  <c r="BS9" i="12"/>
  <c r="BM9" i="12"/>
  <c r="BF9" i="12"/>
  <c r="BE9" i="12"/>
  <c r="BD9" i="12"/>
  <c r="BA9" i="12"/>
  <c r="AZ9" i="12"/>
  <c r="AY9" i="12"/>
  <c r="AX9" i="12"/>
  <c r="G9" i="12"/>
  <c r="BS8" i="12"/>
  <c r="BM8" i="12"/>
  <c r="BF8" i="12"/>
  <c r="BE8" i="12"/>
  <c r="BD8" i="12"/>
  <c r="BA8" i="12"/>
  <c r="AZ8" i="12"/>
  <c r="AY8" i="12"/>
  <c r="AX8" i="12"/>
  <c r="G8" i="12"/>
  <c r="BS7" i="12"/>
  <c r="BM7" i="12"/>
  <c r="BF7" i="12"/>
  <c r="BE7" i="12"/>
  <c r="BD7" i="12"/>
  <c r="BA7" i="12"/>
  <c r="AZ7" i="12"/>
  <c r="AY7" i="12"/>
  <c r="AX7" i="12"/>
  <c r="G7" i="12"/>
  <c r="BS6" i="12"/>
  <c r="BM6" i="12"/>
  <c r="BF6" i="12"/>
  <c r="BE6" i="12"/>
  <c r="BD6" i="12"/>
  <c r="BA6" i="12"/>
  <c r="AZ6" i="12"/>
  <c r="AY6" i="12"/>
  <c r="AX6" i="12"/>
  <c r="G6" i="12"/>
  <c r="BS5" i="12"/>
  <c r="BM5" i="12"/>
  <c r="BF5" i="12"/>
  <c r="BE5" i="12"/>
  <c r="BD5" i="12"/>
  <c r="BA5" i="12"/>
  <c r="AZ5" i="12"/>
  <c r="AY5" i="12"/>
  <c r="AX5" i="12"/>
  <c r="G5" i="12"/>
  <c r="BS4" i="12"/>
  <c r="BM4" i="12"/>
  <c r="BF4" i="12"/>
  <c r="BE4" i="12"/>
  <c r="BD4" i="12"/>
  <c r="BA4" i="12"/>
  <c r="AZ4" i="12"/>
  <c r="AY4" i="12"/>
  <c r="AX4" i="12"/>
  <c r="G4" i="12"/>
  <c r="BS3" i="12"/>
  <c r="BM3" i="12"/>
  <c r="BF3" i="12"/>
  <c r="BE3" i="12"/>
  <c r="BD3" i="12"/>
  <c r="BA3" i="12"/>
  <c r="AZ3" i="12"/>
  <c r="AY3" i="12"/>
  <c r="AX3" i="12"/>
  <c r="G3" i="12"/>
  <c r="BZ2" i="12"/>
  <c r="BY2" i="12"/>
  <c r="BF2" i="12"/>
  <c r="BE2" i="12"/>
  <c r="BD2" i="12"/>
  <c r="BA2" i="12"/>
  <c r="AZ2" i="12"/>
  <c r="AY2" i="12"/>
  <c r="AX2" i="12"/>
  <c r="G2" i="12"/>
  <c r="AM1" i="12"/>
  <c r="O1" i="12"/>
  <c r="N1" i="12"/>
  <c r="M1" i="12"/>
  <c r="L1" i="12"/>
  <c r="K1" i="12"/>
  <c r="J1" i="12"/>
  <c r="G1" i="12"/>
  <c r="C1" i="12"/>
  <c r="B1" i="12"/>
  <c r="BK47" i="2"/>
  <c r="CN47" i="2" s="1"/>
  <c r="BL47" i="2"/>
  <c r="CO47" i="2" s="1"/>
  <c r="BK48" i="2"/>
  <c r="BL48" i="2"/>
  <c r="BK49" i="2"/>
  <c r="CN49" i="2" s="1"/>
  <c r="BL49" i="2"/>
  <c r="CO49" i="2" s="1"/>
  <c r="BK50" i="2"/>
  <c r="BL50" i="2"/>
  <c r="BT50" i="2" s="1"/>
  <c r="BK51" i="2"/>
  <c r="BL51" i="2"/>
  <c r="BT51" i="2" s="1"/>
  <c r="BK52" i="2"/>
  <c r="BL52" i="2"/>
  <c r="BK53" i="2"/>
  <c r="BS53" i="2" s="1"/>
  <c r="BL53" i="2"/>
  <c r="BT53" i="2" s="1"/>
  <c r="BK54" i="2"/>
  <c r="BL54" i="2"/>
  <c r="BK55" i="2"/>
  <c r="CN55" i="2" s="1"/>
  <c r="BL55" i="2"/>
  <c r="CO55" i="2" s="1"/>
  <c r="BK56" i="2"/>
  <c r="BL56" i="2"/>
  <c r="CO56" i="2" s="1"/>
  <c r="BK57" i="2"/>
  <c r="BS57" i="2" s="1"/>
  <c r="CU57" i="2" s="1"/>
  <c r="BL57" i="2"/>
  <c r="CO57" i="2" s="1"/>
  <c r="BK58" i="2"/>
  <c r="BL58" i="2"/>
  <c r="BK59" i="2"/>
  <c r="BL59" i="2"/>
  <c r="BT59" i="2" s="1"/>
  <c r="BK60" i="2"/>
  <c r="BL60" i="2"/>
  <c r="BK61" i="2"/>
  <c r="BL61" i="2"/>
  <c r="CO61" i="2" s="1"/>
  <c r="BL46" i="2"/>
  <c r="BT46" i="2" s="1"/>
  <c r="BK46" i="2"/>
  <c r="BS46" i="2" s="1"/>
  <c r="BK47" i="10"/>
  <c r="BL47" i="10"/>
  <c r="BK48" i="10"/>
  <c r="BL48" i="10"/>
  <c r="BK49" i="10"/>
  <c r="BL49" i="10"/>
  <c r="BK50" i="10"/>
  <c r="BL50" i="10"/>
  <c r="BK51" i="10"/>
  <c r="BL51" i="10"/>
  <c r="BK52" i="10"/>
  <c r="BL52" i="10"/>
  <c r="BK53" i="10"/>
  <c r="BL53" i="10"/>
  <c r="BK54" i="10"/>
  <c r="BL54" i="10"/>
  <c r="BK55" i="10"/>
  <c r="BL55" i="10"/>
  <c r="BK56" i="10"/>
  <c r="BL56" i="10"/>
  <c r="BK57" i="10"/>
  <c r="BL57" i="10"/>
  <c r="BK58" i="10"/>
  <c r="BL58" i="10"/>
  <c r="BK59" i="10"/>
  <c r="BL59" i="10"/>
  <c r="BK60" i="10"/>
  <c r="BL60" i="10"/>
  <c r="BK61" i="10"/>
  <c r="BL61" i="10"/>
  <c r="BK46" i="10"/>
  <c r="BL46" i="10"/>
  <c r="BT46" i="10"/>
  <c r="CP60" i="12"/>
  <c r="CP52" i="12"/>
  <c r="CP56" i="12"/>
  <c r="CP58" i="12"/>
  <c r="AC66" i="17"/>
  <c r="BT58" i="12"/>
  <c r="CV58" i="12"/>
  <c r="CB2" i="12"/>
  <c r="BR57" i="12"/>
  <c r="BR53" i="12"/>
  <c r="AD69" i="17"/>
  <c r="AC75" i="17"/>
  <c r="CY57" i="17"/>
  <c r="BT55" i="17"/>
  <c r="CV55" i="17" s="1"/>
  <c r="BS54" i="17"/>
  <c r="CG54" i="17" s="1"/>
  <c r="CN52" i="17"/>
  <c r="AG71" i="17"/>
  <c r="CN49" i="17"/>
  <c r="BT49" i="17"/>
  <c r="CV49" i="17" s="1"/>
  <c r="BT56" i="17"/>
  <c r="AG77" i="17"/>
  <c r="CI48" i="17"/>
  <c r="BT54" i="17"/>
  <c r="AD71" i="17"/>
  <c r="CN55" i="17"/>
  <c r="AE69" i="17"/>
  <c r="BT57" i="17"/>
  <c r="CN57" i="17"/>
  <c r="AG75" i="17"/>
  <c r="BS51" i="17"/>
  <c r="CG51" i="17" s="1"/>
  <c r="BT58" i="17"/>
  <c r="CV58" i="17" s="1"/>
  <c r="BT51" i="17"/>
  <c r="CH51" i="17" s="1"/>
  <c r="CN51" i="17"/>
  <c r="CN58" i="17"/>
  <c r="CO46" i="17"/>
  <c r="CY54" i="17"/>
  <c r="CY48" i="17"/>
  <c r="BS46" i="17"/>
  <c r="CW54" i="17"/>
  <c r="BS53" i="17"/>
  <c r="CU53" i="17" s="1"/>
  <c r="AF67" i="17"/>
  <c r="CN47" i="17"/>
  <c r="AF76" i="17"/>
  <c r="AE76" i="17"/>
  <c r="AD76" i="17"/>
  <c r="AG76" i="17"/>
  <c r="AC76" i="17"/>
  <c r="CN56" i="17"/>
  <c r="CZ56" i="17"/>
  <c r="BS56" i="17"/>
  <c r="CG56" i="17" s="1"/>
  <c r="CN53" i="17"/>
  <c r="CN50" i="17"/>
  <c r="AC70" i="17"/>
  <c r="AF79" i="17"/>
  <c r="CN59" i="17"/>
  <c r="CM59" i="17" s="1"/>
  <c r="CK49" i="17"/>
  <c r="CK58" i="17"/>
  <c r="CK61" i="17"/>
  <c r="AF75" i="17"/>
  <c r="CO61" i="17"/>
  <c r="AC71" i="17"/>
  <c r="AE71" i="17"/>
  <c r="CI47" i="17"/>
  <c r="AG69" i="17"/>
  <c r="AF69" i="17"/>
  <c r="AC69" i="17"/>
  <c r="CI53" i="17"/>
  <c r="AE78" i="17"/>
  <c r="AF71" i="17"/>
  <c r="AC77" i="17"/>
  <c r="CK47" i="17"/>
  <c r="BS49" i="17"/>
  <c r="BS52" i="17"/>
  <c r="CU52" i="17" s="1"/>
  <c r="BS55" i="17"/>
  <c r="CK56" i="17"/>
  <c r="CJ46" i="17"/>
  <c r="CI49" i="17"/>
  <c r="CI52" i="17"/>
  <c r="AF77" i="17"/>
  <c r="AE77" i="17"/>
  <c r="AD77" i="17"/>
  <c r="CI61" i="17"/>
  <c r="AD75" i="17"/>
  <c r="CJ58" i="17"/>
  <c r="AE75" i="17"/>
  <c r="BR54" i="12"/>
  <c r="BR50" i="12"/>
  <c r="CP59" i="12"/>
  <c r="CP55" i="12"/>
  <c r="CP47" i="12"/>
  <c r="BR52" i="12"/>
  <c r="BR48" i="12"/>
  <c r="CP46" i="12"/>
  <c r="BS50" i="12"/>
  <c r="BJ50" i="12"/>
  <c r="CI60" i="12"/>
  <c r="CW60" i="12"/>
  <c r="CW59" i="12"/>
  <c r="CI59" i="12"/>
  <c r="BR60" i="12"/>
  <c r="BR56" i="12"/>
  <c r="CA2" i="12"/>
  <c r="CZ55" i="12"/>
  <c r="BS53" i="12"/>
  <c r="BJ53" i="12" s="1"/>
  <c r="BR59" i="12"/>
  <c r="BR55" i="12"/>
  <c r="BR51" i="12"/>
  <c r="BR58" i="12"/>
  <c r="CN57" i="12"/>
  <c r="CI56" i="12"/>
  <c r="CW56" i="12"/>
  <c r="CI55" i="12"/>
  <c r="CW55" i="12"/>
  <c r="CW50" i="12"/>
  <c r="CI50" i="12"/>
  <c r="CW52" i="12"/>
  <c r="BR61" i="12"/>
  <c r="BU57" i="12"/>
  <c r="CW57" i="12" s="1"/>
  <c r="CZ47" i="12"/>
  <c r="CI51" i="12"/>
  <c r="BU54" i="12"/>
  <c r="CI54" i="12" s="1"/>
  <c r="BU53" i="12"/>
  <c r="CP50" i="12"/>
  <c r="BU61" i="12"/>
  <c r="CI61" i="12" s="1"/>
  <c r="BU49" i="12"/>
  <c r="CO48" i="12"/>
  <c r="BR49" i="12"/>
  <c r="BR47" i="12"/>
  <c r="BR46" i="12"/>
  <c r="CW47" i="12"/>
  <c r="CI47" i="12"/>
  <c r="CI46" i="12"/>
  <c r="BU48" i="12"/>
  <c r="CW48" i="12" s="1"/>
  <c r="BT46" i="12"/>
  <c r="CW58" i="12"/>
  <c r="BT61" i="12"/>
  <c r="CH61" i="12" s="1"/>
  <c r="BT48" i="12"/>
  <c r="CH48" i="12" s="1"/>
  <c r="BT55" i="12"/>
  <c r="CV55" i="12" s="1"/>
  <c r="CO57" i="12"/>
  <c r="AG67" i="12"/>
  <c r="CO47" i="12"/>
  <c r="BT51" i="12"/>
  <c r="CH51" i="12" s="1"/>
  <c r="BT52" i="12"/>
  <c r="CH52" i="12" s="1"/>
  <c r="CO56" i="12"/>
  <c r="AD76" i="12"/>
  <c r="BS59" i="12"/>
  <c r="BJ59" i="12" s="1"/>
  <c r="CV56" i="12"/>
  <c r="BT60" i="12"/>
  <c r="CH60" i="12" s="1"/>
  <c r="CO53" i="12"/>
  <c r="AV36" i="12"/>
  <c r="AV37" i="12"/>
  <c r="CL56" i="12"/>
  <c r="CV50" i="12"/>
  <c r="CV53" i="12"/>
  <c r="CZ46" i="12"/>
  <c r="CU58" i="12"/>
  <c r="CG58" i="12"/>
  <c r="BJ58" i="12"/>
  <c r="CG55" i="12"/>
  <c r="BJ55" i="12"/>
  <c r="CV57" i="12"/>
  <c r="CH57" i="12"/>
  <c r="AF69" i="12"/>
  <c r="AE69" i="12"/>
  <c r="AG69" i="12"/>
  <c r="AD69" i="12"/>
  <c r="AC69" i="12"/>
  <c r="CN49" i="12"/>
  <c r="AD70" i="12"/>
  <c r="CO59" i="12"/>
  <c r="CZ50" i="12"/>
  <c r="AG73" i="12"/>
  <c r="AC66" i="12"/>
  <c r="CN46" i="12"/>
  <c r="AG66" i="12"/>
  <c r="BS49" i="12"/>
  <c r="BJ49" i="12" s="1"/>
  <c r="AE72" i="12"/>
  <c r="AD72" i="12"/>
  <c r="CN52" i="12"/>
  <c r="AG72" i="12"/>
  <c r="AF74" i="12"/>
  <c r="AE74" i="12"/>
  <c r="AC74" i="12"/>
  <c r="AG74" i="12"/>
  <c r="AD74" i="12"/>
  <c r="BS54" i="12"/>
  <c r="CU56" i="12"/>
  <c r="CZ58" i="12"/>
  <c r="BT49" i="12"/>
  <c r="AD66" i="12"/>
  <c r="AC72" i="12"/>
  <c r="CO50" i="12"/>
  <c r="AE66" i="12"/>
  <c r="AG70" i="12"/>
  <c r="AF72" i="12"/>
  <c r="AG71" i="12"/>
  <c r="AF71" i="12"/>
  <c r="BS51" i="12"/>
  <c r="BJ51" i="12" s="1"/>
  <c r="AE71" i="12"/>
  <c r="AD71" i="12"/>
  <c r="AC71" i="12"/>
  <c r="AG75" i="12"/>
  <c r="AE75" i="12"/>
  <c r="AD75" i="12"/>
  <c r="CN55" i="12"/>
  <c r="AF75" i="12"/>
  <c r="AC75" i="12"/>
  <c r="AG77" i="12"/>
  <c r="AF77" i="12"/>
  <c r="AE77" i="12"/>
  <c r="AD77" i="12"/>
  <c r="AC77" i="12"/>
  <c r="BS57" i="12"/>
  <c r="CV59" i="12"/>
  <c r="AG80" i="12"/>
  <c r="AF80" i="12"/>
  <c r="AE80" i="12"/>
  <c r="AD80" i="12"/>
  <c r="AC80" i="12"/>
  <c r="BS60" i="12"/>
  <c r="AF66" i="12"/>
  <c r="AC68" i="12"/>
  <c r="AG68" i="12"/>
  <c r="BS48" i="12"/>
  <c r="AF68" i="12"/>
  <c r="AE68" i="12"/>
  <c r="AD68" i="12"/>
  <c r="BS52" i="12"/>
  <c r="CG52" i="12" s="1"/>
  <c r="BT54" i="12"/>
  <c r="CV54" i="12" s="1"/>
  <c r="AG81" i="12"/>
  <c r="AF81" i="12"/>
  <c r="AE81" i="12"/>
  <c r="AD81" i="12"/>
  <c r="CN61" i="12"/>
  <c r="AC81" i="12"/>
  <c r="AG78" i="12"/>
  <c r="AF78" i="12"/>
  <c r="AE78" i="12"/>
  <c r="AD78" i="12"/>
  <c r="AC78" i="12"/>
  <c r="CN58" i="12"/>
  <c r="AC67" i="12"/>
  <c r="AD67" i="12"/>
  <c r="CN47" i="12"/>
  <c r="CN50" i="12"/>
  <c r="CN53" i="12"/>
  <c r="CN56" i="12"/>
  <c r="AE67" i="12"/>
  <c r="AC73" i="12"/>
  <c r="AF67" i="12"/>
  <c r="AD73" i="12"/>
  <c r="CL55" i="12"/>
  <c r="CL58" i="12"/>
  <c r="CZ61" i="12"/>
  <c r="AC70" i="12"/>
  <c r="AF73" i="12"/>
  <c r="AE73" i="12"/>
  <c r="AG76" i="12"/>
  <c r="AF76" i="12"/>
  <c r="AE76" i="12"/>
  <c r="AC76" i="12"/>
  <c r="AG79" i="12"/>
  <c r="AF79" i="12"/>
  <c r="AE79" i="12"/>
  <c r="AD79" i="12"/>
  <c r="AC79" i="12"/>
  <c r="AE70" i="12"/>
  <c r="AF70" i="12"/>
  <c r="CA163" i="10"/>
  <c r="CA162" i="10"/>
  <c r="CA161" i="10"/>
  <c r="CA160" i="10"/>
  <c r="CA159" i="10"/>
  <c r="CA158" i="10"/>
  <c r="CA157" i="10"/>
  <c r="CA156" i="10"/>
  <c r="CB144" i="10"/>
  <c r="CA144" i="10"/>
  <c r="CB143" i="10"/>
  <c r="CA143" i="10"/>
  <c r="CB142" i="10"/>
  <c r="CA142" i="10"/>
  <c r="CB141" i="10"/>
  <c r="CA141" i="10"/>
  <c r="CB140" i="10"/>
  <c r="CA140" i="10"/>
  <c r="BY140" i="10"/>
  <c r="BX140" i="10"/>
  <c r="BW140" i="10"/>
  <c r="BV140" i="10"/>
  <c r="BU140" i="10"/>
  <c r="BT140" i="10"/>
  <c r="BS140" i="10"/>
  <c r="CB139" i="10"/>
  <c r="CA139" i="10"/>
  <c r="BY139" i="10"/>
  <c r="BX139" i="10"/>
  <c r="BW139" i="10"/>
  <c r="BV139" i="10"/>
  <c r="BU139" i="10"/>
  <c r="BT139" i="10"/>
  <c r="BS139" i="10"/>
  <c r="CB138" i="10"/>
  <c r="CA138" i="10"/>
  <c r="BY138" i="10"/>
  <c r="BX138" i="10"/>
  <c r="BW138" i="10"/>
  <c r="BV138" i="10"/>
  <c r="BU138" i="10"/>
  <c r="BT138" i="10"/>
  <c r="BS138" i="10"/>
  <c r="CB137" i="10"/>
  <c r="CA137" i="10"/>
  <c r="BY137" i="10"/>
  <c r="BX137" i="10"/>
  <c r="BW137" i="10"/>
  <c r="BV137" i="10"/>
  <c r="BU137" i="10"/>
  <c r="BT137" i="10"/>
  <c r="BS137" i="10"/>
  <c r="CB136" i="10"/>
  <c r="CA136" i="10"/>
  <c r="BY136" i="10"/>
  <c r="BX136" i="10"/>
  <c r="BW136" i="10"/>
  <c r="BV136" i="10"/>
  <c r="BU136" i="10"/>
  <c r="BT136" i="10"/>
  <c r="BS136" i="10"/>
  <c r="CB135" i="10"/>
  <c r="CA135" i="10"/>
  <c r="BY135" i="10"/>
  <c r="BX135" i="10"/>
  <c r="BW135" i="10"/>
  <c r="BV135" i="10"/>
  <c r="BU135" i="10"/>
  <c r="BT135" i="10"/>
  <c r="BS135" i="10"/>
  <c r="CB134" i="10"/>
  <c r="CA134" i="10"/>
  <c r="BY134" i="10"/>
  <c r="BX134" i="10"/>
  <c r="BW134" i="10"/>
  <c r="BV134" i="10"/>
  <c r="BU134" i="10"/>
  <c r="BT134" i="10"/>
  <c r="BS134" i="10"/>
  <c r="CB133" i="10"/>
  <c r="CA133" i="10"/>
  <c r="BY133" i="10"/>
  <c r="BX133" i="10"/>
  <c r="BW133" i="10"/>
  <c r="BV133" i="10"/>
  <c r="BU133" i="10"/>
  <c r="BT133" i="10"/>
  <c r="BS133" i="10"/>
  <c r="CB132" i="10"/>
  <c r="CA132" i="10"/>
  <c r="BY132" i="10"/>
  <c r="BX132" i="10"/>
  <c r="BW132" i="10"/>
  <c r="BV132" i="10"/>
  <c r="BU132" i="10"/>
  <c r="BT132" i="10"/>
  <c r="BS132" i="10"/>
  <c r="CB131" i="10"/>
  <c r="CA131" i="10"/>
  <c r="BZ131" i="10"/>
  <c r="BY131" i="10"/>
  <c r="BX131" i="10"/>
  <c r="BW131" i="10"/>
  <c r="BV131" i="10"/>
  <c r="BU131" i="10"/>
  <c r="BS131" i="10"/>
  <c r="CB130" i="10"/>
  <c r="CA130" i="10"/>
  <c r="BZ130" i="10"/>
  <c r="BY130" i="10"/>
  <c r="BX130" i="10"/>
  <c r="BW130" i="10"/>
  <c r="BV130" i="10"/>
  <c r="BU130" i="10"/>
  <c r="BS130" i="10"/>
  <c r="CC129" i="10"/>
  <c r="CB129" i="10"/>
  <c r="CA129" i="10"/>
  <c r="BZ129" i="10"/>
  <c r="BY129" i="10"/>
  <c r="BX129" i="10"/>
  <c r="BW129" i="10"/>
  <c r="BV129" i="10"/>
  <c r="BU129" i="10"/>
  <c r="BS129" i="10"/>
  <c r="CC128" i="10"/>
  <c r="CB128" i="10"/>
  <c r="CA128" i="10"/>
  <c r="BZ128" i="10"/>
  <c r="BY128" i="10"/>
  <c r="BX128" i="10"/>
  <c r="BW128" i="10"/>
  <c r="BV128" i="10"/>
  <c r="BU128" i="10"/>
  <c r="BS128" i="10"/>
  <c r="CC127" i="10"/>
  <c r="CB127" i="10"/>
  <c r="CA127" i="10"/>
  <c r="BZ127" i="10"/>
  <c r="BY127" i="10"/>
  <c r="BX127" i="10"/>
  <c r="BW127" i="10"/>
  <c r="BV127" i="10"/>
  <c r="BU127" i="10"/>
  <c r="BS127" i="10"/>
  <c r="CC126" i="10"/>
  <c r="CB126" i="10"/>
  <c r="CA126" i="10"/>
  <c r="BZ126" i="10"/>
  <c r="BY126" i="10"/>
  <c r="BX126" i="10"/>
  <c r="BW126" i="10"/>
  <c r="BV126" i="10"/>
  <c r="BU126" i="10"/>
  <c r="BS126" i="10"/>
  <c r="CC125" i="10"/>
  <c r="CB125" i="10"/>
  <c r="CA125" i="10"/>
  <c r="BZ125" i="10"/>
  <c r="BY125" i="10"/>
  <c r="BX125" i="10"/>
  <c r="BW125" i="10"/>
  <c r="BV125" i="10"/>
  <c r="BU125" i="10"/>
  <c r="BS125" i="10"/>
  <c r="CC124" i="10"/>
  <c r="CB124" i="10"/>
  <c r="CA124" i="10"/>
  <c r="BZ124" i="10"/>
  <c r="BY124" i="10"/>
  <c r="BX124" i="10"/>
  <c r="BW124" i="10"/>
  <c r="BV124" i="10"/>
  <c r="BU124" i="10"/>
  <c r="BS124" i="10"/>
  <c r="CC123" i="10"/>
  <c r="CB123" i="10"/>
  <c r="CA123" i="10"/>
  <c r="BZ123" i="10"/>
  <c r="BY123" i="10"/>
  <c r="BX123" i="10"/>
  <c r="BW123" i="10"/>
  <c r="BV123" i="10"/>
  <c r="BU123" i="10"/>
  <c r="BS123" i="10"/>
  <c r="CC122" i="10"/>
  <c r="CB122" i="10"/>
  <c r="CA122" i="10"/>
  <c r="BZ122" i="10"/>
  <c r="BY122" i="10"/>
  <c r="BX122" i="10"/>
  <c r="BW122" i="10"/>
  <c r="BV122" i="10"/>
  <c r="BU122" i="10"/>
  <c r="BS122" i="10"/>
  <c r="CC121" i="10"/>
  <c r="CB121" i="10"/>
  <c r="CA121" i="10"/>
  <c r="BZ121" i="10"/>
  <c r="BY121" i="10"/>
  <c r="BX121" i="10"/>
  <c r="BW121" i="10"/>
  <c r="BV121" i="10"/>
  <c r="BU121" i="10"/>
  <c r="BS121" i="10"/>
  <c r="CC120" i="10"/>
  <c r="CB120" i="10"/>
  <c r="CA120" i="10"/>
  <c r="BZ120" i="10"/>
  <c r="BY120" i="10"/>
  <c r="BX120" i="10"/>
  <c r="BW120" i="10"/>
  <c r="BV120" i="10"/>
  <c r="BU120" i="10"/>
  <c r="BS120" i="10"/>
  <c r="CC119" i="10"/>
  <c r="CB119" i="10"/>
  <c r="CA119" i="10"/>
  <c r="BZ119" i="10"/>
  <c r="BY119" i="10"/>
  <c r="BW119" i="10"/>
  <c r="BU119" i="10"/>
  <c r="BS119" i="10"/>
  <c r="CC118" i="10"/>
  <c r="CB118" i="10"/>
  <c r="CA118" i="10"/>
  <c r="BZ118" i="10"/>
  <c r="BY118" i="10"/>
  <c r="BW118" i="10"/>
  <c r="BU118" i="10"/>
  <c r="BS118" i="10"/>
  <c r="CC117" i="10"/>
  <c r="CB117" i="10"/>
  <c r="CA117" i="10"/>
  <c r="BZ117" i="10"/>
  <c r="BY117" i="10"/>
  <c r="BW117" i="10"/>
  <c r="BU117" i="10"/>
  <c r="BS117" i="10"/>
  <c r="CC116" i="10"/>
  <c r="CB116" i="10"/>
  <c r="CA116" i="10"/>
  <c r="BZ116" i="10"/>
  <c r="BY116" i="10"/>
  <c r="BW116" i="10"/>
  <c r="BU116" i="10"/>
  <c r="BS116" i="10"/>
  <c r="CC115" i="10"/>
  <c r="CB115" i="10"/>
  <c r="CA115" i="10"/>
  <c r="BZ115" i="10"/>
  <c r="BY115" i="10"/>
  <c r="BW115" i="10"/>
  <c r="BU115" i="10"/>
  <c r="BS115" i="10"/>
  <c r="CC114" i="10"/>
  <c r="CB114" i="10"/>
  <c r="CA114" i="10"/>
  <c r="BZ114" i="10"/>
  <c r="BY114" i="10"/>
  <c r="BW114" i="10"/>
  <c r="BU114" i="10"/>
  <c r="BS114" i="10"/>
  <c r="CC113" i="10"/>
  <c r="CB113" i="10"/>
  <c r="CA113" i="10"/>
  <c r="BZ113" i="10"/>
  <c r="BY113" i="10"/>
  <c r="BW113" i="10"/>
  <c r="BU113" i="10"/>
  <c r="BS113" i="10"/>
  <c r="CC112" i="10"/>
  <c r="CB112" i="10"/>
  <c r="CA112" i="10"/>
  <c r="BZ112" i="10"/>
  <c r="BY112" i="10"/>
  <c r="BW112" i="10"/>
  <c r="BU112" i="10"/>
  <c r="BS112" i="10"/>
  <c r="CC111" i="10"/>
  <c r="CB111" i="10"/>
  <c r="CA111" i="10"/>
  <c r="BZ111" i="10"/>
  <c r="BY111" i="10"/>
  <c r="BW111" i="10"/>
  <c r="BU111" i="10"/>
  <c r="BS111" i="10"/>
  <c r="CC110" i="10"/>
  <c r="CB110" i="10"/>
  <c r="CA110" i="10"/>
  <c r="BZ110" i="10"/>
  <c r="BY110" i="10"/>
  <c r="BW110" i="10"/>
  <c r="BU110" i="10"/>
  <c r="BS110" i="10"/>
  <c r="CC109" i="10"/>
  <c r="CB109" i="10"/>
  <c r="CA109" i="10"/>
  <c r="BZ109" i="10"/>
  <c r="BY109" i="10"/>
  <c r="BW109" i="10"/>
  <c r="BU109" i="10"/>
  <c r="BS109" i="10"/>
  <c r="CC108" i="10"/>
  <c r="CB108" i="10"/>
  <c r="CA108" i="10"/>
  <c r="BZ108" i="10"/>
  <c r="BY108" i="10"/>
  <c r="BW108" i="10"/>
  <c r="BU108" i="10"/>
  <c r="BS108" i="10"/>
  <c r="CC107" i="10"/>
  <c r="CB107" i="10"/>
  <c r="CA107" i="10"/>
  <c r="BY107" i="10"/>
  <c r="BW107" i="10"/>
  <c r="BU107" i="10"/>
  <c r="BS107" i="10"/>
  <c r="CC106" i="10"/>
  <c r="CB106" i="10"/>
  <c r="CA106" i="10"/>
  <c r="BY106" i="10"/>
  <c r="BW106" i="10"/>
  <c r="BU106" i="10"/>
  <c r="BS106" i="10"/>
  <c r="CC105" i="10"/>
  <c r="CB105" i="10"/>
  <c r="CA105" i="10"/>
  <c r="BY105" i="10"/>
  <c r="BW105" i="10"/>
  <c r="BU105" i="10"/>
  <c r="BS105" i="10"/>
  <c r="CC104" i="10"/>
  <c r="CB104" i="10"/>
  <c r="CA104" i="10"/>
  <c r="BY104" i="10"/>
  <c r="BW104" i="10"/>
  <c r="BU104" i="10"/>
  <c r="BS104" i="10"/>
  <c r="CC103" i="10"/>
  <c r="CB103" i="10"/>
  <c r="CA103" i="10"/>
  <c r="BY103" i="10"/>
  <c r="BW103" i="10"/>
  <c r="BU103" i="10"/>
  <c r="BS103" i="10"/>
  <c r="CC102" i="10"/>
  <c r="CB102" i="10"/>
  <c r="CA102" i="10"/>
  <c r="BY102" i="10"/>
  <c r="BW102" i="10"/>
  <c r="BU102" i="10"/>
  <c r="BS102" i="10"/>
  <c r="CC101" i="10"/>
  <c r="CB101" i="10"/>
  <c r="CA101" i="10"/>
  <c r="BY101" i="10"/>
  <c r="BW101" i="10"/>
  <c r="BU101" i="10"/>
  <c r="BS101" i="10"/>
  <c r="CC100" i="10"/>
  <c r="CB100" i="10"/>
  <c r="CA100" i="10"/>
  <c r="BY100" i="10"/>
  <c r="BW100" i="10"/>
  <c r="BU100" i="10"/>
  <c r="BS100" i="10"/>
  <c r="CC99" i="10"/>
  <c r="CB99" i="10"/>
  <c r="CA99" i="10"/>
  <c r="BY99" i="10"/>
  <c r="BW99" i="10"/>
  <c r="BU99" i="10"/>
  <c r="BS99" i="10"/>
  <c r="CC98" i="10"/>
  <c r="CB98" i="10"/>
  <c r="CA98" i="10"/>
  <c r="BY98" i="10"/>
  <c r="BW98" i="10"/>
  <c r="BU98" i="10"/>
  <c r="BS98" i="10"/>
  <c r="CC97" i="10"/>
  <c r="CB97" i="10"/>
  <c r="CA97" i="10"/>
  <c r="BY97" i="10"/>
  <c r="BW97" i="10"/>
  <c r="BU97" i="10"/>
  <c r="BS97" i="10"/>
  <c r="CC96" i="10"/>
  <c r="CB96" i="10"/>
  <c r="CA96" i="10"/>
  <c r="BY96" i="10"/>
  <c r="BW96" i="10"/>
  <c r="BU96" i="10"/>
  <c r="BS96" i="10"/>
  <c r="CC95" i="10"/>
  <c r="CB95" i="10"/>
  <c r="CA95" i="10"/>
  <c r="BY95" i="10"/>
  <c r="BW95" i="10"/>
  <c r="BU95" i="10"/>
  <c r="BS95" i="10"/>
  <c r="CC94" i="10"/>
  <c r="CB94" i="10"/>
  <c r="CA94" i="10"/>
  <c r="BY94" i="10"/>
  <c r="BW94" i="10"/>
  <c r="BU94" i="10"/>
  <c r="BS94" i="10"/>
  <c r="CC93" i="10"/>
  <c r="CB93" i="10"/>
  <c r="CA93" i="10"/>
  <c r="BY93" i="10"/>
  <c r="BW93" i="10"/>
  <c r="BU93" i="10"/>
  <c r="BS93" i="10"/>
  <c r="CC92" i="10"/>
  <c r="CB92" i="10"/>
  <c r="CA92" i="10"/>
  <c r="BY92" i="10"/>
  <c r="BW92" i="10"/>
  <c r="BU92" i="10"/>
  <c r="BS92" i="10"/>
  <c r="CC91" i="10"/>
  <c r="CB91" i="10"/>
  <c r="CA91" i="10"/>
  <c r="BY91" i="10"/>
  <c r="BW91" i="10"/>
  <c r="BU91" i="10"/>
  <c r="BS91" i="10"/>
  <c r="CC90" i="10"/>
  <c r="CB90" i="10"/>
  <c r="CA90" i="10"/>
  <c r="BY90" i="10"/>
  <c r="BW90" i="10"/>
  <c r="BU90" i="10"/>
  <c r="BS90" i="10"/>
  <c r="CC89" i="10"/>
  <c r="CB89" i="10"/>
  <c r="CA89" i="10"/>
  <c r="BY89" i="10"/>
  <c r="BW89" i="10"/>
  <c r="BU89" i="10"/>
  <c r="BS89" i="10"/>
  <c r="CC88" i="10"/>
  <c r="CB88" i="10"/>
  <c r="CA88" i="10"/>
  <c r="BY88" i="10"/>
  <c r="BW88" i="10"/>
  <c r="BU88" i="10"/>
  <c r="BS88" i="10"/>
  <c r="CC87" i="10"/>
  <c r="CB87" i="10"/>
  <c r="CA87" i="10"/>
  <c r="BY87" i="10"/>
  <c r="BW87" i="10"/>
  <c r="BU87" i="10"/>
  <c r="BS87" i="10"/>
  <c r="CC86" i="10"/>
  <c r="CA86" i="10"/>
  <c r="BY86" i="10"/>
  <c r="BW86" i="10"/>
  <c r="BU86" i="10"/>
  <c r="BS86" i="10"/>
  <c r="CC85" i="10"/>
  <c r="CA85" i="10"/>
  <c r="BY85" i="10"/>
  <c r="BW85" i="10"/>
  <c r="BU85" i="10"/>
  <c r="BS85" i="10"/>
  <c r="CC84" i="10"/>
  <c r="CA84" i="10"/>
  <c r="BY84" i="10"/>
  <c r="BW84" i="10"/>
  <c r="BU84" i="10"/>
  <c r="BS84" i="10"/>
  <c r="CC83" i="10"/>
  <c r="CA83" i="10"/>
  <c r="BY83" i="10"/>
  <c r="BW83" i="10"/>
  <c r="BU83" i="10"/>
  <c r="BS83" i="10"/>
  <c r="CC82" i="10"/>
  <c r="CA82" i="10"/>
  <c r="BY82" i="10"/>
  <c r="BW82" i="10"/>
  <c r="BU82" i="10"/>
  <c r="BS82" i="10"/>
  <c r="CC81" i="10"/>
  <c r="CA81" i="10"/>
  <c r="BY81" i="10"/>
  <c r="BW81" i="10"/>
  <c r="BU81" i="10"/>
  <c r="BS81" i="10"/>
  <c r="AO81" i="10"/>
  <c r="AN81" i="10"/>
  <c r="AM81" i="10"/>
  <c r="AL81" i="10"/>
  <c r="AK81" i="10"/>
  <c r="CC80" i="10"/>
  <c r="CA80" i="10"/>
  <c r="BY80" i="10"/>
  <c r="BW80" i="10"/>
  <c r="BU80" i="10"/>
  <c r="BS80" i="10"/>
  <c r="AO80" i="10"/>
  <c r="AN80" i="10"/>
  <c r="AM80" i="10"/>
  <c r="AL80" i="10"/>
  <c r="AK80" i="10"/>
  <c r="CC79" i="10"/>
  <c r="CA79" i="10"/>
  <c r="BY79" i="10"/>
  <c r="BW79" i="10"/>
  <c r="BU79" i="10"/>
  <c r="BS79" i="10"/>
  <c r="AO79" i="10"/>
  <c r="AN79" i="10"/>
  <c r="AM79" i="10"/>
  <c r="AL79" i="10"/>
  <c r="AK79" i="10"/>
  <c r="CC78" i="10"/>
  <c r="CA78" i="10"/>
  <c r="BY78" i="10"/>
  <c r="BW78" i="10"/>
  <c r="BU78" i="10"/>
  <c r="BS78" i="10"/>
  <c r="AO78" i="10"/>
  <c r="AN78" i="10"/>
  <c r="AM78" i="10"/>
  <c r="AL78" i="10"/>
  <c r="AK78" i="10"/>
  <c r="CC77" i="10"/>
  <c r="CA77" i="10"/>
  <c r="BY77" i="10"/>
  <c r="BW77" i="10"/>
  <c r="BU77" i="10"/>
  <c r="BS77" i="10"/>
  <c r="AO77" i="10"/>
  <c r="AN77" i="10"/>
  <c r="AM77" i="10"/>
  <c r="AL77" i="10"/>
  <c r="AK77" i="10"/>
  <c r="CC76" i="10"/>
  <c r="CA76" i="10"/>
  <c r="BY76" i="10"/>
  <c r="BW76" i="10"/>
  <c r="BU76" i="10"/>
  <c r="BS76" i="10"/>
  <c r="AO76" i="10"/>
  <c r="AN76" i="10"/>
  <c r="AM76" i="10"/>
  <c r="AL76" i="10"/>
  <c r="AK76" i="10"/>
  <c r="AI76" i="10"/>
  <c r="CC75" i="10"/>
  <c r="CB75" i="10"/>
  <c r="CA75" i="10"/>
  <c r="BY75" i="10"/>
  <c r="BW75" i="10"/>
  <c r="BU75" i="10"/>
  <c r="BS75" i="10"/>
  <c r="AT75" i="10"/>
  <c r="AO75" i="10"/>
  <c r="AN75" i="10"/>
  <c r="AM75" i="10"/>
  <c r="AL75" i="10"/>
  <c r="AK75" i="10"/>
  <c r="CC74" i="10"/>
  <c r="CB74" i="10"/>
  <c r="CA74" i="10"/>
  <c r="BY74" i="10"/>
  <c r="BW74" i="10"/>
  <c r="BU74" i="10"/>
  <c r="BS74" i="10"/>
  <c r="BB74" i="10"/>
  <c r="BA74" i="10"/>
  <c r="AT74" i="10"/>
  <c r="AO74" i="10"/>
  <c r="AN74" i="10"/>
  <c r="AM74" i="10"/>
  <c r="AL74" i="10"/>
  <c r="AK74" i="10"/>
  <c r="CC73" i="10"/>
  <c r="CB73" i="10"/>
  <c r="CA73" i="10"/>
  <c r="BY73" i="10"/>
  <c r="BW73" i="10"/>
  <c r="BU73" i="10"/>
  <c r="BS73" i="10"/>
  <c r="BO73" i="10"/>
  <c r="AK27" i="10"/>
  <c r="AN27" i="10" s="1"/>
  <c r="BB73" i="10"/>
  <c r="BA73" i="10"/>
  <c r="AT73" i="10"/>
  <c r="AO73" i="10"/>
  <c r="AN73" i="10"/>
  <c r="AM73" i="10"/>
  <c r="AL73" i="10"/>
  <c r="AK73" i="10"/>
  <c r="CC72" i="10"/>
  <c r="CB72" i="10"/>
  <c r="CA72" i="10"/>
  <c r="BY72" i="10"/>
  <c r="BW72" i="10"/>
  <c r="BU72" i="10"/>
  <c r="BS72" i="10"/>
  <c r="BH72" i="10"/>
  <c r="AT72" i="10"/>
  <c r="AO72" i="10"/>
  <c r="AN72" i="10"/>
  <c r="AM72" i="10"/>
  <c r="AL72" i="10"/>
  <c r="AK72" i="10"/>
  <c r="CC71" i="10"/>
  <c r="CB71" i="10"/>
  <c r="CA71" i="10"/>
  <c r="BZ71" i="10"/>
  <c r="BY71" i="10"/>
  <c r="BX71" i="10"/>
  <c r="BW71" i="10"/>
  <c r="BV71" i="10"/>
  <c r="BU71" i="10"/>
  <c r="BT71" i="10"/>
  <c r="BS71" i="10"/>
  <c r="AT71" i="10"/>
  <c r="AO71" i="10"/>
  <c r="AN71" i="10"/>
  <c r="AM71" i="10"/>
  <c r="AL71" i="10"/>
  <c r="AK71" i="10"/>
  <c r="B71" i="10"/>
  <c r="CC70" i="10"/>
  <c r="CB70" i="10"/>
  <c r="CA70" i="10"/>
  <c r="BZ70" i="10"/>
  <c r="BY70" i="10"/>
  <c r="BX70" i="10"/>
  <c r="BW70" i="10"/>
  <c r="BV70" i="10"/>
  <c r="BU70" i="10"/>
  <c r="BT70" i="10"/>
  <c r="BS70" i="10"/>
  <c r="AT70" i="10"/>
  <c r="AO70" i="10"/>
  <c r="AN70" i="10"/>
  <c r="AM70" i="10"/>
  <c r="AL70" i="10"/>
  <c r="AK70" i="10"/>
  <c r="CD69" i="10"/>
  <c r="CC69" i="10"/>
  <c r="BZ69" i="10"/>
  <c r="BY69" i="10"/>
  <c r="BX69" i="10"/>
  <c r="BW69" i="10"/>
  <c r="BV69" i="10"/>
  <c r="BU69" i="10"/>
  <c r="BT69" i="10"/>
  <c r="BS69" i="10"/>
  <c r="AT69" i="10"/>
  <c r="AO69" i="10"/>
  <c r="AN69" i="10"/>
  <c r="AM69" i="10"/>
  <c r="AL69" i="10"/>
  <c r="AK69" i="10"/>
  <c r="CD68" i="10"/>
  <c r="CC68" i="10"/>
  <c r="BZ68" i="10"/>
  <c r="BY68" i="10"/>
  <c r="BX68" i="10"/>
  <c r="BW68" i="10"/>
  <c r="BV68" i="10"/>
  <c r="BU68" i="10"/>
  <c r="BT68" i="10"/>
  <c r="BS68" i="10"/>
  <c r="AT68" i="10"/>
  <c r="AO68" i="10"/>
  <c r="AN68" i="10"/>
  <c r="AM68" i="10"/>
  <c r="AL68" i="10"/>
  <c r="AK68" i="10"/>
  <c r="CD67" i="10"/>
  <c r="CC67" i="10"/>
  <c r="BZ67" i="10"/>
  <c r="BY67" i="10"/>
  <c r="BX67" i="10"/>
  <c r="BW67" i="10"/>
  <c r="BV67" i="10"/>
  <c r="BU67" i="10"/>
  <c r="BT67" i="10"/>
  <c r="BS67" i="10"/>
  <c r="AT67" i="10"/>
  <c r="AO67" i="10"/>
  <c r="AN67" i="10"/>
  <c r="AM67" i="10"/>
  <c r="AL67" i="10"/>
  <c r="AK67" i="10"/>
  <c r="CD66" i="10"/>
  <c r="CC66" i="10"/>
  <c r="CA66" i="10"/>
  <c r="BZ66" i="10"/>
  <c r="BY66" i="10"/>
  <c r="BX66" i="10"/>
  <c r="BW66" i="10"/>
  <c r="BV66" i="10"/>
  <c r="BU66" i="10"/>
  <c r="BT66" i="10"/>
  <c r="BS66" i="10"/>
  <c r="AT66" i="10"/>
  <c r="AO66" i="10"/>
  <c r="AN66" i="10"/>
  <c r="AM66" i="10"/>
  <c r="AL66" i="10"/>
  <c r="AK66" i="10"/>
  <c r="CD65" i="10"/>
  <c r="CC65" i="10"/>
  <c r="CA65" i="10"/>
  <c r="BH65" i="10"/>
  <c r="AI65" i="10"/>
  <c r="CS61" i="10"/>
  <c r="CR61" i="10"/>
  <c r="CE61" i="10"/>
  <c r="CD61" i="10"/>
  <c r="CC61" i="10"/>
  <c r="CB61" i="10"/>
  <c r="CA61" i="10"/>
  <c r="BZ61" i="10"/>
  <c r="BX61" i="10"/>
  <c r="CY61" i="10"/>
  <c r="BS61" i="10"/>
  <c r="CG61" i="10" s="1"/>
  <c r="BN61" i="10"/>
  <c r="BM61" i="10"/>
  <c r="CP61" i="10"/>
  <c r="CO61" i="10"/>
  <c r="CN61" i="10"/>
  <c r="BH61" i="10"/>
  <c r="BG61" i="10"/>
  <c r="BF61" i="10"/>
  <c r="BE61" i="10"/>
  <c r="BD61" i="10"/>
  <c r="AX61" i="10"/>
  <c r="CS60" i="10"/>
  <c r="CR60" i="10"/>
  <c r="CE60" i="10"/>
  <c r="CD60" i="10"/>
  <c r="CC60" i="10"/>
  <c r="CB60" i="10"/>
  <c r="CA60" i="10"/>
  <c r="BZ60" i="10"/>
  <c r="BX60" i="10"/>
  <c r="CZ60" i="10" s="1"/>
  <c r="CY60" i="10"/>
  <c r="BN60" i="10"/>
  <c r="CQ60" i="10"/>
  <c r="BM60" i="10"/>
  <c r="CN60" i="10"/>
  <c r="BH60" i="10"/>
  <c r="BG60" i="10"/>
  <c r="BF60" i="10"/>
  <c r="BE60" i="10"/>
  <c r="BD60" i="10"/>
  <c r="AX60" i="10"/>
  <c r="CS59" i="10"/>
  <c r="CR59" i="10"/>
  <c r="CO59" i="10"/>
  <c r="CE59" i="10"/>
  <c r="CD59" i="10"/>
  <c r="CC59" i="10"/>
  <c r="CB59" i="10"/>
  <c r="CA59" i="10"/>
  <c r="BZ59" i="10"/>
  <c r="BX59" i="10"/>
  <c r="CY59" i="10"/>
  <c r="CW59" i="10"/>
  <c r="BN59" i="10"/>
  <c r="BM59" i="10"/>
  <c r="CP59" i="10"/>
  <c r="BT59" i="10"/>
  <c r="BH59" i="10"/>
  <c r="BG59" i="10"/>
  <c r="BF59" i="10"/>
  <c r="BE59" i="10"/>
  <c r="BD59" i="10"/>
  <c r="AX59" i="10"/>
  <c r="CS58" i="10"/>
  <c r="CR58" i="10"/>
  <c r="CN58" i="10"/>
  <c r="CE58" i="10"/>
  <c r="CD58" i="10"/>
  <c r="CC58" i="10"/>
  <c r="CB58" i="10"/>
  <c r="CA58" i="10"/>
  <c r="BZ58" i="10"/>
  <c r="BX58" i="10"/>
  <c r="CL58" i="10" s="1"/>
  <c r="BI58" i="10" s="1"/>
  <c r="CY58" i="10"/>
  <c r="CX58" i="10"/>
  <c r="CW58" i="10"/>
  <c r="BS58" i="10"/>
  <c r="CG58" i="10" s="1"/>
  <c r="BN58" i="10"/>
  <c r="CQ58" i="10"/>
  <c r="BM58" i="10"/>
  <c r="CP58" i="10"/>
  <c r="BT58" i="10"/>
  <c r="BH58" i="10"/>
  <c r="BG58" i="10"/>
  <c r="BF58" i="10"/>
  <c r="BE58" i="10"/>
  <c r="BD58" i="10"/>
  <c r="AX58" i="10"/>
  <c r="CS57" i="10"/>
  <c r="CR57" i="10"/>
  <c r="CO57" i="10"/>
  <c r="CK57" i="10"/>
  <c r="CE57" i="10"/>
  <c r="CD57" i="10"/>
  <c r="CC57" i="10"/>
  <c r="CB57" i="10"/>
  <c r="CA57" i="10"/>
  <c r="BZ57" i="10"/>
  <c r="BX57" i="10"/>
  <c r="CZ57" i="10" s="1"/>
  <c r="CY57" i="10"/>
  <c r="CX57" i="10"/>
  <c r="CW57" i="10"/>
  <c r="BT57" i="10"/>
  <c r="CV57" i="10" s="1"/>
  <c r="BS57" i="10"/>
  <c r="BN57" i="10"/>
  <c r="CQ57" i="10"/>
  <c r="BM57" i="10"/>
  <c r="CP57" i="10"/>
  <c r="CN57" i="10"/>
  <c r="BH57" i="10"/>
  <c r="BG57" i="10"/>
  <c r="BF57" i="10"/>
  <c r="BE57" i="10"/>
  <c r="BD57" i="10"/>
  <c r="AX57" i="10"/>
  <c r="CS56" i="10"/>
  <c r="CR56" i="10"/>
  <c r="CE56" i="10"/>
  <c r="CD56" i="10"/>
  <c r="CC56" i="10"/>
  <c r="CB56" i="10"/>
  <c r="CA56" i="10"/>
  <c r="BZ56" i="10"/>
  <c r="BX56" i="10"/>
  <c r="CY56" i="10"/>
  <c r="CW56" i="10"/>
  <c r="BT56" i="10"/>
  <c r="CV56" i="10" s="1"/>
  <c r="BS56" i="10"/>
  <c r="BN56" i="10"/>
  <c r="CQ56" i="10"/>
  <c r="BM56" i="10"/>
  <c r="CP56" i="10"/>
  <c r="CO56" i="10"/>
  <c r="CN56" i="10"/>
  <c r="BH56" i="10"/>
  <c r="BG56" i="10"/>
  <c r="BF56" i="10"/>
  <c r="BE56" i="10"/>
  <c r="BD56" i="10"/>
  <c r="AX56" i="10"/>
  <c r="CS55" i="10"/>
  <c r="CR55" i="10"/>
  <c r="CE55" i="10"/>
  <c r="CD55" i="10"/>
  <c r="CC55" i="10"/>
  <c r="CB55" i="10"/>
  <c r="CA55" i="10"/>
  <c r="BZ55" i="10"/>
  <c r="BX55" i="10"/>
  <c r="CY55" i="10"/>
  <c r="BS55" i="10"/>
  <c r="BN55" i="10"/>
  <c r="BM55" i="10"/>
  <c r="CP55" i="10"/>
  <c r="CO55" i="10"/>
  <c r="CN55" i="10"/>
  <c r="BH55" i="10"/>
  <c r="BG55" i="10"/>
  <c r="BF55" i="10"/>
  <c r="BE55" i="10"/>
  <c r="BD55" i="10"/>
  <c r="AX55" i="10"/>
  <c r="CS54" i="10"/>
  <c r="CR54" i="10"/>
  <c r="CE54" i="10"/>
  <c r="CD54" i="10"/>
  <c r="CC54" i="10"/>
  <c r="CB54" i="10"/>
  <c r="CA54" i="10"/>
  <c r="BZ54" i="10"/>
  <c r="BX54" i="10"/>
  <c r="CY54" i="10"/>
  <c r="BN54" i="10"/>
  <c r="CQ54" i="10"/>
  <c r="BM54" i="10"/>
  <c r="AG74" i="10"/>
  <c r="BH54" i="10"/>
  <c r="BG54" i="10"/>
  <c r="BF54" i="10"/>
  <c r="BE54" i="10"/>
  <c r="BD54" i="10"/>
  <c r="AX54" i="10"/>
  <c r="CS53" i="10"/>
  <c r="CR53" i="10"/>
  <c r="CO53" i="10"/>
  <c r="CE53" i="10"/>
  <c r="CD53" i="10"/>
  <c r="CC53" i="10"/>
  <c r="CB53" i="10"/>
  <c r="CA53" i="10"/>
  <c r="BZ53" i="10"/>
  <c r="BX53" i="10"/>
  <c r="CY53" i="10"/>
  <c r="BN53" i="10"/>
  <c r="BM53" i="10"/>
  <c r="CP53" i="10"/>
  <c r="BT53" i="10"/>
  <c r="BH53" i="10"/>
  <c r="BG53" i="10"/>
  <c r="BF53" i="10"/>
  <c r="BE53" i="10"/>
  <c r="BD53" i="10"/>
  <c r="AX53" i="10"/>
  <c r="CS52" i="10"/>
  <c r="CR52" i="10"/>
  <c r="CE52" i="10"/>
  <c r="CD52" i="10"/>
  <c r="CC52" i="10"/>
  <c r="CB52" i="10"/>
  <c r="CA52" i="10"/>
  <c r="BZ52" i="10"/>
  <c r="BX52" i="10"/>
  <c r="CL52" i="10" s="1"/>
  <c r="CY52" i="10"/>
  <c r="CX52" i="10"/>
  <c r="CW52" i="10"/>
  <c r="BN52" i="10"/>
  <c r="CQ52" i="10"/>
  <c r="BM52" i="10"/>
  <c r="CP52" i="10"/>
  <c r="BT52" i="10"/>
  <c r="CV52" i="10" s="1"/>
  <c r="BH52" i="10"/>
  <c r="BG52" i="10"/>
  <c r="BF52" i="10"/>
  <c r="BE52" i="10"/>
  <c r="BD52" i="10"/>
  <c r="AX52" i="10"/>
  <c r="CS51" i="10"/>
  <c r="CR51" i="10"/>
  <c r="CO51" i="10"/>
  <c r="CN51" i="10"/>
  <c r="CJ51" i="10"/>
  <c r="CE51" i="10"/>
  <c r="CD51" i="10"/>
  <c r="CC51" i="10"/>
  <c r="CB51" i="10"/>
  <c r="CA51" i="10"/>
  <c r="BZ51" i="10"/>
  <c r="BX51" i="10"/>
  <c r="CZ51" i="10" s="1"/>
  <c r="CK51" i="10"/>
  <c r="CX51" i="10"/>
  <c r="CW51" i="10"/>
  <c r="BT51" i="10"/>
  <c r="CV51" i="10" s="1"/>
  <c r="BN51" i="10"/>
  <c r="CQ51" i="10"/>
  <c r="BM51" i="10"/>
  <c r="CP51" i="10"/>
  <c r="BH51" i="10"/>
  <c r="BG51" i="10"/>
  <c r="BF51" i="10"/>
  <c r="BE51" i="10"/>
  <c r="BD51" i="10"/>
  <c r="AX51" i="10"/>
  <c r="CS50" i="10"/>
  <c r="CR50" i="10"/>
  <c r="CK50" i="10"/>
  <c r="CE50" i="10"/>
  <c r="CD50" i="10"/>
  <c r="CC50" i="10"/>
  <c r="CB50" i="10"/>
  <c r="CA50" i="10"/>
  <c r="BZ50" i="10"/>
  <c r="BX50" i="10"/>
  <c r="CY50" i="10"/>
  <c r="CI50" i="10"/>
  <c r="BT50" i="10"/>
  <c r="CH50" i="10" s="1"/>
  <c r="BN50" i="10"/>
  <c r="CQ50" i="10"/>
  <c r="BM50" i="10"/>
  <c r="CP50" i="10"/>
  <c r="CO50" i="10"/>
  <c r="CN50" i="10"/>
  <c r="BH50" i="10"/>
  <c r="BG50" i="10"/>
  <c r="BF50" i="10"/>
  <c r="BE50" i="10"/>
  <c r="BD50" i="10"/>
  <c r="AX50" i="10"/>
  <c r="CS49" i="10"/>
  <c r="CR49" i="10"/>
  <c r="CE49" i="10"/>
  <c r="CD49" i="10"/>
  <c r="CC49" i="10"/>
  <c r="CB49" i="10"/>
  <c r="CA49" i="10"/>
  <c r="BZ49" i="10"/>
  <c r="BX49" i="10"/>
  <c r="CZ49" i="10" s="1"/>
  <c r="CY49" i="10"/>
  <c r="CI49" i="10"/>
  <c r="BN49" i="10"/>
  <c r="BM49" i="10"/>
  <c r="CP49" i="10"/>
  <c r="CO49" i="10"/>
  <c r="BH49" i="10"/>
  <c r="BG49" i="10"/>
  <c r="BF49" i="10"/>
  <c r="BE49" i="10"/>
  <c r="BD49" i="10"/>
  <c r="AX49" i="10"/>
  <c r="CS48" i="10"/>
  <c r="CR48" i="10"/>
  <c r="CN48" i="10"/>
  <c r="CE48" i="10"/>
  <c r="CD48" i="10"/>
  <c r="CC48" i="10"/>
  <c r="CB48" i="10"/>
  <c r="CA48" i="10"/>
  <c r="BZ48" i="10"/>
  <c r="BX48" i="10"/>
  <c r="CL48" i="10" s="1"/>
  <c r="CY48" i="10"/>
  <c r="BN48" i="10"/>
  <c r="CQ48" i="10"/>
  <c r="BM48" i="10"/>
  <c r="BH48" i="10"/>
  <c r="BG48" i="10"/>
  <c r="BF48" i="10"/>
  <c r="BE48" i="10"/>
  <c r="BD48" i="10"/>
  <c r="AX48" i="10"/>
  <c r="CS47" i="10"/>
  <c r="CR47" i="10"/>
  <c r="CO47" i="10"/>
  <c r="CE47" i="10"/>
  <c r="CD47" i="10"/>
  <c r="CC47" i="10"/>
  <c r="CB47" i="10"/>
  <c r="CA47" i="10"/>
  <c r="BZ47" i="10"/>
  <c r="BX47" i="10"/>
  <c r="CL47" i="10" s="1"/>
  <c r="CK47" i="10"/>
  <c r="BN47" i="10"/>
  <c r="BM47" i="10"/>
  <c r="BT47" i="10"/>
  <c r="CV47" i="10" s="1"/>
  <c r="BH47" i="10"/>
  <c r="BG47" i="10"/>
  <c r="BF47" i="10"/>
  <c r="BE47" i="10"/>
  <c r="BD47" i="10"/>
  <c r="AX47" i="10"/>
  <c r="CS46" i="10"/>
  <c r="CR46" i="10"/>
  <c r="CO46" i="10"/>
  <c r="CN46" i="10"/>
  <c r="CE46" i="10"/>
  <c r="CD46" i="10"/>
  <c r="CC46" i="10"/>
  <c r="CB46" i="10"/>
  <c r="CA46" i="10"/>
  <c r="BZ46" i="10"/>
  <c r="BX46" i="10"/>
  <c r="CZ46" i="10"/>
  <c r="CY46" i="10"/>
  <c r="BN46" i="10"/>
  <c r="CQ46" i="10"/>
  <c r="BM46" i="10"/>
  <c r="BH46" i="10"/>
  <c r="BG46" i="10"/>
  <c r="BF46" i="10"/>
  <c r="BE46" i="10"/>
  <c r="BD46" i="10"/>
  <c r="AX46" i="10"/>
  <c r="AU41" i="10"/>
  <c r="AT41" i="10"/>
  <c r="AI41" i="10"/>
  <c r="AB41" i="10"/>
  <c r="U41" i="10"/>
  <c r="N41" i="10"/>
  <c r="E41" i="10"/>
  <c r="B41" i="10"/>
  <c r="AU40" i="10"/>
  <c r="AT40" i="10"/>
  <c r="AI40" i="10"/>
  <c r="AB40" i="10"/>
  <c r="U40" i="10"/>
  <c r="S40" i="10"/>
  <c r="N40" i="10"/>
  <c r="L40" i="10"/>
  <c r="E40" i="10"/>
  <c r="B40" i="10"/>
  <c r="AU39" i="10"/>
  <c r="AT39" i="10"/>
  <c r="B39" i="10"/>
  <c r="AU38" i="10"/>
  <c r="AT38" i="10"/>
  <c r="AG38" i="10"/>
  <c r="AB38" i="10"/>
  <c r="W38" i="10"/>
  <c r="R38" i="10"/>
  <c r="M38" i="10"/>
  <c r="E38" i="10"/>
  <c r="B38" i="10"/>
  <c r="AU37" i="10"/>
  <c r="AT37" i="10"/>
  <c r="AE37" i="10"/>
  <c r="Y37" i="10"/>
  <c r="S37" i="10"/>
  <c r="M37" i="10"/>
  <c r="E37" i="10"/>
  <c r="B37" i="10"/>
  <c r="BS36" i="10"/>
  <c r="AU36" i="10"/>
  <c r="AT36" i="10"/>
  <c r="B36" i="10"/>
  <c r="BS35" i="10"/>
  <c r="AK35" i="10"/>
  <c r="AF35" i="10"/>
  <c r="AA35" i="10"/>
  <c r="V35" i="10"/>
  <c r="Q35" i="10"/>
  <c r="L35" i="10"/>
  <c r="E35" i="10"/>
  <c r="B35" i="10"/>
  <c r="BS34" i="10"/>
  <c r="B34" i="10"/>
  <c r="BS33" i="10"/>
  <c r="B33" i="10"/>
  <c r="BS32" i="10"/>
  <c r="BM32" i="10"/>
  <c r="A32" i="10"/>
  <c r="BS31" i="10"/>
  <c r="BM31" i="10"/>
  <c r="A31" i="10"/>
  <c r="BS30" i="10"/>
  <c r="BM30" i="10"/>
  <c r="R30" i="10"/>
  <c r="C30" i="10"/>
  <c r="BS29" i="10"/>
  <c r="BM29" i="10"/>
  <c r="N29" i="10"/>
  <c r="C29" i="10"/>
  <c r="BS28" i="10"/>
  <c r="BM28" i="10"/>
  <c r="AM28" i="10"/>
  <c r="AD28" i="10"/>
  <c r="AA28" i="10"/>
  <c r="R28" i="10"/>
  <c r="N28" i="10"/>
  <c r="C28" i="10"/>
  <c r="BS27" i="10"/>
  <c r="BM27" i="10"/>
  <c r="AM27" i="10"/>
  <c r="AA27" i="10"/>
  <c r="R27" i="10"/>
  <c r="N27" i="10"/>
  <c r="C27" i="10"/>
  <c r="BS26" i="10"/>
  <c r="BM26" i="10"/>
  <c r="AM26" i="10"/>
  <c r="AK26" i="10"/>
  <c r="AN26" i="10" s="1"/>
  <c r="AA26" i="10"/>
  <c r="R26" i="10"/>
  <c r="N26" i="10"/>
  <c r="C26" i="10"/>
  <c r="BS25" i="10"/>
  <c r="BM25" i="10"/>
  <c r="AM25" i="10"/>
  <c r="AK25" i="10"/>
  <c r="AN25" i="10" s="1"/>
  <c r="AB25" i="10"/>
  <c r="AA25" i="10"/>
  <c r="R25" i="10"/>
  <c r="N25" i="10"/>
  <c r="C25" i="10"/>
  <c r="BS24" i="10"/>
  <c r="BM24" i="10"/>
  <c r="AM24" i="10"/>
  <c r="AK24" i="10"/>
  <c r="AN24" i="10" s="1"/>
  <c r="AB24" i="10"/>
  <c r="AA24" i="10"/>
  <c r="R24" i="10"/>
  <c r="C24" i="10"/>
  <c r="BS23" i="10"/>
  <c r="BM23" i="10"/>
  <c r="AB23" i="10"/>
  <c r="AA23" i="10"/>
  <c r="R23" i="10"/>
  <c r="C23" i="10"/>
  <c r="BS22" i="10"/>
  <c r="BM22" i="10"/>
  <c r="AN22" i="10"/>
  <c r="AM22" i="10"/>
  <c r="AD22" i="10"/>
  <c r="AA22" i="10"/>
  <c r="BS21" i="10"/>
  <c r="BM21" i="10"/>
  <c r="AM21" i="10"/>
  <c r="AB21" i="10"/>
  <c r="AA21" i="10"/>
  <c r="R21" i="10"/>
  <c r="C21" i="10"/>
  <c r="BS20" i="10"/>
  <c r="BM20" i="10"/>
  <c r="AQ20" i="10"/>
  <c r="BS19" i="10"/>
  <c r="BM19" i="10"/>
  <c r="AS19" i="10"/>
  <c r="AQ19" i="10"/>
  <c r="BS18" i="10"/>
  <c r="BM18" i="10"/>
  <c r="AQ18" i="10"/>
  <c r="AR47" i="10"/>
  <c r="BB65" i="10"/>
  <c r="AS18" i="10"/>
  <c r="BS17" i="10"/>
  <c r="BM17" i="10"/>
  <c r="BF17" i="10"/>
  <c r="BE17" i="10"/>
  <c r="BD17" i="10"/>
  <c r="BA17" i="10"/>
  <c r="AZ17" i="10"/>
  <c r="AY17" i="10"/>
  <c r="AX17" i="10"/>
  <c r="G17" i="10"/>
  <c r="BS16" i="10"/>
  <c r="BM16" i="10"/>
  <c r="BF16" i="10"/>
  <c r="BE16" i="10"/>
  <c r="BD16" i="10"/>
  <c r="BA16" i="10"/>
  <c r="AZ16" i="10"/>
  <c r="AY16" i="10"/>
  <c r="AX16" i="10"/>
  <c r="G16" i="10"/>
  <c r="BS15" i="10"/>
  <c r="BM15" i="10"/>
  <c r="BF15" i="10"/>
  <c r="BE15" i="10"/>
  <c r="BD15" i="10"/>
  <c r="BA15" i="10"/>
  <c r="AZ15" i="10"/>
  <c r="AY15" i="10"/>
  <c r="AX15" i="10"/>
  <c r="G15" i="10"/>
  <c r="BS14" i="10"/>
  <c r="BM14" i="10"/>
  <c r="BF14" i="10"/>
  <c r="BE14" i="10"/>
  <c r="BD14" i="10"/>
  <c r="BA14" i="10"/>
  <c r="AZ14" i="10"/>
  <c r="AY14" i="10"/>
  <c r="AX14" i="10"/>
  <c r="G14" i="10"/>
  <c r="BS13" i="10"/>
  <c r="BM13" i="10"/>
  <c r="BF13" i="10"/>
  <c r="BE13" i="10"/>
  <c r="BD13" i="10"/>
  <c r="BA13" i="10"/>
  <c r="AZ13" i="10"/>
  <c r="AY13" i="10"/>
  <c r="AX13" i="10"/>
  <c r="G13" i="10"/>
  <c r="BS12" i="10"/>
  <c r="BM12" i="10"/>
  <c r="BF12" i="10"/>
  <c r="BE12" i="10"/>
  <c r="BD12" i="10"/>
  <c r="BA12" i="10"/>
  <c r="AZ12" i="10"/>
  <c r="AY12" i="10"/>
  <c r="AX12" i="10"/>
  <c r="G12" i="10"/>
  <c r="BS11" i="10"/>
  <c r="BM11" i="10"/>
  <c r="BF11" i="10"/>
  <c r="BE11" i="10"/>
  <c r="BD11" i="10"/>
  <c r="BA11" i="10"/>
  <c r="AZ11" i="10"/>
  <c r="AY11" i="10"/>
  <c r="AX11" i="10"/>
  <c r="G11" i="10"/>
  <c r="BS10" i="10"/>
  <c r="BM10" i="10"/>
  <c r="BF10" i="10"/>
  <c r="BE10" i="10"/>
  <c r="BD10" i="10"/>
  <c r="BA10" i="10"/>
  <c r="AZ10" i="10"/>
  <c r="AY10" i="10"/>
  <c r="AX10" i="10"/>
  <c r="G10" i="10"/>
  <c r="BS9" i="10"/>
  <c r="BM9" i="10"/>
  <c r="BF9" i="10"/>
  <c r="BE9" i="10"/>
  <c r="BD9" i="10"/>
  <c r="BA9" i="10"/>
  <c r="AZ9" i="10"/>
  <c r="AY9" i="10"/>
  <c r="AX9" i="10"/>
  <c r="G9" i="10"/>
  <c r="BS8" i="10"/>
  <c r="BM8" i="10"/>
  <c r="BF8" i="10"/>
  <c r="BE8" i="10"/>
  <c r="BD8" i="10"/>
  <c r="BA8" i="10"/>
  <c r="AZ8" i="10"/>
  <c r="AY8" i="10"/>
  <c r="AX8" i="10"/>
  <c r="G8" i="10"/>
  <c r="BS7" i="10"/>
  <c r="BM7" i="10"/>
  <c r="BF7" i="10"/>
  <c r="BE7" i="10"/>
  <c r="BD7" i="10"/>
  <c r="BA7" i="10"/>
  <c r="AZ7" i="10"/>
  <c r="AY7" i="10"/>
  <c r="AX7" i="10"/>
  <c r="G7" i="10"/>
  <c r="BS6" i="10"/>
  <c r="BM6" i="10"/>
  <c r="BF6" i="10"/>
  <c r="BE6" i="10"/>
  <c r="BD6" i="10"/>
  <c r="BA6" i="10"/>
  <c r="AZ6" i="10"/>
  <c r="AY6" i="10"/>
  <c r="AX6" i="10"/>
  <c r="G6" i="10"/>
  <c r="BS5" i="10"/>
  <c r="BM5" i="10"/>
  <c r="BF5" i="10"/>
  <c r="BE5" i="10"/>
  <c r="BD5" i="10"/>
  <c r="BA5" i="10"/>
  <c r="AZ5" i="10"/>
  <c r="AY5" i="10"/>
  <c r="AX5" i="10"/>
  <c r="G5" i="10"/>
  <c r="BS4" i="10"/>
  <c r="BM4" i="10"/>
  <c r="BF4" i="10"/>
  <c r="BE4" i="10"/>
  <c r="BD4" i="10"/>
  <c r="BA4" i="10"/>
  <c r="AZ4" i="10"/>
  <c r="AY4" i="10"/>
  <c r="AX4" i="10"/>
  <c r="G4" i="10"/>
  <c r="BS3" i="10"/>
  <c r="BM3" i="10"/>
  <c r="BF3" i="10"/>
  <c r="BE3" i="10"/>
  <c r="BD3" i="10"/>
  <c r="BA3" i="10"/>
  <c r="AZ3" i="10"/>
  <c r="AY3" i="10"/>
  <c r="AX3" i="10"/>
  <c r="G3" i="10"/>
  <c r="BZ2" i="10"/>
  <c r="BY2" i="10"/>
  <c r="BF2" i="10"/>
  <c r="BE2" i="10"/>
  <c r="BD2" i="10"/>
  <c r="BA2" i="10"/>
  <c r="AZ2" i="10"/>
  <c r="AY2" i="10"/>
  <c r="AX2" i="10"/>
  <c r="G2" i="10"/>
  <c r="AM1" i="10"/>
  <c r="AI1" i="10"/>
  <c r="AE1" i="10"/>
  <c r="O1" i="10"/>
  <c r="N1" i="10"/>
  <c r="M1" i="10"/>
  <c r="L1" i="10"/>
  <c r="K1" i="10"/>
  <c r="J1" i="10"/>
  <c r="G1" i="10"/>
  <c r="C1" i="10"/>
  <c r="B1" i="10"/>
  <c r="B71" i="2"/>
  <c r="BM29" i="2"/>
  <c r="BM30" i="2"/>
  <c r="BM31" i="2"/>
  <c r="BM32" i="2"/>
  <c r="BM4" i="2"/>
  <c r="BM5" i="2"/>
  <c r="BM6" i="2"/>
  <c r="BM7" i="2"/>
  <c r="BM8" i="2"/>
  <c r="BM9" i="2"/>
  <c r="BM10" i="2"/>
  <c r="BM11" i="2"/>
  <c r="BM12" i="2"/>
  <c r="BM13" i="2"/>
  <c r="BM14" i="2"/>
  <c r="BM15" i="2"/>
  <c r="BM16" i="2"/>
  <c r="BM17" i="2"/>
  <c r="BM18" i="2"/>
  <c r="BM19" i="2"/>
  <c r="BM20" i="2"/>
  <c r="BM21" i="2"/>
  <c r="BM22" i="2"/>
  <c r="BM23" i="2"/>
  <c r="BM24" i="2"/>
  <c r="BM25" i="2"/>
  <c r="BM26" i="2"/>
  <c r="BM27" i="2"/>
  <c r="BM28" i="2"/>
  <c r="BM3" i="2"/>
  <c r="B17" i="1"/>
  <c r="C21" i="2"/>
  <c r="CD69" i="2"/>
  <c r="CC69" i="2"/>
  <c r="CD68" i="2"/>
  <c r="CC68" i="2"/>
  <c r="CD67" i="2"/>
  <c r="CC67" i="2"/>
  <c r="CD66" i="2"/>
  <c r="CC66" i="2"/>
  <c r="CD65" i="2"/>
  <c r="CC65" i="2"/>
  <c r="CB75" i="2"/>
  <c r="CA75" i="2"/>
  <c r="CB74" i="2"/>
  <c r="CA74" i="2"/>
  <c r="CB73" i="2"/>
  <c r="CA73" i="2"/>
  <c r="CB72" i="2"/>
  <c r="CA72" i="2"/>
  <c r="CB71" i="2"/>
  <c r="CA71" i="2"/>
  <c r="CB70" i="2"/>
  <c r="CA70" i="2"/>
  <c r="BZ71" i="2"/>
  <c r="BY71" i="2"/>
  <c r="BX71" i="2"/>
  <c r="BW71" i="2"/>
  <c r="BV71" i="2"/>
  <c r="BU71" i="2"/>
  <c r="BT71" i="2"/>
  <c r="BZ70" i="2"/>
  <c r="BY70" i="2"/>
  <c r="BX70" i="2"/>
  <c r="BW70" i="2"/>
  <c r="BV70" i="2"/>
  <c r="BU70" i="2"/>
  <c r="BT70" i="2"/>
  <c r="BZ69" i="2"/>
  <c r="BY69" i="2"/>
  <c r="BX69" i="2"/>
  <c r="BW69" i="2"/>
  <c r="BV69" i="2"/>
  <c r="BU69" i="2"/>
  <c r="BT69" i="2"/>
  <c r="BZ68" i="2"/>
  <c r="BY68" i="2"/>
  <c r="BX68" i="2"/>
  <c r="BW68" i="2"/>
  <c r="BV68" i="2"/>
  <c r="BU68" i="2"/>
  <c r="BT68" i="2"/>
  <c r="BZ67" i="2"/>
  <c r="BY67" i="2"/>
  <c r="BX67" i="2"/>
  <c r="BW67" i="2"/>
  <c r="BV67" i="2"/>
  <c r="BU67" i="2"/>
  <c r="BT67" i="2"/>
  <c r="BZ66" i="2"/>
  <c r="BY66" i="2"/>
  <c r="BX66" i="2"/>
  <c r="BW66" i="2"/>
  <c r="BV66" i="2"/>
  <c r="BU66" i="2"/>
  <c r="BT66" i="2"/>
  <c r="BS71" i="2"/>
  <c r="BS70" i="2"/>
  <c r="BS69" i="2"/>
  <c r="BS68" i="2"/>
  <c r="BS67" i="2"/>
  <c r="BS66" i="2"/>
  <c r="B35" i="2"/>
  <c r="AI1" i="2"/>
  <c r="AE1" i="2"/>
  <c r="CC103" i="2"/>
  <c r="CC101" i="2"/>
  <c r="CC95" i="2"/>
  <c r="CC96" i="2"/>
  <c r="CC100" i="2"/>
  <c r="CC97" i="2"/>
  <c r="AT37" i="2"/>
  <c r="AU37" i="2"/>
  <c r="AT38" i="2"/>
  <c r="AU38" i="2"/>
  <c r="AT39" i="2"/>
  <c r="AU39" i="2"/>
  <c r="AT40" i="2"/>
  <c r="AU40" i="2"/>
  <c r="AT41" i="2"/>
  <c r="AU41" i="2"/>
  <c r="AT36" i="2"/>
  <c r="AU36" i="2"/>
  <c r="B18" i="2"/>
  <c r="B33" i="2"/>
  <c r="A32" i="2"/>
  <c r="A31" i="2"/>
  <c r="B16" i="1"/>
  <c r="B6" i="1"/>
  <c r="B19" i="1"/>
  <c r="B18" i="1"/>
  <c r="CH58" i="12"/>
  <c r="BI58" i="12"/>
  <c r="BO2" i="12"/>
  <c r="BP70" i="12"/>
  <c r="CZ59" i="10"/>
  <c r="CG53" i="12"/>
  <c r="CV54" i="17"/>
  <c r="CU55" i="17"/>
  <c r="CG55" i="17"/>
  <c r="CU50" i="12"/>
  <c r="CU53" i="12"/>
  <c r="CG50" i="12"/>
  <c r="BO1" i="12"/>
  <c r="CV61" i="12"/>
  <c r="BR45" i="12"/>
  <c r="B66" i="12"/>
  <c r="CW49" i="12"/>
  <c r="CI49" i="12"/>
  <c r="CI53" i="12"/>
  <c r="CW53" i="12"/>
  <c r="CV48" i="12"/>
  <c r="CH46" i="12"/>
  <c r="CV46" i="12"/>
  <c r="CU60" i="12"/>
  <c r="CH54" i="12"/>
  <c r="CV49" i="12"/>
  <c r="CH49" i="12"/>
  <c r="AN41" i="12"/>
  <c r="CU52" i="12"/>
  <c r="BJ52" i="12"/>
  <c r="BJ48" i="12"/>
  <c r="CG48" i="12"/>
  <c r="CU48" i="12"/>
  <c r="BJ57" i="12"/>
  <c r="CG57" i="12"/>
  <c r="CU57" i="12"/>
  <c r="BJ54" i="12"/>
  <c r="CG54" i="12"/>
  <c r="CU54" i="12"/>
  <c r="CU46" i="12"/>
  <c r="CG46" i="12"/>
  <c r="BJ46" i="12"/>
  <c r="CZ56" i="10"/>
  <c r="AG69" i="10"/>
  <c r="AE81" i="10"/>
  <c r="CA2" i="10"/>
  <c r="CB2" i="10"/>
  <c r="AG71" i="10"/>
  <c r="AC78" i="10"/>
  <c r="AD77" i="10"/>
  <c r="AC70" i="10"/>
  <c r="AC75" i="10"/>
  <c r="CZ50" i="10"/>
  <c r="AV36" i="10"/>
  <c r="AV37" i="10"/>
  <c r="CZ55" i="10"/>
  <c r="CU56" i="10"/>
  <c r="BJ56" i="10"/>
  <c r="CU55" i="10"/>
  <c r="BJ55" i="10"/>
  <c r="CZ54" i="10"/>
  <c r="CU61" i="10"/>
  <c r="BJ61" i="10"/>
  <c r="CZ61" i="10"/>
  <c r="CZ53" i="10"/>
  <c r="CU57" i="10"/>
  <c r="BJ57" i="10"/>
  <c r="AG68" i="10"/>
  <c r="CZ52" i="10"/>
  <c r="AG67" i="10"/>
  <c r="CJ46" i="10"/>
  <c r="AS20" i="10"/>
  <c r="CY47" i="10"/>
  <c r="CW50" i="10"/>
  <c r="CY51" i="10"/>
  <c r="CW49" i="10"/>
  <c r="CG55" i="10"/>
  <c r="CI56" i="10"/>
  <c r="CO54" i="10"/>
  <c r="BT54" i="10"/>
  <c r="CO60" i="10"/>
  <c r="BT60" i="10"/>
  <c r="CV60" i="10" s="1"/>
  <c r="CO48" i="10"/>
  <c r="CW53" i="10"/>
  <c r="CI53" i="10"/>
  <c r="CP54" i="10"/>
  <c r="CQ55" i="10"/>
  <c r="CH56" i="10"/>
  <c r="CX59" i="10"/>
  <c r="CJ59" i="10"/>
  <c r="CP60" i="10"/>
  <c r="CQ61" i="10"/>
  <c r="CX48" i="10"/>
  <c r="CJ48" i="10"/>
  <c r="CV50" i="10"/>
  <c r="CP47" i="10"/>
  <c r="CV53" i="10"/>
  <c r="CH53" i="10"/>
  <c r="CV46" i="10"/>
  <c r="CH46" i="10"/>
  <c r="CJ57" i="10"/>
  <c r="CX53" i="10"/>
  <c r="CJ53" i="10"/>
  <c r="CX60" i="10"/>
  <c r="CJ60" i="10"/>
  <c r="CW46" i="10"/>
  <c r="CI46" i="10"/>
  <c r="CQ49" i="10"/>
  <c r="AD72" i="10"/>
  <c r="AC72" i="10"/>
  <c r="AG72" i="10"/>
  <c r="BS52" i="10"/>
  <c r="BJ52" i="10" s="1"/>
  <c r="AF72" i="10"/>
  <c r="AE72" i="10"/>
  <c r="CV59" i="10"/>
  <c r="CH59" i="10"/>
  <c r="CP48" i="10"/>
  <c r="CX54" i="10"/>
  <c r="CJ54" i="10"/>
  <c r="CZ58" i="10"/>
  <c r="CV58" i="10"/>
  <c r="CH58" i="10"/>
  <c r="AC66" i="10"/>
  <c r="CW47" i="10"/>
  <c r="CI47" i="10"/>
  <c r="CX47" i="10"/>
  <c r="CJ47" i="10"/>
  <c r="AD66" i="10"/>
  <c r="AG73" i="10"/>
  <c r="AF73" i="10"/>
  <c r="CN53" i="10"/>
  <c r="AE73" i="10"/>
  <c r="AD73" i="10"/>
  <c r="AC73" i="10"/>
  <c r="BS53" i="10"/>
  <c r="BJ53" i="10" s="1"/>
  <c r="AF67" i="10"/>
  <c r="CN47" i="10"/>
  <c r="AE67" i="10"/>
  <c r="AD67" i="10"/>
  <c r="AC67" i="10"/>
  <c r="CN52" i="10"/>
  <c r="AG79" i="10"/>
  <c r="AF79" i="10"/>
  <c r="AE79" i="10"/>
  <c r="CN59" i="10"/>
  <c r="BS59" i="10"/>
  <c r="BJ59" i="10" s="1"/>
  <c r="AD79" i="10"/>
  <c r="AC79" i="10"/>
  <c r="AC81" i="10"/>
  <c r="CP46" i="10"/>
  <c r="CQ47" i="10"/>
  <c r="BT49" i="10"/>
  <c r="CV49" i="10" s="1"/>
  <c r="CO52" i="10"/>
  <c r="CQ53" i="10"/>
  <c r="BT55" i="10"/>
  <c r="CO58" i="10"/>
  <c r="CQ59" i="10"/>
  <c r="BT61" i="10"/>
  <c r="CV61" i="10" s="1"/>
  <c r="AE66" i="10"/>
  <c r="AC68" i="10"/>
  <c r="AF70" i="10"/>
  <c r="AD75" i="10"/>
  <c r="BS54" i="10"/>
  <c r="BJ54" i="10" s="1"/>
  <c r="CK56" i="10"/>
  <c r="AG78" i="10"/>
  <c r="AF78" i="10"/>
  <c r="AE78" i="10"/>
  <c r="BS60" i="10"/>
  <c r="BJ60" i="10" s="1"/>
  <c r="AF66" i="10"/>
  <c r="AD68" i="10"/>
  <c r="AE75" i="10"/>
  <c r="AD78" i="10"/>
  <c r="AC80" i="10"/>
  <c r="CL50" i="10"/>
  <c r="CL56" i="10"/>
  <c r="BI56" i="10" s="1"/>
  <c r="AG66" i="10"/>
  <c r="AE68" i="10"/>
  <c r="AF75" i="10"/>
  <c r="AD80" i="10"/>
  <c r="CK49" i="10"/>
  <c r="CK55" i="10"/>
  <c r="AG77" i="10"/>
  <c r="AF77" i="10"/>
  <c r="AE77" i="10"/>
  <c r="CK61" i="10"/>
  <c r="AF68" i="10"/>
  <c r="AC69" i="10"/>
  <c r="CL55" i="10"/>
  <c r="CL61" i="10"/>
  <c r="AF69" i="10"/>
  <c r="CK48" i="10"/>
  <c r="CN49" i="10"/>
  <c r="AG70" i="10"/>
  <c r="AE70" i="10"/>
  <c r="AD70" i="10"/>
  <c r="CK54" i="10"/>
  <c r="AG76" i="10"/>
  <c r="AF76" i="10"/>
  <c r="AE76" i="10"/>
  <c r="CI59" i="10"/>
  <c r="CK60" i="10"/>
  <c r="AC71" i="10"/>
  <c r="CL54" i="10"/>
  <c r="AD71" i="10"/>
  <c r="AC76" i="10"/>
  <c r="AE69" i="10"/>
  <c r="AD69" i="10"/>
  <c r="CI52" i="10"/>
  <c r="CK53" i="10"/>
  <c r="CN54" i="10"/>
  <c r="AG75" i="10"/>
  <c r="CG57" i="10"/>
  <c r="CI58" i="10"/>
  <c r="CK59" i="10"/>
  <c r="AG81" i="10"/>
  <c r="AF81" i="10"/>
  <c r="AD81" i="10"/>
  <c r="AE71" i="10"/>
  <c r="AF74" i="10"/>
  <c r="AD76" i="10"/>
  <c r="CK46" i="10"/>
  <c r="CH51" i="10"/>
  <c r="CJ52" i="10"/>
  <c r="CL53" i="10"/>
  <c r="CH57" i="10"/>
  <c r="CJ58" i="10"/>
  <c r="CL59" i="10"/>
  <c r="AF71" i="10"/>
  <c r="CL46" i="10"/>
  <c r="CI51" i="10"/>
  <c r="CK52" i="10"/>
  <c r="AE74" i="10"/>
  <c r="AD74" i="10"/>
  <c r="AC74" i="10"/>
  <c r="CG56" i="10"/>
  <c r="CI57" i="10"/>
  <c r="CK58" i="10"/>
  <c r="AG80" i="10"/>
  <c r="AF80" i="10"/>
  <c r="AE80" i="10"/>
  <c r="AC77" i="10"/>
  <c r="BV76" i="7"/>
  <c r="BP66" i="12"/>
  <c r="AM6" i="12"/>
  <c r="AM10" i="12"/>
  <c r="AM17" i="12"/>
  <c r="AM9" i="12"/>
  <c r="AM5" i="12"/>
  <c r="AM8" i="12"/>
  <c r="AM16" i="12"/>
  <c r="AM7" i="12"/>
  <c r="AM4" i="12"/>
  <c r="AM13" i="12"/>
  <c r="AM11" i="12"/>
  <c r="AM15" i="12"/>
  <c r="AM3" i="12"/>
  <c r="AM14" i="12"/>
  <c r="AM12" i="12"/>
  <c r="AM2" i="12"/>
  <c r="BI53" i="12"/>
  <c r="BA61" i="12"/>
  <c r="Q66" i="12"/>
  <c r="K66" i="12"/>
  <c r="J2" i="12"/>
  <c r="S81" i="12"/>
  <c r="M81" i="12"/>
  <c r="L17" i="12"/>
  <c r="O11" i="1"/>
  <c r="AK21" i="12"/>
  <c r="AK28" i="12" s="1"/>
  <c r="AN28" i="12" s="1"/>
  <c r="R78" i="12"/>
  <c r="L78" i="12"/>
  <c r="K14" i="12"/>
  <c r="AZ58" i="12"/>
  <c r="Y72" i="12"/>
  <c r="CM63" i="12"/>
  <c r="CM62" i="12"/>
  <c r="CM120" i="12" s="1"/>
  <c r="BI10" i="12"/>
  <c r="BJ10" i="12"/>
  <c r="U80" i="12"/>
  <c r="O80" i="12"/>
  <c r="N16" i="12"/>
  <c r="Z69" i="12"/>
  <c r="W75" i="12"/>
  <c r="X72" i="12"/>
  <c r="CO63" i="12"/>
  <c r="CO62" i="12"/>
  <c r="CO119" i="12"/>
  <c r="S75" i="12"/>
  <c r="M75" i="12"/>
  <c r="L11" i="12"/>
  <c r="BA57" i="12"/>
  <c r="BC53" i="12"/>
  <c r="BG2" i="12"/>
  <c r="I14" i="12"/>
  <c r="AS14" i="12"/>
  <c r="AA78" i="12"/>
  <c r="AA75" i="12"/>
  <c r="BA50" i="12"/>
  <c r="AQ10" i="12"/>
  <c r="U75" i="12"/>
  <c r="O75" i="12"/>
  <c r="N11" i="12"/>
  <c r="X67" i="12"/>
  <c r="BG5" i="12"/>
  <c r="AR7" i="12"/>
  <c r="AT7" i="12"/>
  <c r="BI2" i="12"/>
  <c r="BJ2" i="12"/>
  <c r="CN63" i="12"/>
  <c r="CN62" i="12"/>
  <c r="CN133" i="12" s="1"/>
  <c r="R80" i="12"/>
  <c r="L80" i="12"/>
  <c r="K16" i="12"/>
  <c r="BG7" i="12"/>
  <c r="Q71" i="12"/>
  <c r="K71" i="12"/>
  <c r="J7" i="12"/>
  <c r="R77" i="12"/>
  <c r="L77" i="12"/>
  <c r="K13" i="12"/>
  <c r="Y76" i="12"/>
  <c r="Z73" i="12"/>
  <c r="R66" i="12"/>
  <c r="L66" i="12"/>
  <c r="K2" i="12"/>
  <c r="AR2" i="12"/>
  <c r="AT2" i="12"/>
  <c r="W77" i="12"/>
  <c r="Q79" i="12"/>
  <c r="K79" i="12"/>
  <c r="J15" i="12"/>
  <c r="T67" i="12"/>
  <c r="N67" i="12"/>
  <c r="M3" i="12"/>
  <c r="BC48" i="12"/>
  <c r="AR16" i="12"/>
  <c r="AT16" i="12"/>
  <c r="AA68" i="12"/>
  <c r="BG14" i="12"/>
  <c r="Z79" i="12"/>
  <c r="R73" i="12"/>
  <c r="L73" i="12"/>
  <c r="K9" i="12"/>
  <c r="CQ63" i="12"/>
  <c r="CQ62" i="12"/>
  <c r="CQ115" i="12" s="1"/>
  <c r="BG9" i="12"/>
  <c r="BA46" i="12"/>
  <c r="AQ14" i="12"/>
  <c r="Y67" i="12"/>
  <c r="BB57" i="12"/>
  <c r="Y81" i="12"/>
  <c r="U73" i="12"/>
  <c r="O73" i="12"/>
  <c r="N9" i="12"/>
  <c r="AY61" i="12"/>
  <c r="BH7" i="12"/>
  <c r="AD21" i="12"/>
  <c r="BI12" i="12"/>
  <c r="BJ12" i="12"/>
  <c r="CS63" i="12"/>
  <c r="CS62" i="12"/>
  <c r="CS129" i="12"/>
  <c r="T69" i="12"/>
  <c r="N69" i="12"/>
  <c r="M5" i="12"/>
  <c r="AQ5" i="12"/>
  <c r="AY60" i="12"/>
  <c r="S80" i="12"/>
  <c r="M80" i="12"/>
  <c r="L16" i="12"/>
  <c r="BG13" i="12"/>
  <c r="Z70" i="12"/>
  <c r="Y70" i="12"/>
  <c r="W68" i="12"/>
  <c r="AR11" i="12"/>
  <c r="AT11" i="12"/>
  <c r="AZ51" i="12"/>
  <c r="X74" i="12"/>
  <c r="T66" i="12"/>
  <c r="N66" i="12"/>
  <c r="M2" i="12"/>
  <c r="Y80" i="12"/>
  <c r="BC46" i="12"/>
  <c r="U72" i="12"/>
  <c r="O72" i="12"/>
  <c r="N8" i="12"/>
  <c r="AR6" i="12"/>
  <c r="AT6" i="12"/>
  <c r="R70" i="12"/>
  <c r="L70" i="12"/>
  <c r="K6" i="12"/>
  <c r="BH16" i="12"/>
  <c r="R67" i="12"/>
  <c r="L67" i="12"/>
  <c r="K3" i="12"/>
  <c r="I3" i="12"/>
  <c r="AS3" i="12"/>
  <c r="BH9" i="12"/>
  <c r="BC59" i="12"/>
  <c r="BB60" i="12"/>
  <c r="AQ12" i="12"/>
  <c r="AA73" i="12"/>
  <c r="Z77" i="12"/>
  <c r="BB58" i="12"/>
  <c r="U77" i="12"/>
  <c r="O77" i="12"/>
  <c r="N13" i="12"/>
  <c r="BV2" i="12"/>
  <c r="BM68" i="12"/>
  <c r="BA55" i="12"/>
  <c r="BI7" i="12"/>
  <c r="BJ7" i="12"/>
  <c r="BU2" i="12"/>
  <c r="BP65" i="12" s="1"/>
  <c r="CT63" i="12"/>
  <c r="CT62" i="12"/>
  <c r="CT101" i="12" s="1"/>
  <c r="W70" i="12"/>
  <c r="AQ7" i="12"/>
  <c r="Q67" i="12"/>
  <c r="K67" i="12"/>
  <c r="J3" i="12"/>
  <c r="U81" i="12"/>
  <c r="O81" i="12"/>
  <c r="N17" i="12"/>
  <c r="BG15" i="12"/>
  <c r="Q72" i="12"/>
  <c r="K72" i="12"/>
  <c r="J8" i="12"/>
  <c r="W81" i="12"/>
  <c r="Y69" i="12"/>
  <c r="R79" i="12"/>
  <c r="L79" i="12"/>
  <c r="K15" i="12"/>
  <c r="BB53" i="12"/>
  <c r="Z75" i="12"/>
  <c r="W67" i="12"/>
  <c r="AA81" i="12"/>
  <c r="AZ49" i="12"/>
  <c r="X73" i="12"/>
  <c r="AR8" i="12"/>
  <c r="AT8" i="12"/>
  <c r="AV8" i="12" s="1"/>
  <c r="O8" i="12" s="1"/>
  <c r="Y73" i="12"/>
  <c r="AZ47" i="12"/>
  <c r="I17" i="12"/>
  <c r="AS17" i="12"/>
  <c r="I5" i="12"/>
  <c r="AS5" i="12"/>
  <c r="BH6" i="12"/>
  <c r="BA79" i="12"/>
  <c r="Y71" i="12"/>
  <c r="BA48" i="12"/>
  <c r="S73" i="12"/>
  <c r="M73" i="12"/>
  <c r="L9" i="12"/>
  <c r="I16" i="12"/>
  <c r="AS16" i="12"/>
  <c r="AA70" i="12"/>
  <c r="I2" i="12"/>
  <c r="AS2" i="12"/>
  <c r="AY56" i="12"/>
  <c r="Q77" i="12"/>
  <c r="K77" i="12"/>
  <c r="J13" i="12"/>
  <c r="Y68" i="12"/>
  <c r="BB50" i="12"/>
  <c r="BB51" i="12"/>
  <c r="Z74" i="12"/>
  <c r="AR10" i="12"/>
  <c r="AT10" i="12"/>
  <c r="AW10" i="12" s="1"/>
  <c r="R76" i="12"/>
  <c r="L76" i="12"/>
  <c r="K12" i="12"/>
  <c r="BB49" i="12"/>
  <c r="BA47" i="12"/>
  <c r="I9" i="12"/>
  <c r="AS9" i="12"/>
  <c r="CP63" i="12"/>
  <c r="CP62" i="12"/>
  <c r="CP133" i="12" s="1"/>
  <c r="X76" i="12"/>
  <c r="T79" i="12"/>
  <c r="N79" i="12"/>
  <c r="M15" i="12"/>
  <c r="AZ56" i="12"/>
  <c r="Z68" i="12"/>
  <c r="BG6" i="12"/>
  <c r="BI3" i="12"/>
  <c r="BJ3" i="12"/>
  <c r="AA66" i="12"/>
  <c r="U68" i="12"/>
  <c r="O68" i="12"/>
  <c r="N4" i="12"/>
  <c r="W80" i="12"/>
  <c r="T78" i="12"/>
  <c r="N78" i="12"/>
  <c r="M14" i="12"/>
  <c r="BG12" i="12"/>
  <c r="CR63" i="12"/>
  <c r="CR62" i="12"/>
  <c r="CR137" i="12" s="1"/>
  <c r="AQ3" i="12"/>
  <c r="X69" i="12"/>
  <c r="AR4" i="12"/>
  <c r="AT4" i="12"/>
  <c r="BW2" i="12"/>
  <c r="Y28" i="12" s="1"/>
  <c r="AB28" i="12" s="1"/>
  <c r="S68" i="12"/>
  <c r="M68" i="12"/>
  <c r="L4" i="12"/>
  <c r="BI14" i="12"/>
  <c r="BJ14" i="12"/>
  <c r="CG63" i="12"/>
  <c r="CG62" i="12"/>
  <c r="CG124" i="12" s="1"/>
  <c r="BH8" i="12"/>
  <c r="AQ17" i="12"/>
  <c r="AA72" i="12"/>
  <c r="AQ11" i="12"/>
  <c r="U69" i="12"/>
  <c r="O69" i="12"/>
  <c r="N5" i="12"/>
  <c r="BG17" i="12"/>
  <c r="BC50" i="12"/>
  <c r="U74" i="12"/>
  <c r="O74" i="12"/>
  <c r="N10" i="12"/>
  <c r="AZ46" i="12"/>
  <c r="R72" i="12"/>
  <c r="L72" i="12"/>
  <c r="K8" i="12"/>
  <c r="I4" i="12"/>
  <c r="AS4" i="12"/>
  <c r="BA58" i="12"/>
  <c r="S78" i="12"/>
  <c r="M78" i="12"/>
  <c r="L14" i="12"/>
  <c r="AA69" i="12"/>
  <c r="T74" i="12"/>
  <c r="N74" i="12"/>
  <c r="M10" i="12"/>
  <c r="AY54" i="12"/>
  <c r="Q76" i="12"/>
  <c r="K76" i="12"/>
  <c r="J12" i="12"/>
  <c r="AR12" i="12"/>
  <c r="AT12" i="12"/>
  <c r="Y79" i="12"/>
  <c r="BC56" i="12"/>
  <c r="BC49" i="12"/>
  <c r="BB47" i="12"/>
  <c r="BT47" i="12"/>
  <c r="AZ55" i="12"/>
  <c r="R68" i="12"/>
  <c r="L68" i="12"/>
  <c r="K4" i="12"/>
  <c r="W79" i="12"/>
  <c r="BI13" i="12"/>
  <c r="BJ13" i="12"/>
  <c r="BH4" i="12"/>
  <c r="AQ9" i="12"/>
  <c r="BI4" i="12"/>
  <c r="BJ4" i="12"/>
  <c r="BI5" i="12"/>
  <c r="BJ5" i="12"/>
  <c r="CU63" i="12"/>
  <c r="CU62" i="12"/>
  <c r="CU137" i="12" s="1"/>
  <c r="BH5" i="12"/>
  <c r="BC47" i="12"/>
  <c r="R74" i="12"/>
  <c r="L74" i="12"/>
  <c r="K10" i="12"/>
  <c r="AQ13" i="12"/>
  <c r="X70" i="12"/>
  <c r="AZ60" i="12"/>
  <c r="AZ53" i="12"/>
  <c r="X75" i="12"/>
  <c r="BB48" i="12"/>
  <c r="T73" i="12"/>
  <c r="N73" i="12"/>
  <c r="M9" i="12"/>
  <c r="I6" i="12"/>
  <c r="AS6" i="12"/>
  <c r="BC60" i="12"/>
  <c r="U79" i="12"/>
  <c r="O79" i="12"/>
  <c r="N15" i="12"/>
  <c r="AQ16" i="12"/>
  <c r="R71" i="12"/>
  <c r="L71" i="12"/>
  <c r="K7" i="12"/>
  <c r="AQ2" i="12"/>
  <c r="BA56" i="12"/>
  <c r="S77" i="12"/>
  <c r="M77" i="12"/>
  <c r="L13" i="12"/>
  <c r="AR14" i="12"/>
  <c r="AA80" i="12"/>
  <c r="BB61" i="12"/>
  <c r="AY57" i="12"/>
  <c r="BC54" i="12"/>
  <c r="BC52" i="12"/>
  <c r="S67" i="12"/>
  <c r="M67" i="12"/>
  <c r="L3" i="12"/>
  <c r="W66" i="12"/>
  <c r="Q80" i="12"/>
  <c r="K80" i="12"/>
  <c r="J16" i="12"/>
  <c r="T81" i="12"/>
  <c r="N81" i="12"/>
  <c r="M17" i="12"/>
  <c r="AR13" i="12"/>
  <c r="AT13" i="12"/>
  <c r="S72" i="12"/>
  <c r="M72" i="12"/>
  <c r="L8" i="12"/>
  <c r="Q70" i="12"/>
  <c r="K70" i="12"/>
  <c r="J6" i="12"/>
  <c r="W30" i="12"/>
  <c r="BG11" i="12"/>
  <c r="S71" i="12"/>
  <c r="M71" i="12"/>
  <c r="L7" i="12"/>
  <c r="Y22" i="12"/>
  <c r="AB22" i="12" s="1"/>
  <c r="AR3" i="12"/>
  <c r="AT3" i="12"/>
  <c r="AV3" i="12" s="1"/>
  <c r="O3" i="12" s="1"/>
  <c r="BI6" i="12"/>
  <c r="BJ6" i="12"/>
  <c r="BI8" i="12"/>
  <c r="BJ8" i="12"/>
  <c r="CH63" i="12"/>
  <c r="CH62" i="12"/>
  <c r="CH101" i="12" s="1"/>
  <c r="BH10" i="12"/>
  <c r="AZ50" i="12"/>
  <c r="T75" i="12"/>
  <c r="N75" i="12"/>
  <c r="M11" i="12"/>
  <c r="AQ15" i="12"/>
  <c r="Z71" i="12"/>
  <c r="W69" i="12"/>
  <c r="BB55" i="12"/>
  <c r="Z76" i="12"/>
  <c r="AY51" i="12"/>
  <c r="W74" i="12"/>
  <c r="I8" i="12"/>
  <c r="AS8" i="12"/>
  <c r="S66" i="12"/>
  <c r="M66" i="12"/>
  <c r="L2" i="12"/>
  <c r="X80" i="12"/>
  <c r="BB46" i="12"/>
  <c r="T72" i="12"/>
  <c r="N72" i="12"/>
  <c r="M8" i="12"/>
  <c r="AQ4" i="12"/>
  <c r="BC58" i="12"/>
  <c r="U78" i="12"/>
  <c r="O78" i="12"/>
  <c r="N14" i="12"/>
  <c r="BA49" i="12"/>
  <c r="AR5" i="12"/>
  <c r="AT5" i="12"/>
  <c r="Q69" i="12"/>
  <c r="K69" i="12"/>
  <c r="J5" i="12"/>
  <c r="BC61" i="12"/>
  <c r="BB59" i="12"/>
  <c r="CJ63" i="12"/>
  <c r="CJ62" i="12"/>
  <c r="CJ83" i="12" s="1"/>
  <c r="BI9" i="12"/>
  <c r="BJ9" i="12"/>
  <c r="BI11" i="12"/>
  <c r="BJ11" i="12"/>
  <c r="CV63" i="12"/>
  <c r="CV62" i="12"/>
  <c r="CV127" i="12" s="1"/>
  <c r="BH14" i="12"/>
  <c r="BB52" i="12"/>
  <c r="W76" i="12"/>
  <c r="AR17" i="12"/>
  <c r="AT17" i="12"/>
  <c r="Q73" i="12"/>
  <c r="K73" i="12"/>
  <c r="J9" i="12"/>
  <c r="T80" i="12"/>
  <c r="N80" i="12"/>
  <c r="M16" i="12"/>
  <c r="AY58" i="12"/>
  <c r="Q78" i="12"/>
  <c r="K78" i="12"/>
  <c r="J14" i="12"/>
  <c r="BA53" i="12"/>
  <c r="Y75" i="12"/>
  <c r="I10" i="12"/>
  <c r="AS10" i="12"/>
  <c r="U67" i="12"/>
  <c r="O67" i="12"/>
  <c r="N3" i="12"/>
  <c r="Z81" i="12"/>
  <c r="AY49" i="12"/>
  <c r="W73" i="12"/>
  <c r="AQ6" i="12"/>
  <c r="AZ61" i="12"/>
  <c r="X79" i="12"/>
  <c r="AZ54" i="12"/>
  <c r="AZ48" i="12"/>
  <c r="S70" i="12"/>
  <c r="M70" i="12"/>
  <c r="L6" i="12"/>
  <c r="T70" i="12"/>
  <c r="N70" i="12"/>
  <c r="M6" i="12"/>
  <c r="Q68" i="12"/>
  <c r="K68" i="12"/>
  <c r="J4" i="12"/>
  <c r="X81" i="12"/>
  <c r="CL63" i="12"/>
  <c r="CL62" i="12"/>
  <c r="CL137" i="12" s="1"/>
  <c r="CK63" i="12"/>
  <c r="CK62" i="12"/>
  <c r="CK104" i="12"/>
  <c r="Y27" i="12"/>
  <c r="AB27" i="12"/>
  <c r="CI63" i="12"/>
  <c r="CI62" i="12"/>
  <c r="CI134" i="12" s="1"/>
  <c r="BH11" i="12"/>
  <c r="AY55" i="12"/>
  <c r="Y77" i="12"/>
  <c r="AY48" i="12"/>
  <c r="S74" i="12"/>
  <c r="M74" i="12"/>
  <c r="L10" i="12"/>
  <c r="BG3" i="12"/>
  <c r="BA60" i="12"/>
  <c r="S79" i="12"/>
  <c r="M79" i="12"/>
  <c r="L15" i="12"/>
  <c r="BC55" i="12"/>
  <c r="AA76" i="12"/>
  <c r="I12" i="12"/>
  <c r="AS12" i="12"/>
  <c r="X68" i="12"/>
  <c r="AR9" i="12"/>
  <c r="AT9" i="12"/>
  <c r="AV9" i="12" s="1"/>
  <c r="O9" i="12" s="1"/>
  <c r="BA51" i="12"/>
  <c r="Y74" i="12"/>
  <c r="AQ8" i="12"/>
  <c r="U66" i="12"/>
  <c r="O66" i="12"/>
  <c r="N2" i="12"/>
  <c r="Z80" i="12"/>
  <c r="BB56" i="12"/>
  <c r="BC57" i="12"/>
  <c r="U71" i="12"/>
  <c r="O71" i="12"/>
  <c r="N7" i="12"/>
  <c r="W71" i="12"/>
  <c r="Z72" i="12"/>
  <c r="Z66" i="12"/>
  <c r="AA71" i="12"/>
  <c r="AA79" i="12"/>
  <c r="S69" i="12"/>
  <c r="M69" i="12"/>
  <c r="L5" i="12"/>
  <c r="I7" i="12"/>
  <c r="AS7" i="12"/>
  <c r="Z78" i="12"/>
  <c r="F21" i="1"/>
  <c r="R69" i="12"/>
  <c r="L69" i="12"/>
  <c r="K5" i="12"/>
  <c r="I15" i="12"/>
  <c r="AS15" i="12"/>
  <c r="BH2" i="12"/>
  <c r="BO1" i="10"/>
  <c r="BG16" i="12"/>
  <c r="T71" i="12"/>
  <c r="N71" i="12"/>
  <c r="M7" i="12"/>
  <c r="T68" i="12"/>
  <c r="N68" i="12"/>
  <c r="M4" i="12"/>
  <c r="AY52" i="12"/>
  <c r="Q75" i="12"/>
  <c r="K75" i="12"/>
  <c r="J11" i="12"/>
  <c r="AZ52" i="12"/>
  <c r="R75" i="12"/>
  <c r="L75" i="12"/>
  <c r="K11" i="12"/>
  <c r="I11" i="12"/>
  <c r="AS11" i="12"/>
  <c r="U70" i="12"/>
  <c r="O70" i="12"/>
  <c r="N6" i="12"/>
  <c r="BH3" i="12"/>
  <c r="BH17" i="12"/>
  <c r="AY47" i="12"/>
  <c r="BS47" i="12"/>
  <c r="CG47" i="12" s="1"/>
  <c r="W72" i="12"/>
  <c r="AA77" i="12"/>
  <c r="BA54" i="12"/>
  <c r="S76" i="12"/>
  <c r="M76" i="12"/>
  <c r="L12" i="12"/>
  <c r="BB54" i="12"/>
  <c r="T76" i="12"/>
  <c r="N76" i="12"/>
  <c r="M12" i="12"/>
  <c r="I13" i="12"/>
  <c r="AS13" i="12"/>
  <c r="X71" i="12"/>
  <c r="BH13" i="12"/>
  <c r="BC51" i="12"/>
  <c r="AA74" i="12"/>
  <c r="BG4" i="12"/>
  <c r="AZ59" i="12"/>
  <c r="X78" i="12"/>
  <c r="BA59" i="12"/>
  <c r="Y78" i="12"/>
  <c r="Q74" i="12"/>
  <c r="K74" i="12"/>
  <c r="J10" i="12"/>
  <c r="BH15" i="12"/>
  <c r="T77" i="12"/>
  <c r="N77" i="12"/>
  <c r="M13" i="12"/>
  <c r="BG8" i="12"/>
  <c r="X66" i="12"/>
  <c r="Q81" i="12"/>
  <c r="K81" i="12"/>
  <c r="J17" i="12"/>
  <c r="Y66" i="12"/>
  <c r="R81" i="12"/>
  <c r="L81" i="12"/>
  <c r="K17" i="12"/>
  <c r="AY50" i="12"/>
  <c r="U76" i="12"/>
  <c r="O76" i="12"/>
  <c r="N12" i="12"/>
  <c r="AY59" i="12"/>
  <c r="W78" i="12"/>
  <c r="BG10" i="12"/>
  <c r="Z67" i="12"/>
  <c r="AR15" i="12"/>
  <c r="AT15" i="12"/>
  <c r="AW15" i="12" s="1"/>
  <c r="AA67" i="12"/>
  <c r="AY53" i="12"/>
  <c r="BA52" i="12"/>
  <c r="X77" i="12"/>
  <c r="BH12" i="12"/>
  <c r="AY46" i="12"/>
  <c r="AZ57" i="12"/>
  <c r="BO2" i="10"/>
  <c r="BP66" i="10"/>
  <c r="AN41" i="10"/>
  <c r="CX46" i="10"/>
  <c r="CU53" i="10"/>
  <c r="CG53" i="10"/>
  <c r="BI53" i="10" s="1"/>
  <c r="CX50" i="10"/>
  <c r="CJ50" i="10"/>
  <c r="CU52" i="10"/>
  <c r="CG52" i="10"/>
  <c r="CW60" i="10"/>
  <c r="CI60" i="10"/>
  <c r="CU60" i="10"/>
  <c r="CG60" i="10"/>
  <c r="CX49" i="10"/>
  <c r="CJ49" i="10"/>
  <c r="CV54" i="10"/>
  <c r="CH54" i="10"/>
  <c r="CX56" i="10"/>
  <c r="CJ56" i="10"/>
  <c r="CU59" i="10"/>
  <c r="CG59" i="10"/>
  <c r="BI59" i="10" s="1"/>
  <c r="CX55" i="10"/>
  <c r="CJ55" i="10"/>
  <c r="CX61" i="10"/>
  <c r="CJ61" i="10"/>
  <c r="CW61" i="10"/>
  <c r="CI61" i="10"/>
  <c r="CV55" i="10"/>
  <c r="CH55" i="10"/>
  <c r="CW48" i="10"/>
  <c r="CI48" i="10"/>
  <c r="CW55" i="10"/>
  <c r="CI55" i="10"/>
  <c r="CW54" i="10"/>
  <c r="CI54" i="10"/>
  <c r="CU54" i="10"/>
  <c r="CG54" i="10"/>
  <c r="BV77" i="7"/>
  <c r="BV78" i="7"/>
  <c r="BV79" i="7"/>
  <c r="BV80" i="7"/>
  <c r="BV81" i="7"/>
  <c r="BV82" i="7"/>
  <c r="BV83" i="7"/>
  <c r="BV84" i="7"/>
  <c r="BV85" i="7"/>
  <c r="BV86" i="7"/>
  <c r="BV87" i="7"/>
  <c r="BV88" i="7"/>
  <c r="BV89" i="7"/>
  <c r="BV90" i="7"/>
  <c r="BV91" i="7"/>
  <c r="BV92" i="7"/>
  <c r="H64" i="7"/>
  <c r="I64" i="7"/>
  <c r="H65" i="7"/>
  <c r="I65" i="7"/>
  <c r="H66" i="7"/>
  <c r="I66" i="7"/>
  <c r="H67" i="7"/>
  <c r="I67" i="7"/>
  <c r="H68" i="7"/>
  <c r="I68" i="7"/>
  <c r="H69" i="7"/>
  <c r="I69" i="7"/>
  <c r="H70" i="7"/>
  <c r="I70" i="7"/>
  <c r="BU113" i="2"/>
  <c r="BU114" i="2"/>
  <c r="B3" i="1"/>
  <c r="U77" i="10"/>
  <c r="O77" i="10"/>
  <c r="N13" i="10"/>
  <c r="CG63" i="10"/>
  <c r="CG62" i="10"/>
  <c r="AV58" i="17"/>
  <c r="AV57" i="17"/>
  <c r="AV47" i="12"/>
  <c r="CT131" i="12"/>
  <c r="AV11" i="12"/>
  <c r="O11" i="12" s="1"/>
  <c r="AV46" i="17"/>
  <c r="AZ46" i="10"/>
  <c r="BS46" i="10"/>
  <c r="BJ46" i="10" s="1"/>
  <c r="Y70" i="10"/>
  <c r="AA72" i="10"/>
  <c r="AR16" i="10"/>
  <c r="AT16" i="10"/>
  <c r="BA59" i="10"/>
  <c r="AQ2" i="10"/>
  <c r="BI4" i="10"/>
  <c r="BJ4" i="10"/>
  <c r="CT63" i="10"/>
  <c r="CT62" i="10"/>
  <c r="CT100" i="10" s="1"/>
  <c r="AY57" i="10"/>
  <c r="X69" i="10"/>
  <c r="R70" i="10"/>
  <c r="L70" i="10"/>
  <c r="K6" i="10"/>
  <c r="BH9" i="10"/>
  <c r="T70" i="10"/>
  <c r="N70" i="10"/>
  <c r="M6" i="10"/>
  <c r="Z69" i="10"/>
  <c r="BA53" i="10"/>
  <c r="BG4" i="10"/>
  <c r="BI7" i="10"/>
  <c r="BJ7" i="10"/>
  <c r="R71" i="10"/>
  <c r="L71" i="10"/>
  <c r="K7" i="10"/>
  <c r="BC55" i="10"/>
  <c r="W80" i="10"/>
  <c r="Z80" i="10"/>
  <c r="AZ60" i="10"/>
  <c r="CU63" i="10"/>
  <c r="CU62" i="10"/>
  <c r="CU123" i="10" s="1"/>
  <c r="Q72" i="10"/>
  <c r="K72" i="10"/>
  <c r="J8" i="10"/>
  <c r="BG6" i="10"/>
  <c r="BC51" i="10"/>
  <c r="BC50" i="10"/>
  <c r="S68" i="10"/>
  <c r="M68" i="10"/>
  <c r="L4" i="10"/>
  <c r="T68" i="10"/>
  <c r="N68" i="10"/>
  <c r="M4" i="10"/>
  <c r="AZ51" i="10"/>
  <c r="Y67" i="10"/>
  <c r="BB58" i="10"/>
  <c r="S72" i="10"/>
  <c r="M72" i="10"/>
  <c r="L8" i="10"/>
  <c r="CV63" i="10"/>
  <c r="AQ3" i="10"/>
  <c r="BG3" i="10"/>
  <c r="R68" i="10"/>
  <c r="L68" i="10"/>
  <c r="K4" i="10"/>
  <c r="AK21" i="10"/>
  <c r="AK28" i="10" s="1"/>
  <c r="AN28" i="10" s="1"/>
  <c r="U76" i="10"/>
  <c r="O76" i="10"/>
  <c r="N12" i="10"/>
  <c r="CP63" i="10"/>
  <c r="CP62" i="10"/>
  <c r="CP116" i="10"/>
  <c r="S81" i="10"/>
  <c r="M81" i="10"/>
  <c r="L17" i="10"/>
  <c r="BC60" i="10"/>
  <c r="AZ47" i="10"/>
  <c r="AZ57" i="10"/>
  <c r="U73" i="10"/>
  <c r="O73" i="10"/>
  <c r="N9" i="10"/>
  <c r="BB53" i="10"/>
  <c r="CQ63" i="10"/>
  <c r="CQ62" i="10"/>
  <c r="CQ115" i="10" s="1"/>
  <c r="BH17" i="10"/>
  <c r="AQ4" i="10"/>
  <c r="BB49" i="10"/>
  <c r="AQ6" i="10"/>
  <c r="R77" i="10"/>
  <c r="L77" i="10"/>
  <c r="K13" i="10"/>
  <c r="R76" i="10"/>
  <c r="L76" i="10"/>
  <c r="K12" i="10"/>
  <c r="AZ53" i="10"/>
  <c r="BC56" i="10"/>
  <c r="AY46" i="10"/>
  <c r="BH7" i="10"/>
  <c r="AQ16" i="10"/>
  <c r="W78" i="10"/>
  <c r="BG9" i="10"/>
  <c r="AR2" i="10"/>
  <c r="AT2" i="10"/>
  <c r="BC46" i="10"/>
  <c r="Z72" i="10"/>
  <c r="BC59" i="10"/>
  <c r="BI14" i="10"/>
  <c r="BJ14" i="10"/>
  <c r="R72" i="10"/>
  <c r="L72" i="10"/>
  <c r="K8" i="10"/>
  <c r="Y74" i="10"/>
  <c r="BA58" i="10"/>
  <c r="Z77" i="10"/>
  <c r="BA54" i="10"/>
  <c r="BG15" i="10"/>
  <c r="BA57" i="10"/>
  <c r="U70" i="10"/>
  <c r="O70" i="10"/>
  <c r="N6" i="10"/>
  <c r="CK63" i="10"/>
  <c r="CK62" i="10"/>
  <c r="CK121" i="10" s="1"/>
  <c r="S73" i="10"/>
  <c r="M73" i="10"/>
  <c r="L9" i="10"/>
  <c r="BB48" i="10"/>
  <c r="I10" i="10"/>
  <c r="AS10" i="10"/>
  <c r="AY47" i="10"/>
  <c r="BS47" i="10"/>
  <c r="BJ47" i="10" s="1"/>
  <c r="Y80" i="10"/>
  <c r="W68" i="10"/>
  <c r="I8" i="10"/>
  <c r="AS8" i="10"/>
  <c r="Q79" i="10"/>
  <c r="K79" i="10"/>
  <c r="J15" i="10"/>
  <c r="AM6" i="10"/>
  <c r="AM10" i="10"/>
  <c r="AM2" i="10"/>
  <c r="AM17" i="10"/>
  <c r="AM9" i="10"/>
  <c r="AM5" i="10"/>
  <c r="AM8" i="10"/>
  <c r="AM16" i="10"/>
  <c r="AM7" i="10"/>
  <c r="AM4" i="10"/>
  <c r="AM15" i="10"/>
  <c r="AM14" i="10"/>
  <c r="AM3" i="10"/>
  <c r="AM13" i="10"/>
  <c r="AM12" i="10"/>
  <c r="AM11" i="10"/>
  <c r="BI2" i="10"/>
  <c r="BJ2" i="10"/>
  <c r="U66" i="10"/>
  <c r="O66" i="10"/>
  <c r="N2" i="10"/>
  <c r="Y79" i="10"/>
  <c r="BG10" i="10"/>
  <c r="Y75" i="10"/>
  <c r="BC49" i="10"/>
  <c r="AY50" i="10"/>
  <c r="BS50" i="10"/>
  <c r="CG50" i="10"/>
  <c r="BI50" i="10" s="1"/>
  <c r="Y69" i="10"/>
  <c r="AY58" i="10"/>
  <c r="AZ54" i="10"/>
  <c r="AR3" i="10"/>
  <c r="AT3" i="10"/>
  <c r="BG5" i="10"/>
  <c r="W67" i="10"/>
  <c r="CH63" i="10"/>
  <c r="CH62" i="10"/>
  <c r="CH115" i="10" s="1"/>
  <c r="S76" i="10"/>
  <c r="M76" i="10"/>
  <c r="L12" i="10"/>
  <c r="AA81" i="10"/>
  <c r="BG12" i="10"/>
  <c r="AA77" i="10"/>
  <c r="AZ52" i="10"/>
  <c r="BA52" i="10"/>
  <c r="BC57" i="10"/>
  <c r="CK116" i="12"/>
  <c r="CR119" i="12"/>
  <c r="CR115" i="12"/>
  <c r="BE67" i="12"/>
  <c r="BA82" i="12"/>
  <c r="AV61" i="17"/>
  <c r="AV59" i="17"/>
  <c r="CO108" i="12"/>
  <c r="CO125" i="12"/>
  <c r="CN82" i="12"/>
  <c r="CN128" i="12"/>
  <c r="CJ125" i="12"/>
  <c r="CK115" i="12"/>
  <c r="CM139" i="12"/>
  <c r="BA83" i="12"/>
  <c r="BA81" i="12"/>
  <c r="CM72" i="12"/>
  <c r="CM116" i="12"/>
  <c r="CM74" i="12"/>
  <c r="CM135" i="12"/>
  <c r="CH102" i="12"/>
  <c r="CM115" i="12"/>
  <c r="CM111" i="12"/>
  <c r="CM69" i="12"/>
  <c r="CK102" i="12"/>
  <c r="CJ66" i="12"/>
  <c r="CK111" i="12"/>
  <c r="CM80" i="12"/>
  <c r="CK113" i="12"/>
  <c r="CM122" i="12"/>
  <c r="CJ112" i="12"/>
  <c r="AW12" i="12"/>
  <c r="BE66" i="12"/>
  <c r="CH90" i="12"/>
  <c r="AW13" i="12"/>
  <c r="CH118" i="12"/>
  <c r="CG82" i="12"/>
  <c r="CL79" i="12"/>
  <c r="CG99" i="12"/>
  <c r="CN88" i="12"/>
  <c r="CG92" i="12"/>
  <c r="CG117" i="12"/>
  <c r="CN100" i="12"/>
  <c r="CG121" i="12"/>
  <c r="CG73" i="12"/>
  <c r="CG131" i="12"/>
  <c r="CN111" i="12"/>
  <c r="CL138" i="12"/>
  <c r="CN110" i="12"/>
  <c r="CN106" i="12"/>
  <c r="CN83" i="12"/>
  <c r="CG96" i="12"/>
  <c r="CG108" i="12"/>
  <c r="CG138" i="12"/>
  <c r="CN89" i="12"/>
  <c r="CG83" i="12"/>
  <c r="CG91" i="12"/>
  <c r="CN87" i="12"/>
  <c r="CN112" i="12"/>
  <c r="CN120" i="12"/>
  <c r="CG68" i="12"/>
  <c r="CG97" i="12"/>
  <c r="CG125" i="12"/>
  <c r="CN69" i="12"/>
  <c r="CN78" i="12"/>
  <c r="CN94" i="12"/>
  <c r="CN123" i="12"/>
  <c r="CN126" i="12"/>
  <c r="CG102" i="12"/>
  <c r="CG85" i="12"/>
  <c r="CG70" i="12"/>
  <c r="CG109" i="12"/>
  <c r="CG133" i="12"/>
  <c r="CG122" i="12"/>
  <c r="CN68" i="12"/>
  <c r="CN101" i="12"/>
  <c r="CN79" i="12"/>
  <c r="CN85" i="12"/>
  <c r="CN114" i="12"/>
  <c r="CN135" i="12"/>
  <c r="CG134" i="12"/>
  <c r="CG88" i="12"/>
  <c r="CG137" i="12"/>
  <c r="CG110" i="12"/>
  <c r="CG72" i="12"/>
  <c r="CG98" i="12"/>
  <c r="CG80" i="12"/>
  <c r="CG111" i="12"/>
  <c r="CG105" i="12"/>
  <c r="CG139" i="12"/>
  <c r="CN65" i="12"/>
  <c r="CN80" i="12"/>
  <c r="CN76" i="12"/>
  <c r="CN139" i="12"/>
  <c r="CG94" i="12"/>
  <c r="CN72" i="12"/>
  <c r="CN75" i="12"/>
  <c r="CN91" i="12"/>
  <c r="CN136" i="12"/>
  <c r="CG77" i="12"/>
  <c r="CG90" i="12"/>
  <c r="CG81" i="12"/>
  <c r="CG112" i="12"/>
  <c r="CG120" i="12"/>
  <c r="CG100" i="12"/>
  <c r="CN95" i="12"/>
  <c r="CN84" i="12"/>
  <c r="CN77" i="12"/>
  <c r="CN103" i="12"/>
  <c r="CN117" i="12"/>
  <c r="CG71" i="12"/>
  <c r="CG69" i="12"/>
  <c r="CG74" i="12"/>
  <c r="CG93" i="12"/>
  <c r="CG128" i="12"/>
  <c r="CN70" i="12"/>
  <c r="CN130" i="12"/>
  <c r="CG65" i="12"/>
  <c r="CG103" i="12"/>
  <c r="CG101" i="12"/>
  <c r="CG113" i="12"/>
  <c r="CG126" i="12"/>
  <c r="CG123" i="12"/>
  <c r="CN90" i="12"/>
  <c r="CN97" i="12"/>
  <c r="CN132" i="12"/>
  <c r="CN118" i="12"/>
  <c r="CG78" i="12"/>
  <c r="CN66" i="12"/>
  <c r="CN119" i="12"/>
  <c r="AV16" i="12"/>
  <c r="O16" i="12" s="1"/>
  <c r="AV60" i="12"/>
  <c r="CG118" i="12"/>
  <c r="CG67" i="12"/>
  <c r="CG119" i="12"/>
  <c r="CN71" i="12"/>
  <c r="CG114" i="12"/>
  <c r="CN96" i="12"/>
  <c r="CN137" i="12"/>
  <c r="CN107" i="12"/>
  <c r="CG66" i="12"/>
  <c r="CG76" i="12"/>
  <c r="CG89" i="12"/>
  <c r="CG79" i="12"/>
  <c r="CG115" i="12"/>
  <c r="CG104" i="12"/>
  <c r="CG130" i="12"/>
  <c r="CN73" i="12"/>
  <c r="CN105" i="12"/>
  <c r="CN102" i="12"/>
  <c r="CN108" i="12"/>
  <c r="CN125" i="12"/>
  <c r="CG95" i="12"/>
  <c r="CG127" i="12"/>
  <c r="CG107" i="12"/>
  <c r="CN122" i="12"/>
  <c r="CG75" i="12"/>
  <c r="CG84" i="12"/>
  <c r="CG135" i="12"/>
  <c r="CG129" i="12"/>
  <c r="CN67" i="12"/>
  <c r="CG132" i="12"/>
  <c r="CG86" i="12"/>
  <c r="CG106" i="12"/>
  <c r="CG87" i="12"/>
  <c r="CG116" i="12"/>
  <c r="CG136" i="12"/>
  <c r="CN74" i="12"/>
  <c r="CN104" i="12"/>
  <c r="CN121" i="12"/>
  <c r="CN138" i="12"/>
  <c r="CN109" i="12"/>
  <c r="CM65" i="12"/>
  <c r="CM87" i="12"/>
  <c r="CM104" i="12"/>
  <c r="CM119" i="12"/>
  <c r="CH97" i="12"/>
  <c r="CM79" i="12"/>
  <c r="CM75" i="12"/>
  <c r="CH82" i="12"/>
  <c r="CK78" i="12"/>
  <c r="CM89" i="12"/>
  <c r="CM103" i="12"/>
  <c r="CJ138" i="12"/>
  <c r="CK79" i="12"/>
  <c r="CM73" i="12"/>
  <c r="CM95" i="12"/>
  <c r="CM77" i="12"/>
  <c r="AW11" i="12"/>
  <c r="CJ85" i="12"/>
  <c r="AW9" i="12"/>
  <c r="CM117" i="12"/>
  <c r="CM99" i="12"/>
  <c r="CM66" i="12"/>
  <c r="CM76" i="12"/>
  <c r="CK87" i="12"/>
  <c r="CM71" i="12"/>
  <c r="CM82" i="12"/>
  <c r="CM98" i="12"/>
  <c r="CM133" i="12"/>
  <c r="CJ123" i="12"/>
  <c r="CH73" i="12"/>
  <c r="CH96" i="12"/>
  <c r="CM97" i="12"/>
  <c r="CM109" i="12"/>
  <c r="CH67" i="12"/>
  <c r="CM84" i="12"/>
  <c r="CM121" i="12"/>
  <c r="CM78" i="12"/>
  <c r="CM96" i="12"/>
  <c r="CM88" i="12"/>
  <c r="CM102" i="12"/>
  <c r="CM124" i="12"/>
  <c r="CH75" i="12"/>
  <c r="CM81" i="12"/>
  <c r="CH89" i="12"/>
  <c r="CM83" i="12"/>
  <c r="CJ89" i="12"/>
  <c r="CH74" i="12"/>
  <c r="CM107" i="12"/>
  <c r="CM92" i="12"/>
  <c r="CM113" i="12"/>
  <c r="CM105" i="12"/>
  <c r="CJ130" i="12"/>
  <c r="CK124" i="12"/>
  <c r="CM93" i="12"/>
  <c r="CM110" i="12"/>
  <c r="CM132" i="12"/>
  <c r="CJ108" i="12"/>
  <c r="CH65" i="12"/>
  <c r="CH122" i="12"/>
  <c r="U78" i="10"/>
  <c r="O78" i="10"/>
  <c r="N14" i="10"/>
  <c r="T77" i="10"/>
  <c r="N77" i="10"/>
  <c r="M13" i="10"/>
  <c r="BG13" i="10"/>
  <c r="U71" i="10"/>
  <c r="O71" i="10"/>
  <c r="N7" i="10"/>
  <c r="W74" i="10"/>
  <c r="U74" i="10"/>
  <c r="O74" i="10"/>
  <c r="N10" i="10"/>
  <c r="Y77" i="10"/>
  <c r="Q81" i="10"/>
  <c r="K81" i="10"/>
  <c r="J17" i="10"/>
  <c r="CR83" i="12"/>
  <c r="CR79" i="12"/>
  <c r="CR109" i="12"/>
  <c r="CR106" i="12"/>
  <c r="CR139" i="12"/>
  <c r="CR113" i="12"/>
  <c r="CR134" i="12"/>
  <c r="CR73" i="12"/>
  <c r="CR89" i="12"/>
  <c r="CR92" i="12"/>
  <c r="CR123" i="12"/>
  <c r="CR122" i="12"/>
  <c r="AW16" i="12"/>
  <c r="CR85" i="12"/>
  <c r="CR74" i="12"/>
  <c r="CR75" i="12"/>
  <c r="CR129" i="12"/>
  <c r="CP70" i="12"/>
  <c r="CV94" i="12"/>
  <c r="CR78" i="12"/>
  <c r="CR80" i="12"/>
  <c r="CR76" i="12"/>
  <c r="CR136" i="12"/>
  <c r="CP71" i="12"/>
  <c r="CV99" i="12"/>
  <c r="AW2" i="12"/>
  <c r="CR133" i="12"/>
  <c r="CR126" i="12"/>
  <c r="CR77" i="12"/>
  <c r="CR103" i="12"/>
  <c r="CR124" i="12"/>
  <c r="CP83" i="12"/>
  <c r="CR66" i="12"/>
  <c r="CR87" i="12"/>
  <c r="CR121" i="12"/>
  <c r="CR131" i="12"/>
  <c r="CP76" i="12"/>
  <c r="CR71" i="12"/>
  <c r="CR110" i="12"/>
  <c r="CR96" i="12"/>
  <c r="CR127" i="12"/>
  <c r="CP90" i="12"/>
  <c r="CV76" i="12"/>
  <c r="CR112" i="12"/>
  <c r="CP132" i="12"/>
  <c r="CJ99" i="12"/>
  <c r="CJ100" i="12"/>
  <c r="CJ98" i="12"/>
  <c r="CH110" i="12"/>
  <c r="CH69" i="12"/>
  <c r="CH84" i="12"/>
  <c r="CH114" i="12"/>
  <c r="CJ82" i="12"/>
  <c r="CJ84" i="12"/>
  <c r="CH68" i="12"/>
  <c r="CH108" i="12"/>
  <c r="CH117" i="12"/>
  <c r="CH80" i="12"/>
  <c r="CH123" i="12"/>
  <c r="CH78" i="12"/>
  <c r="CH91" i="12"/>
  <c r="CH109" i="12"/>
  <c r="CH125" i="12"/>
  <c r="CJ78" i="12"/>
  <c r="CJ75" i="12"/>
  <c r="CJ96" i="12"/>
  <c r="CJ121" i="12"/>
  <c r="CJ67" i="12"/>
  <c r="CJ127" i="12"/>
  <c r="CH79" i="12"/>
  <c r="CH70" i="12"/>
  <c r="CH111" i="12"/>
  <c r="CH124" i="12"/>
  <c r="CH129" i="12"/>
  <c r="CJ68" i="12"/>
  <c r="CJ77" i="12"/>
  <c r="CH99" i="12"/>
  <c r="CH72" i="12"/>
  <c r="CH104" i="12"/>
  <c r="CH136" i="12"/>
  <c r="CH130" i="12"/>
  <c r="CJ115" i="12"/>
  <c r="CJ124" i="12"/>
  <c r="CJ107" i="12"/>
  <c r="CH98" i="12"/>
  <c r="CH116" i="12"/>
  <c r="CH131" i="12"/>
  <c r="CH121" i="12"/>
  <c r="CJ72" i="12"/>
  <c r="CJ94" i="12"/>
  <c r="CJ93" i="12"/>
  <c r="CJ133" i="12"/>
  <c r="CH76" i="12"/>
  <c r="CH119" i="12"/>
  <c r="CH83" i="12"/>
  <c r="CH132" i="12"/>
  <c r="CJ65" i="12"/>
  <c r="CJ110" i="12"/>
  <c r="CJ105" i="12"/>
  <c r="CJ97" i="12"/>
  <c r="CH86" i="12"/>
  <c r="CH77" i="12"/>
  <c r="CH103" i="12"/>
  <c r="CH88" i="12"/>
  <c r="CH138" i="12"/>
  <c r="CJ91" i="12"/>
  <c r="CJ101" i="12"/>
  <c r="CH71" i="12"/>
  <c r="CH133" i="12"/>
  <c r="CH112" i="12"/>
  <c r="CH95" i="12"/>
  <c r="CK65" i="12"/>
  <c r="CK105" i="12"/>
  <c r="CK117" i="12"/>
  <c r="CK91" i="12"/>
  <c r="CK133" i="12"/>
  <c r="BA84" i="12"/>
  <c r="CK68" i="12"/>
  <c r="CK98" i="12"/>
  <c r="CK135" i="12"/>
  <c r="CK69" i="12"/>
  <c r="CK109" i="12"/>
  <c r="CK136" i="12"/>
  <c r="CK93" i="12"/>
  <c r="CK106" i="12"/>
  <c r="CK103" i="12"/>
  <c r="BI72" i="12"/>
  <c r="CK83" i="12"/>
  <c r="CK95" i="12"/>
  <c r="CK121" i="12"/>
  <c r="CL68" i="12"/>
  <c r="CK66" i="12"/>
  <c r="CK99" i="12"/>
  <c r="CK122" i="12"/>
  <c r="BI69" i="12"/>
  <c r="BI68" i="12"/>
  <c r="CL133" i="12"/>
  <c r="AV7" i="12"/>
  <c r="O7" i="12" s="1"/>
  <c r="AN21" i="12"/>
  <c r="AV13" i="12"/>
  <c r="O13" i="12" s="1"/>
  <c r="CS97" i="12"/>
  <c r="CO105" i="12"/>
  <c r="CO101" i="12"/>
  <c r="D21" i="1"/>
  <c r="D42" i="1"/>
  <c r="D43" i="1"/>
  <c r="O10" i="1"/>
  <c r="CP69" i="12"/>
  <c r="CP135" i="12"/>
  <c r="CP82" i="12"/>
  <c r="CP75" i="12"/>
  <c r="CP136" i="12"/>
  <c r="CP131" i="12"/>
  <c r="CP134" i="12"/>
  <c r="CP102" i="12"/>
  <c r="CK118" i="12"/>
  <c r="CP113" i="12"/>
  <c r="CK75" i="12"/>
  <c r="CK129" i="12"/>
  <c r="CK127" i="12"/>
  <c r="CP91" i="12"/>
  <c r="CP86" i="12"/>
  <c r="CK112" i="12"/>
  <c r="CK85" i="12"/>
  <c r="CK119" i="12"/>
  <c r="CK137" i="12"/>
  <c r="CP137" i="12"/>
  <c r="CP89" i="12"/>
  <c r="CP81" i="12"/>
  <c r="CP96" i="12"/>
  <c r="CP101" i="12"/>
  <c r="CP114" i="12"/>
  <c r="CV100" i="12"/>
  <c r="CK70" i="12"/>
  <c r="CK100" i="12"/>
  <c r="CP84" i="12"/>
  <c r="CP80" i="12"/>
  <c r="CP138" i="12"/>
  <c r="CK90" i="12"/>
  <c r="CK97" i="12"/>
  <c r="CK125" i="12"/>
  <c r="CK138" i="12"/>
  <c r="CP65" i="12"/>
  <c r="CP97" i="12"/>
  <c r="CP87" i="12"/>
  <c r="CP105" i="12"/>
  <c r="CP122" i="12"/>
  <c r="CP115" i="12"/>
  <c r="CV66" i="12"/>
  <c r="CV85" i="12"/>
  <c r="CP68" i="12"/>
  <c r="CP74" i="12"/>
  <c r="CP112" i="12"/>
  <c r="CP109" i="12"/>
  <c r="CP92" i="12"/>
  <c r="CP116" i="12"/>
  <c r="CK71" i="12"/>
  <c r="CK128" i="12"/>
  <c r="AV15" i="12"/>
  <c r="O15" i="12" s="1"/>
  <c r="CP139" i="12"/>
  <c r="CP95" i="12"/>
  <c r="CP128" i="12"/>
  <c r="CK88" i="12"/>
  <c r="CK86" i="12"/>
  <c r="Y26" i="12"/>
  <c r="AB26" i="12" s="1"/>
  <c r="CP85" i="12"/>
  <c r="CP107" i="12"/>
  <c r="CP78" i="12"/>
  <c r="CP98" i="12"/>
  <c r="CP117" i="12"/>
  <c r="CK74" i="12"/>
  <c r="CK107" i="12"/>
  <c r="CK92" i="12"/>
  <c r="CK73" i="12"/>
  <c r="CK120" i="12"/>
  <c r="CK139" i="12"/>
  <c r="BM65" i="12"/>
  <c r="CP66" i="12"/>
  <c r="CP110" i="12"/>
  <c r="CP79" i="12"/>
  <c r="CP100" i="12"/>
  <c r="CP123" i="12"/>
  <c r="CP118" i="12"/>
  <c r="CV81" i="12"/>
  <c r="CV93" i="12"/>
  <c r="CV130" i="12"/>
  <c r="CV114" i="12"/>
  <c r="AW17" i="12"/>
  <c r="CP73" i="12"/>
  <c r="CP77" i="12"/>
  <c r="CP120" i="12"/>
  <c r="CK81" i="12"/>
  <c r="CK110" i="12"/>
  <c r="CK108" i="12"/>
  <c r="CK84" i="12"/>
  <c r="CK126" i="12"/>
  <c r="CP127" i="12"/>
  <c r="CP88" i="12"/>
  <c r="CP108" i="12"/>
  <c r="CP94" i="12"/>
  <c r="CP129" i="12"/>
  <c r="CP119" i="12"/>
  <c r="CV115" i="12"/>
  <c r="CV103" i="12"/>
  <c r="AW6" i="12"/>
  <c r="AV4" i="12"/>
  <c r="O4" i="12" s="1"/>
  <c r="AV48" i="12"/>
  <c r="CP93" i="12"/>
  <c r="CP125" i="12"/>
  <c r="AV10" i="12"/>
  <c r="O10" i="12"/>
  <c r="CP72" i="12"/>
  <c r="CP67" i="12"/>
  <c r="CP111" i="12"/>
  <c r="CP126" i="12"/>
  <c r="CP130" i="12"/>
  <c r="CK101" i="12"/>
  <c r="CK72" i="12"/>
  <c r="CK94" i="12"/>
  <c r="CP103" i="12"/>
  <c r="CP106" i="12"/>
  <c r="CP99" i="12"/>
  <c r="CP121" i="12"/>
  <c r="CP104" i="12"/>
  <c r="CP124" i="12"/>
  <c r="CV70" i="12"/>
  <c r="CV75" i="12"/>
  <c r="CV71" i="12"/>
  <c r="CV132" i="12"/>
  <c r="BI11" i="10"/>
  <c r="BJ11" i="10"/>
  <c r="S77" i="10"/>
  <c r="M77" i="10"/>
  <c r="L13" i="10"/>
  <c r="U68" i="10"/>
  <c r="O68" i="10"/>
  <c r="N4" i="10"/>
  <c r="Q73" i="10"/>
  <c r="K73" i="10"/>
  <c r="J9" i="10"/>
  <c r="U79" i="10"/>
  <c r="O79" i="10"/>
  <c r="N15" i="10"/>
  <c r="BH15" i="10"/>
  <c r="W77" i="10"/>
  <c r="BC48" i="10"/>
  <c r="AQ8" i="10"/>
  <c r="I7" i="10"/>
  <c r="AS7" i="10"/>
  <c r="X68" i="10"/>
  <c r="BG14" i="10"/>
  <c r="W73" i="10"/>
  <c r="BG16" i="10"/>
  <c r="Z75" i="10"/>
  <c r="BA47" i="10"/>
  <c r="X78" i="10"/>
  <c r="BC53" i="10"/>
  <c r="BB47" i="10"/>
  <c r="AA80" i="10"/>
  <c r="AY55" i="10"/>
  <c r="I6" i="10"/>
  <c r="AS6" i="10"/>
  <c r="AY60" i="10"/>
  <c r="AY61" i="10"/>
  <c r="BA55" i="10"/>
  <c r="T79" i="10"/>
  <c r="N79" i="10"/>
  <c r="M15" i="10"/>
  <c r="R66" i="10"/>
  <c r="L66" i="10"/>
  <c r="K2" i="10"/>
  <c r="R74" i="10"/>
  <c r="L74" i="10"/>
  <c r="K10" i="10"/>
  <c r="Q67" i="10"/>
  <c r="K67" i="10"/>
  <c r="J3" i="10"/>
  <c r="BI3" i="10"/>
  <c r="BJ3" i="10"/>
  <c r="BV2" i="10"/>
  <c r="BM65" i="10" s="1"/>
  <c r="CJ63" i="10"/>
  <c r="CJ62" i="10"/>
  <c r="CJ73" i="10" s="1"/>
  <c r="CJ100" i="10"/>
  <c r="Y22" i="10"/>
  <c r="AB22" i="10"/>
  <c r="U81" i="10"/>
  <c r="O81" i="10"/>
  <c r="N17" i="10"/>
  <c r="R75" i="10"/>
  <c r="L75" i="10"/>
  <c r="K11" i="10"/>
  <c r="Q77" i="10"/>
  <c r="K77" i="10"/>
  <c r="J13" i="10"/>
  <c r="BH16" i="10"/>
  <c r="AY51" i="10"/>
  <c r="BS51" i="10"/>
  <c r="CG51" i="10" s="1"/>
  <c r="BG2" i="10"/>
  <c r="AY56" i="10"/>
  <c r="BA48" i="10"/>
  <c r="AR14" i="10"/>
  <c r="AT14" i="10"/>
  <c r="X75" i="10"/>
  <c r="BA49" i="10"/>
  <c r="X80" i="10"/>
  <c r="AY52" i="10"/>
  <c r="W72" i="10"/>
  <c r="BB54" i="10"/>
  <c r="I12" i="10"/>
  <c r="AS12" i="10"/>
  <c r="W75" i="10"/>
  <c r="BC54" i="10"/>
  <c r="AA76" i="10"/>
  <c r="AA66" i="10"/>
  <c r="BG11" i="10"/>
  <c r="Z71" i="10"/>
  <c r="X67" i="10"/>
  <c r="BH6" i="10"/>
  <c r="U67" i="10"/>
  <c r="O67" i="10"/>
  <c r="N3" i="10"/>
  <c r="BH2" i="10"/>
  <c r="S75" i="10"/>
  <c r="M75" i="10"/>
  <c r="L11" i="10"/>
  <c r="BB59" i="10"/>
  <c r="AR11" i="10"/>
  <c r="AT11" i="10"/>
  <c r="Y71" i="10"/>
  <c r="AQ15" i="10"/>
  <c r="Y76" i="10"/>
  <c r="AA71" i="10"/>
  <c r="S70" i="10"/>
  <c r="M70" i="10"/>
  <c r="L6" i="10"/>
  <c r="U80" i="10"/>
  <c r="O80" i="10"/>
  <c r="N16" i="10"/>
  <c r="BI10" i="10"/>
  <c r="BJ10" i="10"/>
  <c r="CL63" i="10"/>
  <c r="CL62" i="10"/>
  <c r="CL127" i="10"/>
  <c r="CR63" i="10"/>
  <c r="CR62" i="10"/>
  <c r="CR123" i="10" s="1"/>
  <c r="Q75" i="10"/>
  <c r="K75" i="10"/>
  <c r="J11" i="10"/>
  <c r="Q80" i="10"/>
  <c r="K80" i="10"/>
  <c r="J16" i="10"/>
  <c r="S69" i="10"/>
  <c r="M69" i="10"/>
  <c r="L5" i="10"/>
  <c r="BH10" i="10"/>
  <c r="AR4" i="10"/>
  <c r="AT4" i="10"/>
  <c r="AZ58" i="10"/>
  <c r="BG8" i="10"/>
  <c r="AA67" i="10"/>
  <c r="BA60" i="10"/>
  <c r="AZ49" i="10"/>
  <c r="BS49" i="10"/>
  <c r="BJ49" i="10"/>
  <c r="AA69" i="10"/>
  <c r="BB56" i="10"/>
  <c r="AQ5" i="10"/>
  <c r="AZ59" i="10"/>
  <c r="AR5" i="10"/>
  <c r="AT5" i="10"/>
  <c r="BC61" i="10"/>
  <c r="BB55" i="10"/>
  <c r="BG7" i="10"/>
  <c r="Z66" i="10"/>
  <c r="AR13" i="10"/>
  <c r="AT13" i="10"/>
  <c r="AV13" i="10" s="1"/>
  <c r="O13" i="10" s="1"/>
  <c r="AA73" i="10"/>
  <c r="AR17" i="10"/>
  <c r="AT17" i="10"/>
  <c r="AA78" i="10"/>
  <c r="BH13" i="10"/>
  <c r="X74" i="10"/>
  <c r="T67" i="10"/>
  <c r="N67" i="10"/>
  <c r="M3" i="10"/>
  <c r="T74" i="10"/>
  <c r="N74" i="10"/>
  <c r="M10" i="10"/>
  <c r="U75" i="10"/>
  <c r="O75" i="10"/>
  <c r="N11" i="10"/>
  <c r="BI13" i="10"/>
  <c r="BJ13" i="10"/>
  <c r="BW2" i="10"/>
  <c r="Y28" i="10" s="1"/>
  <c r="AB28" i="10" s="1"/>
  <c r="CM63" i="10"/>
  <c r="CM62" i="10"/>
  <c r="CM105" i="10" s="1"/>
  <c r="BA79" i="10"/>
  <c r="Q78" i="10"/>
  <c r="K78" i="10"/>
  <c r="J14" i="10"/>
  <c r="Q76" i="10"/>
  <c r="K76" i="10"/>
  <c r="J12" i="10"/>
  <c r="R81" i="10"/>
  <c r="L81" i="10"/>
  <c r="K17" i="10"/>
  <c r="U72" i="10"/>
  <c r="O72" i="10"/>
  <c r="N8" i="10"/>
  <c r="AR6" i="10"/>
  <c r="AT6" i="10"/>
  <c r="AW6" i="10" s="1"/>
  <c r="BB60" i="10"/>
  <c r="AQ10" i="10"/>
  <c r="W70" i="10"/>
  <c r="Z81" i="10"/>
  <c r="BB51" i="10"/>
  <c r="BB46" i="10"/>
  <c r="AY59" i="10"/>
  <c r="AQ7" i="10"/>
  <c r="BB61" i="10"/>
  <c r="AR7" i="10"/>
  <c r="AT7" i="10"/>
  <c r="Y66" i="10"/>
  <c r="X79" i="10"/>
  <c r="AR9" i="10"/>
  <c r="AT9" i="10"/>
  <c r="W69" i="10"/>
  <c r="X76" i="10"/>
  <c r="AY48" i="10"/>
  <c r="BS48" i="10"/>
  <c r="BJ48" i="10" s="1"/>
  <c r="X81" i="10"/>
  <c r="AR15" i="10"/>
  <c r="AT15" i="10"/>
  <c r="Z76" i="10"/>
  <c r="S79" i="10"/>
  <c r="M79" i="10"/>
  <c r="L15" i="10"/>
  <c r="BH12" i="10"/>
  <c r="S66" i="10"/>
  <c r="M66" i="10"/>
  <c r="L2" i="10"/>
  <c r="CI63" i="10"/>
  <c r="CI62" i="10"/>
  <c r="CI82" i="10" s="1"/>
  <c r="AD21" i="10"/>
  <c r="CN63" i="10"/>
  <c r="CN62" i="10"/>
  <c r="CN67" i="10" s="1"/>
  <c r="CG100" i="10"/>
  <c r="BH3" i="10"/>
  <c r="T81" i="10"/>
  <c r="N81" i="10"/>
  <c r="M17" i="10"/>
  <c r="T71" i="10"/>
  <c r="N71" i="10"/>
  <c r="M7" i="10"/>
  <c r="R73" i="10"/>
  <c r="L73" i="10"/>
  <c r="K9" i="10"/>
  <c r="AR8" i="10"/>
  <c r="AT8" i="10"/>
  <c r="Z67" i="10"/>
  <c r="AQ12" i="10"/>
  <c r="Y72" i="10"/>
  <c r="X70" i="10"/>
  <c r="AY54" i="10"/>
  <c r="BA61" i="10"/>
  <c r="X66" i="10"/>
  <c r="AQ9" i="10"/>
  <c r="AA68" i="10"/>
  <c r="BH8" i="10"/>
  <c r="AQ11" i="10"/>
  <c r="X71" i="10"/>
  <c r="AQ17" i="10"/>
  <c r="Z78" i="10"/>
  <c r="BA50" i="10"/>
  <c r="AR10" i="10"/>
  <c r="AT10" i="10"/>
  <c r="BG17" i="10"/>
  <c r="W79" i="10"/>
  <c r="T78" i="10"/>
  <c r="N78" i="10"/>
  <c r="M14" i="10"/>
  <c r="S78" i="10"/>
  <c r="M78" i="10"/>
  <c r="L14" i="10"/>
  <c r="R67" i="10"/>
  <c r="L67" i="10"/>
  <c r="K3" i="10"/>
  <c r="Y27" i="10"/>
  <c r="AB27" i="10"/>
  <c r="BH5" i="10"/>
  <c r="AA74" i="10"/>
  <c r="W66" i="10"/>
  <c r="W71" i="10"/>
  <c r="AQ13" i="10"/>
  <c r="Z73" i="10"/>
  <c r="W81" i="10"/>
  <c r="BC52" i="10"/>
  <c r="AQ14" i="10"/>
  <c r="AZ48" i="10"/>
  <c r="BT48" i="10"/>
  <c r="Y81" i="10"/>
  <c r="T75" i="10"/>
  <c r="N75" i="10"/>
  <c r="M11" i="10"/>
  <c r="R80" i="10"/>
  <c r="L80" i="10"/>
  <c r="K16" i="10"/>
  <c r="R79" i="10"/>
  <c r="L79" i="10"/>
  <c r="K15" i="10"/>
  <c r="W30" i="10"/>
  <c r="I13" i="10"/>
  <c r="AS13" i="10"/>
  <c r="I2" i="10"/>
  <c r="AS2" i="10"/>
  <c r="BB50" i="10"/>
  <c r="T72" i="10"/>
  <c r="N72" i="10"/>
  <c r="M8" i="10"/>
  <c r="T69" i="10"/>
  <c r="N69" i="10"/>
  <c r="M5" i="10"/>
  <c r="T66" i="10"/>
  <c r="N66" i="10"/>
  <c r="M2" i="10"/>
  <c r="CS63" i="10"/>
  <c r="CS62" i="10"/>
  <c r="CS123" i="10" s="1"/>
  <c r="T73" i="10"/>
  <c r="N73" i="10"/>
  <c r="M9" i="10"/>
  <c r="T80" i="10"/>
  <c r="N80" i="10"/>
  <c r="M16" i="10"/>
  <c r="Q69" i="10"/>
  <c r="K69" i="10"/>
  <c r="J5" i="10"/>
  <c r="Q70" i="10"/>
  <c r="K70" i="10"/>
  <c r="J6" i="10"/>
  <c r="AA79" i="10"/>
  <c r="BA56" i="10"/>
  <c r="I11" i="10"/>
  <c r="AS11" i="10"/>
  <c r="Z68" i="10"/>
  <c r="AR12" i="10"/>
  <c r="AT12" i="10"/>
  <c r="BC47" i="10"/>
  <c r="BI9" i="10"/>
  <c r="BJ9" i="10"/>
  <c r="BI6" i="10"/>
  <c r="BJ6" i="10"/>
  <c r="BI5" i="10"/>
  <c r="BJ5" i="10"/>
  <c r="Q68" i="10"/>
  <c r="K68" i="10"/>
  <c r="J4" i="10"/>
  <c r="BH11" i="10"/>
  <c r="T76" i="10"/>
  <c r="N76" i="10"/>
  <c r="M12" i="10"/>
  <c r="R69" i="10"/>
  <c r="L69" i="10"/>
  <c r="K5" i="10"/>
  <c r="X72" i="10"/>
  <c r="I16" i="10"/>
  <c r="AS16" i="10"/>
  <c r="X77" i="10"/>
  <c r="I3" i="10"/>
  <c r="AS3" i="10"/>
  <c r="BC58" i="10"/>
  <c r="Y68" i="10"/>
  <c r="AA70" i="10"/>
  <c r="Y73" i="10"/>
  <c r="I15" i="10"/>
  <c r="AS15" i="10"/>
  <c r="W76" i="10"/>
  <c r="AZ50" i="10"/>
  <c r="AZ55" i="10"/>
  <c r="BA51" i="10"/>
  <c r="S74" i="10"/>
  <c r="M74" i="10"/>
  <c r="L10" i="10"/>
  <c r="BI12" i="10"/>
  <c r="BJ12" i="10"/>
  <c r="BU2" i="10"/>
  <c r="BA82" i="10" s="1"/>
  <c r="BI8" i="10"/>
  <c r="BJ8" i="10"/>
  <c r="CO63" i="10"/>
  <c r="CO62" i="10"/>
  <c r="CO120" i="10" s="1"/>
  <c r="R78" i="10"/>
  <c r="L78" i="10"/>
  <c r="K14" i="10"/>
  <c r="BH4" i="10"/>
  <c r="S71" i="10"/>
  <c r="M71" i="10"/>
  <c r="L7" i="10"/>
  <c r="S80" i="10"/>
  <c r="M80" i="10"/>
  <c r="L16" i="10"/>
  <c r="I14" i="10"/>
  <c r="AS14" i="10"/>
  <c r="Z74" i="10"/>
  <c r="BA46" i="10"/>
  <c r="Z79" i="10"/>
  <c r="I5" i="10"/>
  <c r="AS5" i="10"/>
  <c r="AZ61" i="10"/>
  <c r="I9" i="10"/>
  <c r="AS9" i="10"/>
  <c r="Z70" i="10"/>
  <c r="BH14" i="10"/>
  <c r="X73" i="10"/>
  <c r="I17" i="10"/>
  <c r="AS17" i="10"/>
  <c r="AA75" i="10"/>
  <c r="AY49" i="10"/>
  <c r="Y78" i="10"/>
  <c r="BB52" i="10"/>
  <c r="I4" i="10"/>
  <c r="AS4" i="10"/>
  <c r="BB57" i="10"/>
  <c r="AZ56" i="10"/>
  <c r="AY53" i="10"/>
  <c r="Q66" i="10"/>
  <c r="K66" i="10"/>
  <c r="Q71" i="10"/>
  <c r="K71" i="10"/>
  <c r="J7" i="10"/>
  <c r="S67" i="10"/>
  <c r="M67" i="10"/>
  <c r="L3" i="10"/>
  <c r="Q74" i="10"/>
  <c r="K74" i="10"/>
  <c r="J10" i="10"/>
  <c r="CU130" i="12"/>
  <c r="CT97" i="12"/>
  <c r="CO73" i="12"/>
  <c r="CO83" i="12"/>
  <c r="CO98" i="12"/>
  <c r="CO110" i="12"/>
  <c r="CO134" i="12"/>
  <c r="CL76" i="12"/>
  <c r="CL77" i="12"/>
  <c r="CL134" i="12"/>
  <c r="CO74" i="12"/>
  <c r="CO111" i="12"/>
  <c r="CU109" i="12"/>
  <c r="CS124" i="12"/>
  <c r="CT124" i="12"/>
  <c r="CO70" i="12"/>
  <c r="CO71" i="12"/>
  <c r="CO81" i="12"/>
  <c r="CO112" i="12"/>
  <c r="CO126" i="12"/>
  <c r="CL101" i="12"/>
  <c r="CL90" i="12"/>
  <c r="CO92" i="12"/>
  <c r="CO133" i="12"/>
  <c r="CU133" i="12"/>
  <c r="CQ85" i="12"/>
  <c r="CT93" i="12"/>
  <c r="CO84" i="12"/>
  <c r="CO87" i="12"/>
  <c r="CO91" i="12"/>
  <c r="CO123" i="12"/>
  <c r="CO113" i="12"/>
  <c r="CO135" i="12"/>
  <c r="CL131" i="12"/>
  <c r="CL126" i="12"/>
  <c r="CO109" i="12"/>
  <c r="CO94" i="12"/>
  <c r="CQ107" i="12"/>
  <c r="CT105" i="12"/>
  <c r="CO69" i="12"/>
  <c r="CO138" i="12"/>
  <c r="CO129" i="12"/>
  <c r="CO114" i="12"/>
  <c r="CL113" i="12"/>
  <c r="CL132" i="12"/>
  <c r="CU138" i="12"/>
  <c r="CO68" i="12"/>
  <c r="CO95" i="12"/>
  <c r="CO79" i="12"/>
  <c r="CO103" i="12"/>
  <c r="CO115" i="12"/>
  <c r="CL84" i="12"/>
  <c r="CU68" i="12"/>
  <c r="CO66" i="12"/>
  <c r="CO139" i="12"/>
  <c r="CO75" i="12"/>
  <c r="CO67" i="12"/>
  <c r="CO102" i="12"/>
  <c r="CO121" i="12"/>
  <c r="CO124" i="12"/>
  <c r="CL106" i="12"/>
  <c r="CL116" i="12"/>
  <c r="CO82" i="12"/>
  <c r="CU89" i="12"/>
  <c r="CO76" i="12"/>
  <c r="CQ126" i="12"/>
  <c r="CO77" i="12"/>
  <c r="CO127" i="12"/>
  <c r="CO131" i="12"/>
  <c r="CO117" i="12"/>
  <c r="CL122" i="12"/>
  <c r="CL114" i="12"/>
  <c r="CL121" i="12"/>
  <c r="CS77" i="12"/>
  <c r="CQ117" i="12"/>
  <c r="CT98" i="12"/>
  <c r="CO106" i="12"/>
  <c r="CO86" i="12"/>
  <c r="CO137" i="12"/>
  <c r="CO132" i="12"/>
  <c r="CO118" i="12"/>
  <c r="CL65" i="12"/>
  <c r="CL85" i="12"/>
  <c r="CL118" i="12"/>
  <c r="CL127" i="12"/>
  <c r="CS136" i="12"/>
  <c r="CO120" i="12"/>
  <c r="CS66" i="12"/>
  <c r="CT114" i="12"/>
  <c r="CO96" i="12"/>
  <c r="CO89" i="12"/>
  <c r="CO107" i="12"/>
  <c r="CL107" i="12"/>
  <c r="CL91" i="12"/>
  <c r="CL100" i="12"/>
  <c r="CL119" i="12"/>
  <c r="CU67" i="12"/>
  <c r="CU100" i="12"/>
  <c r="CU84" i="12"/>
  <c r="CU108" i="12"/>
  <c r="CU125" i="12"/>
  <c r="CU102" i="12"/>
  <c r="CI111" i="12"/>
  <c r="CS76" i="12"/>
  <c r="CS73" i="12"/>
  <c r="CS89" i="12"/>
  <c r="CS78" i="12"/>
  <c r="CS104" i="12"/>
  <c r="CS130" i="12"/>
  <c r="CQ134" i="12"/>
  <c r="CQ104" i="12"/>
  <c r="CQ79" i="12"/>
  <c r="CQ116" i="12"/>
  <c r="CT72" i="12"/>
  <c r="CT113" i="12"/>
  <c r="CT89" i="12"/>
  <c r="CT134" i="12"/>
  <c r="CT122" i="12"/>
  <c r="CQ75" i="12"/>
  <c r="CU72" i="12"/>
  <c r="CU103" i="12"/>
  <c r="CU88" i="12"/>
  <c r="CU122" i="12"/>
  <c r="CI91" i="12"/>
  <c r="CI114" i="12"/>
  <c r="CS67" i="12"/>
  <c r="CS94" i="12"/>
  <c r="CS119" i="12"/>
  <c r="CS127" i="12"/>
  <c r="CQ70" i="12"/>
  <c r="CQ136" i="12"/>
  <c r="CQ76" i="12"/>
  <c r="CQ91" i="12"/>
  <c r="CQ130" i="12"/>
  <c r="CQ119" i="12"/>
  <c r="CT78" i="12"/>
  <c r="CT80" i="12"/>
  <c r="CT120" i="12"/>
  <c r="CT100" i="12"/>
  <c r="CS95" i="12"/>
  <c r="CS98" i="12"/>
  <c r="CS82" i="12"/>
  <c r="CS108" i="12"/>
  <c r="CS125" i="12"/>
  <c r="CQ67" i="12"/>
  <c r="CQ68" i="12"/>
  <c r="CQ99" i="12"/>
  <c r="CQ77" i="12"/>
  <c r="CQ103" i="12"/>
  <c r="CT115" i="12"/>
  <c r="CT73" i="12"/>
  <c r="CT69" i="12"/>
  <c r="CT110" i="12"/>
  <c r="CT126" i="12"/>
  <c r="CT123" i="12"/>
  <c r="CU98" i="12"/>
  <c r="CU94" i="12"/>
  <c r="CQ110" i="12"/>
  <c r="CQ129" i="12"/>
  <c r="CU132" i="12"/>
  <c r="CU112" i="12"/>
  <c r="CU128" i="12"/>
  <c r="CU71" i="12"/>
  <c r="CU81" i="12"/>
  <c r="CU65" i="12"/>
  <c r="CU105" i="12"/>
  <c r="CU113" i="12"/>
  <c r="CU120" i="12"/>
  <c r="CU139" i="12"/>
  <c r="CS75" i="12"/>
  <c r="CS103" i="12"/>
  <c r="CS83" i="12"/>
  <c r="CS109" i="12"/>
  <c r="CQ69" i="12"/>
  <c r="CQ101" i="12"/>
  <c r="CQ82" i="12"/>
  <c r="CQ86" i="12"/>
  <c r="CQ131" i="12"/>
  <c r="CQ133" i="12"/>
  <c r="CT103" i="12"/>
  <c r="CT74" i="12"/>
  <c r="CT91" i="12"/>
  <c r="CT99" i="12"/>
  <c r="CT135" i="12"/>
  <c r="CT129" i="12"/>
  <c r="CQ109" i="12"/>
  <c r="CU106" i="12"/>
  <c r="CU77" i="12"/>
  <c r="CU73" i="12"/>
  <c r="CU69" i="12"/>
  <c r="CU97" i="12"/>
  <c r="CU114" i="12"/>
  <c r="CU126" i="12"/>
  <c r="CU123" i="12"/>
  <c r="CI81" i="12"/>
  <c r="CS68" i="12"/>
  <c r="CS85" i="12"/>
  <c r="CS102" i="12"/>
  <c r="CS110" i="12"/>
  <c r="CS93" i="12"/>
  <c r="CQ106" i="12"/>
  <c r="CQ71" i="12"/>
  <c r="CQ83" i="12"/>
  <c r="CQ96" i="12"/>
  <c r="CQ127" i="12"/>
  <c r="CQ132" i="12"/>
  <c r="CT92" i="12"/>
  <c r="CT112" i="12"/>
  <c r="CT109" i="12"/>
  <c r="CT119" i="12"/>
  <c r="CT108" i="12"/>
  <c r="CT130" i="12"/>
  <c r="AW4" i="12"/>
  <c r="CU99" i="12"/>
  <c r="CU101" i="12"/>
  <c r="CS71" i="12"/>
  <c r="CQ135" i="12"/>
  <c r="CU86" i="12"/>
  <c r="CU82" i="12"/>
  <c r="CU134" i="12"/>
  <c r="CU80" i="12"/>
  <c r="CU74" i="12"/>
  <c r="CU91" i="12"/>
  <c r="CU124" i="12"/>
  <c r="CU115" i="12"/>
  <c r="CU135" i="12"/>
  <c r="CU129" i="12"/>
  <c r="CS106" i="12"/>
  <c r="CS70" i="12"/>
  <c r="CS111" i="12"/>
  <c r="CS105" i="12"/>
  <c r="CS128" i="12"/>
  <c r="CQ65" i="12"/>
  <c r="CQ73" i="12"/>
  <c r="CQ80" i="12"/>
  <c r="CQ92" i="12"/>
  <c r="CQ137" i="12"/>
  <c r="CQ111" i="12"/>
  <c r="CT125" i="12"/>
  <c r="CT133" i="12"/>
  <c r="CT88" i="12"/>
  <c r="CT116" i="12"/>
  <c r="CT121" i="12"/>
  <c r="CS131" i="12"/>
  <c r="CU111" i="12"/>
  <c r="CU66" i="12"/>
  <c r="CU78" i="12"/>
  <c r="CU85" i="12"/>
  <c r="CU131" i="12"/>
  <c r="CU116" i="12"/>
  <c r="CU136" i="12"/>
  <c r="CI132" i="12"/>
  <c r="CI103" i="12"/>
  <c r="CS91" i="12"/>
  <c r="CS134" i="12"/>
  <c r="CS74" i="12"/>
  <c r="CS120" i="12"/>
  <c r="CS139" i="12"/>
  <c r="CQ90" i="12"/>
  <c r="CQ84" i="12"/>
  <c r="CQ81" i="12"/>
  <c r="CQ98" i="12"/>
  <c r="CQ102" i="12"/>
  <c r="CQ112" i="12"/>
  <c r="CT71" i="12"/>
  <c r="CT75" i="12"/>
  <c r="CT85" i="12"/>
  <c r="CT96" i="12"/>
  <c r="CT127" i="12"/>
  <c r="CS132" i="12"/>
  <c r="AV17" i="12"/>
  <c r="O17" i="12"/>
  <c r="CU75" i="12"/>
  <c r="CU79" i="12"/>
  <c r="CU90" i="12"/>
  <c r="CU83" i="12"/>
  <c r="CU117" i="12"/>
  <c r="CU121" i="12"/>
  <c r="CS86" i="12"/>
  <c r="CS90" i="12"/>
  <c r="CS80" i="12"/>
  <c r="CS113" i="12"/>
  <c r="CS126" i="12"/>
  <c r="CS100" i="12"/>
  <c r="CQ89" i="12"/>
  <c r="CQ87" i="12"/>
  <c r="CQ100" i="12"/>
  <c r="CQ138" i="12"/>
  <c r="CQ113" i="12"/>
  <c r="CT67" i="12"/>
  <c r="CT76" i="12"/>
  <c r="CT90" i="12"/>
  <c r="CT82" i="12"/>
  <c r="CT132" i="12"/>
  <c r="CT137" i="12"/>
  <c r="CU93" i="12"/>
  <c r="AV6" i="12"/>
  <c r="O6" i="12" s="1"/>
  <c r="CS69" i="12"/>
  <c r="CS101" i="12"/>
  <c r="CS81" i="12"/>
  <c r="CS114" i="12"/>
  <c r="CS135" i="12"/>
  <c r="CS123" i="12"/>
  <c r="CQ66" i="12"/>
  <c r="CQ72" i="12"/>
  <c r="CQ93" i="12"/>
  <c r="CQ122" i="12"/>
  <c r="CQ114" i="12"/>
  <c r="CT68" i="12"/>
  <c r="CT77" i="12"/>
  <c r="CT104" i="12"/>
  <c r="CT83" i="12"/>
  <c r="CT94" i="12"/>
  <c r="CT138" i="12"/>
  <c r="BA77" i="12"/>
  <c r="AT14" i="12"/>
  <c r="J26" i="12"/>
  <c r="CU70" i="12"/>
  <c r="CU110" i="12"/>
  <c r="CS99" i="12"/>
  <c r="CU76" i="12"/>
  <c r="CU92" i="12"/>
  <c r="CU95" i="12"/>
  <c r="CU118" i="12"/>
  <c r="CU127" i="12"/>
  <c r="AV12" i="12"/>
  <c r="O12" i="12" s="1"/>
  <c r="CQ97" i="12"/>
  <c r="CU87" i="12"/>
  <c r="CU96" i="12"/>
  <c r="CU104" i="12"/>
  <c r="CU107" i="12"/>
  <c r="CU119" i="12"/>
  <c r="CI80" i="12"/>
  <c r="CS65" i="12"/>
  <c r="CS84" i="12"/>
  <c r="CS87" i="12"/>
  <c r="CS115" i="12"/>
  <c r="CS92" i="12"/>
  <c r="CQ74" i="12"/>
  <c r="CQ95" i="12"/>
  <c r="CQ78" i="12"/>
  <c r="CQ105" i="12"/>
  <c r="CQ128" i="12"/>
  <c r="CT70" i="12"/>
  <c r="CT86" i="12"/>
  <c r="CT84" i="12"/>
  <c r="CT102" i="12"/>
  <c r="CT106" i="12"/>
  <c r="F42" i="1"/>
  <c r="F43" i="1"/>
  <c r="AW7" i="12"/>
  <c r="U69" i="10"/>
  <c r="O69" i="10"/>
  <c r="N5" i="10"/>
  <c r="AI83" i="12"/>
  <c r="AR44" i="12"/>
  <c r="B70" i="12"/>
  <c r="AN40" i="12"/>
  <c r="BA65" i="12"/>
  <c r="AG41" i="12" s="1"/>
  <c r="BJ47" i="12"/>
  <c r="CU47" i="12"/>
  <c r="BP70" i="10"/>
  <c r="AV2" i="12"/>
  <c r="O2" i="12" s="1"/>
  <c r="AV46" i="12"/>
  <c r="BI55" i="10"/>
  <c r="BI54" i="10"/>
  <c r="H57" i="7"/>
  <c r="I57" i="7"/>
  <c r="H58" i="7"/>
  <c r="I58" i="7"/>
  <c r="H59" i="7"/>
  <c r="I59" i="7"/>
  <c r="H60" i="7"/>
  <c r="I60" i="7"/>
  <c r="H61" i="7"/>
  <c r="I61" i="7"/>
  <c r="H62" i="7"/>
  <c r="I62" i="7"/>
  <c r="H63" i="7"/>
  <c r="I63" i="7"/>
  <c r="BS8" i="2"/>
  <c r="BS7" i="2"/>
  <c r="BS6" i="2"/>
  <c r="J22" i="6"/>
  <c r="J21" i="6"/>
  <c r="J23" i="6"/>
  <c r="J24" i="6"/>
  <c r="J25" i="6"/>
  <c r="J26" i="6"/>
  <c r="J27" i="6"/>
  <c r="J28" i="6"/>
  <c r="J30" i="6"/>
  <c r="B28" i="6"/>
  <c r="L27" i="6"/>
  <c r="L26" i="6"/>
  <c r="L25" i="6"/>
  <c r="L24" i="6"/>
  <c r="L23" i="6"/>
  <c r="L22" i="6"/>
  <c r="L21" i="6"/>
  <c r="D21" i="6"/>
  <c r="D22" i="6"/>
  <c r="D23" i="6"/>
  <c r="D24" i="6"/>
  <c r="D25" i="6"/>
  <c r="D26" i="6"/>
  <c r="D27" i="6"/>
  <c r="D29" i="6"/>
  <c r="B21" i="6"/>
  <c r="B22" i="6"/>
  <c r="B23" i="6"/>
  <c r="B24" i="6"/>
  <c r="B25" i="6"/>
  <c r="B26" i="6"/>
  <c r="B27" i="6"/>
  <c r="BS14" i="2"/>
  <c r="J66" i="6"/>
  <c r="CG65" i="10"/>
  <c r="CG77" i="10"/>
  <c r="CV62" i="10"/>
  <c r="CV93" i="10" s="1"/>
  <c r="CK108" i="10"/>
  <c r="CK72" i="10"/>
  <c r="CK127" i="10"/>
  <c r="CK109" i="10"/>
  <c r="CK90" i="10"/>
  <c r="CK67" i="10"/>
  <c r="CK81" i="10"/>
  <c r="CG46" i="10"/>
  <c r="BI46" i="10" s="1"/>
  <c r="CK111" i="10"/>
  <c r="CK137" i="10"/>
  <c r="AV14" i="12"/>
  <c r="O14" i="12" s="1"/>
  <c r="AW14" i="12"/>
  <c r="CK76" i="10"/>
  <c r="CK125" i="10"/>
  <c r="CK71" i="10"/>
  <c r="CK133" i="10"/>
  <c r="CK124" i="10"/>
  <c r="CK134" i="10"/>
  <c r="CK93" i="10"/>
  <c r="CK138" i="10"/>
  <c r="CK80" i="10"/>
  <c r="CP105" i="10"/>
  <c r="CK87" i="10"/>
  <c r="CK89" i="10"/>
  <c r="CK88" i="10"/>
  <c r="CK110" i="10"/>
  <c r="CK106" i="10"/>
  <c r="CK102" i="10"/>
  <c r="CK101" i="10"/>
  <c r="CK97" i="10"/>
  <c r="CK100" i="10"/>
  <c r="CK86" i="10"/>
  <c r="CK82" i="10"/>
  <c r="CK98" i="10"/>
  <c r="CK114" i="10"/>
  <c r="CK126" i="10"/>
  <c r="CK128" i="10"/>
  <c r="CK78" i="10"/>
  <c r="CK77" i="10"/>
  <c r="CK113" i="10"/>
  <c r="CK69" i="10"/>
  <c r="CK94" i="10"/>
  <c r="CK83" i="10"/>
  <c r="CK130" i="10"/>
  <c r="CK115" i="10"/>
  <c r="CK135" i="10"/>
  <c r="CK139" i="10"/>
  <c r="CK105" i="10"/>
  <c r="CK79" i="10"/>
  <c r="CK66" i="10"/>
  <c r="CK99" i="10"/>
  <c r="CK123" i="10"/>
  <c r="CK84" i="10"/>
  <c r="CK116" i="10"/>
  <c r="CK104" i="10"/>
  <c r="CK95" i="10"/>
  <c r="CK68" i="10"/>
  <c r="CK85" i="10"/>
  <c r="CK129" i="10"/>
  <c r="CK96" i="10"/>
  <c r="CK117" i="10"/>
  <c r="CK136" i="10"/>
  <c r="CK112" i="10"/>
  <c r="CK131" i="10"/>
  <c r="CK122" i="10"/>
  <c r="CK75" i="10"/>
  <c r="CK91" i="10"/>
  <c r="CK70" i="10"/>
  <c r="CK132" i="10"/>
  <c r="CK118" i="10"/>
  <c r="CK103" i="10"/>
  <c r="CK92" i="10"/>
  <c r="CK120" i="10"/>
  <c r="CK65" i="10"/>
  <c r="CK73" i="10"/>
  <c r="CK74" i="10"/>
  <c r="CK107" i="10"/>
  <c r="CK119" i="10"/>
  <c r="CP117" i="10"/>
  <c r="CH86" i="10"/>
  <c r="AW10" i="10"/>
  <c r="CH99" i="10"/>
  <c r="CP80" i="10"/>
  <c r="AN21" i="10"/>
  <c r="CT69" i="10"/>
  <c r="CP85" i="10"/>
  <c r="CP137" i="10"/>
  <c r="AW16" i="10"/>
  <c r="CP131" i="10"/>
  <c r="CT83" i="10"/>
  <c r="CT117" i="10"/>
  <c r="CT103" i="10"/>
  <c r="CT104" i="10"/>
  <c r="CT68" i="10"/>
  <c r="CT90" i="10"/>
  <c r="CT99" i="10"/>
  <c r="CT89" i="10"/>
  <c r="CT129" i="10"/>
  <c r="CT92" i="10"/>
  <c r="CT87" i="10"/>
  <c r="CT66" i="10"/>
  <c r="CT134" i="10"/>
  <c r="CT115" i="10"/>
  <c r="CT131" i="10"/>
  <c r="CT102" i="10"/>
  <c r="CT86" i="10"/>
  <c r="CT116" i="10"/>
  <c r="CT136" i="10"/>
  <c r="CT123" i="10"/>
  <c r="CT73" i="10"/>
  <c r="CT106" i="10"/>
  <c r="CT72" i="10"/>
  <c r="CT95" i="10"/>
  <c r="CT118" i="10"/>
  <c r="CT121" i="10"/>
  <c r="CT98" i="10"/>
  <c r="CT84" i="10"/>
  <c r="CT132" i="10"/>
  <c r="CT78" i="10"/>
  <c r="CT107" i="10"/>
  <c r="CT119" i="10"/>
  <c r="CT127" i="10"/>
  <c r="CT130" i="10"/>
  <c r="CT71" i="10"/>
  <c r="CT82" i="10"/>
  <c r="CT79" i="10"/>
  <c r="CT108" i="10"/>
  <c r="CT125" i="10"/>
  <c r="CT137" i="10"/>
  <c r="CT138" i="10"/>
  <c r="CT109" i="10"/>
  <c r="CT70" i="10"/>
  <c r="CT88" i="10"/>
  <c r="CT75" i="10"/>
  <c r="CT101" i="10"/>
  <c r="CT85" i="10"/>
  <c r="CT111" i="10"/>
  <c r="CT122" i="10"/>
  <c r="CT91" i="10"/>
  <c r="CT74" i="10"/>
  <c r="CT77" i="10"/>
  <c r="CT112" i="10"/>
  <c r="CT120" i="10"/>
  <c r="CT128" i="10"/>
  <c r="CT67" i="10"/>
  <c r="CT110" i="10"/>
  <c r="CT93" i="10"/>
  <c r="CT76" i="10"/>
  <c r="CT105" i="10"/>
  <c r="CT97" i="10"/>
  <c r="CT80" i="10"/>
  <c r="CT94" i="10"/>
  <c r="CT113" i="10"/>
  <c r="CT126" i="10"/>
  <c r="CT139" i="10"/>
  <c r="CT65" i="10"/>
  <c r="CT133" i="10"/>
  <c r="CT124" i="10"/>
  <c r="CT81" i="10"/>
  <c r="CT96" i="10"/>
  <c r="CT114" i="10"/>
  <c r="CT135" i="10"/>
  <c r="CU46" i="10"/>
  <c r="CN69" i="10"/>
  <c r="CU129" i="10"/>
  <c r="CU125" i="10"/>
  <c r="CU119" i="10"/>
  <c r="CU108" i="10"/>
  <c r="CN128" i="10"/>
  <c r="CU110" i="10"/>
  <c r="CQ73" i="10"/>
  <c r="CN79" i="10"/>
  <c r="CU133" i="10"/>
  <c r="CU68" i="10"/>
  <c r="CU113" i="10"/>
  <c r="CU66" i="10"/>
  <c r="CU92" i="10"/>
  <c r="AW8" i="10"/>
  <c r="CU71" i="10"/>
  <c r="CU132" i="10"/>
  <c r="CU50" i="10"/>
  <c r="BJ50" i="10"/>
  <c r="CU115" i="10"/>
  <c r="CU121" i="10"/>
  <c r="CU96" i="10"/>
  <c r="CU97" i="10"/>
  <c r="CN122" i="10"/>
  <c r="CU127" i="10"/>
  <c r="CU116" i="10"/>
  <c r="CU137" i="10"/>
  <c r="CU124" i="10"/>
  <c r="CN82" i="10"/>
  <c r="CU72" i="10"/>
  <c r="CU138" i="10"/>
  <c r="CU134" i="10"/>
  <c r="CU94" i="10"/>
  <c r="CU117" i="10"/>
  <c r="CN114" i="10"/>
  <c r="CU88" i="10"/>
  <c r="CN121" i="10"/>
  <c r="CU93" i="10"/>
  <c r="CU84" i="10"/>
  <c r="CU103" i="10"/>
  <c r="CU111" i="10"/>
  <c r="CU105" i="10"/>
  <c r="CU122" i="10"/>
  <c r="CQ110" i="10"/>
  <c r="CO103" i="10"/>
  <c r="CN108" i="10"/>
  <c r="CU83" i="10"/>
  <c r="CN83" i="10"/>
  <c r="CU90" i="10"/>
  <c r="CU131" i="10"/>
  <c r="CU87" i="10"/>
  <c r="CU101" i="10"/>
  <c r="CQ89" i="10"/>
  <c r="CN127" i="10"/>
  <c r="CU67" i="10"/>
  <c r="CU95" i="10"/>
  <c r="CU109" i="10"/>
  <c r="CU75" i="10"/>
  <c r="CU120" i="10"/>
  <c r="CU128" i="10"/>
  <c r="CQ106" i="10"/>
  <c r="CU126" i="10"/>
  <c r="CU65" i="10"/>
  <c r="CU78" i="10"/>
  <c r="CU79" i="10"/>
  <c r="CN125" i="10"/>
  <c r="CU69" i="10"/>
  <c r="CU98" i="10"/>
  <c r="CU70" i="10"/>
  <c r="CU76" i="10"/>
  <c r="CU139" i="10"/>
  <c r="CQ112" i="10"/>
  <c r="CN138" i="10"/>
  <c r="CN133" i="10"/>
  <c r="CU114" i="10"/>
  <c r="CU118" i="10"/>
  <c r="CU74" i="10"/>
  <c r="CU77" i="10"/>
  <c r="CU135" i="10"/>
  <c r="CU100" i="10"/>
  <c r="CQ104" i="10"/>
  <c r="CQ113" i="10"/>
  <c r="CU82" i="10"/>
  <c r="CU102" i="10"/>
  <c r="CN109" i="10"/>
  <c r="CU106" i="10"/>
  <c r="CN81" i="10"/>
  <c r="CN97" i="10"/>
  <c r="CU85" i="10"/>
  <c r="CU130" i="10"/>
  <c r="CU89" i="10"/>
  <c r="CU80" i="10"/>
  <c r="CU112" i="10"/>
  <c r="CU104" i="10"/>
  <c r="CU99" i="10"/>
  <c r="CQ114" i="10"/>
  <c r="CN72" i="10"/>
  <c r="CN101" i="10"/>
  <c r="CU73" i="10"/>
  <c r="CU91" i="10"/>
  <c r="CU107" i="10"/>
  <c r="CU81" i="10"/>
  <c r="CU86" i="10"/>
  <c r="CU136" i="10"/>
  <c r="CQ90" i="10"/>
  <c r="CG47" i="10"/>
  <c r="CP69" i="10"/>
  <c r="CP75" i="10"/>
  <c r="CP135" i="10"/>
  <c r="CP89" i="10"/>
  <c r="CP132" i="10"/>
  <c r="CP118" i="10"/>
  <c r="CN80" i="10"/>
  <c r="CN90" i="10"/>
  <c r="CN113" i="10"/>
  <c r="CP68" i="10"/>
  <c r="CP76" i="10"/>
  <c r="CP91" i="10"/>
  <c r="CP101" i="10"/>
  <c r="CP107" i="10"/>
  <c r="CP119" i="10"/>
  <c r="CP77" i="10"/>
  <c r="CP122" i="10"/>
  <c r="CP98" i="10"/>
  <c r="CP108" i="10"/>
  <c r="CP138" i="10"/>
  <c r="CP65" i="10"/>
  <c r="CP139" i="10"/>
  <c r="CP95" i="10"/>
  <c r="CP111" i="10"/>
  <c r="CP120" i="10"/>
  <c r="CP112" i="10"/>
  <c r="CN103" i="10"/>
  <c r="CN123" i="10"/>
  <c r="CN120" i="10"/>
  <c r="CP72" i="10"/>
  <c r="CP83" i="10"/>
  <c r="CP126" i="10"/>
  <c r="CP90" i="10"/>
  <c r="CP129" i="10"/>
  <c r="CP113" i="10"/>
  <c r="CP92" i="10"/>
  <c r="CP128" i="10"/>
  <c r="CP99" i="10"/>
  <c r="CP94" i="10"/>
  <c r="CP100" i="10"/>
  <c r="CP70" i="10"/>
  <c r="CP82" i="10"/>
  <c r="CP84" i="10"/>
  <c r="CP123" i="10"/>
  <c r="CP134" i="10"/>
  <c r="CN94" i="10"/>
  <c r="CN129" i="10"/>
  <c r="CN126" i="10"/>
  <c r="CP67" i="10"/>
  <c r="CP88" i="10"/>
  <c r="CP86" i="10"/>
  <c r="CP103" i="10"/>
  <c r="CP130" i="10"/>
  <c r="CP114" i="10"/>
  <c r="CP133" i="10"/>
  <c r="CP71" i="10"/>
  <c r="CP81" i="10"/>
  <c r="CP104" i="10"/>
  <c r="CP73" i="10"/>
  <c r="CP106" i="10"/>
  <c r="CN96" i="10"/>
  <c r="CN130" i="10"/>
  <c r="CN135" i="10"/>
  <c r="CP74" i="10"/>
  <c r="CP79" i="10"/>
  <c r="CP102" i="10"/>
  <c r="CP121" i="10"/>
  <c r="CP97" i="10"/>
  <c r="CP115" i="10"/>
  <c r="CH96" i="10"/>
  <c r="CP136" i="10"/>
  <c r="CP125" i="10"/>
  <c r="CP66" i="10"/>
  <c r="CP109" i="10"/>
  <c r="CP93" i="10"/>
  <c r="CP110" i="10"/>
  <c r="CP78" i="10"/>
  <c r="CP87" i="10"/>
  <c r="CP96" i="10"/>
  <c r="CP127" i="10"/>
  <c r="CP124" i="10"/>
  <c r="CH106" i="10"/>
  <c r="AW3" i="10"/>
  <c r="CH130" i="10"/>
  <c r="CH89" i="10"/>
  <c r="CH138" i="10"/>
  <c r="CH83" i="10"/>
  <c r="CH121" i="10"/>
  <c r="CH97" i="10"/>
  <c r="CH128" i="10"/>
  <c r="CH70" i="10"/>
  <c r="CO115" i="10"/>
  <c r="CR106" i="10"/>
  <c r="CR92" i="10"/>
  <c r="CR97" i="10"/>
  <c r="J2" i="10"/>
  <c r="AR44" i="10"/>
  <c r="B70" i="10"/>
  <c r="AV5" i="10"/>
  <c r="AW2" i="10"/>
  <c r="CJ103" i="10"/>
  <c r="CM98" i="10"/>
  <c r="CM113" i="10"/>
  <c r="CM126" i="10"/>
  <c r="CJ81" i="10"/>
  <c r="CM120" i="10"/>
  <c r="CM78" i="10"/>
  <c r="CM80" i="10"/>
  <c r="CM87" i="10"/>
  <c r="CJ124" i="10"/>
  <c r="CJ132" i="10"/>
  <c r="CM128" i="10"/>
  <c r="Y26" i="10"/>
  <c r="AB26" i="10"/>
  <c r="CJ116" i="10"/>
  <c r="CM114" i="10"/>
  <c r="CM138" i="10"/>
  <c r="BM68" i="10"/>
  <c r="CJ117" i="10"/>
  <c r="CM94" i="10"/>
  <c r="CM86" i="10"/>
  <c r="CJ66" i="10"/>
  <c r="CG48" i="10"/>
  <c r="CN77" i="10"/>
  <c r="CN98" i="10"/>
  <c r="CN137" i="10"/>
  <c r="CN87" i="10"/>
  <c r="CN111" i="10"/>
  <c r="CN134" i="10"/>
  <c r="CG116" i="10"/>
  <c r="CN78" i="10"/>
  <c r="CN86" i="10"/>
  <c r="CN84" i="10"/>
  <c r="CN99" i="10"/>
  <c r="CN112" i="10"/>
  <c r="CN105" i="10"/>
  <c r="CG136" i="10"/>
  <c r="CN71" i="10"/>
  <c r="CN73" i="10"/>
  <c r="CN100" i="10"/>
  <c r="CN89" i="10"/>
  <c r="CN124" i="10"/>
  <c r="CN116" i="10"/>
  <c r="CN92" i="10"/>
  <c r="CN76" i="10"/>
  <c r="CN66" i="10"/>
  <c r="CN102" i="10"/>
  <c r="CN93" i="10"/>
  <c r="CN131" i="10"/>
  <c r="CN117" i="10"/>
  <c r="CN104" i="10"/>
  <c r="CN70" i="10"/>
  <c r="CN75" i="10"/>
  <c r="CN85" i="10"/>
  <c r="CN95" i="10"/>
  <c r="CN132" i="10"/>
  <c r="CN118" i="10"/>
  <c r="CN136" i="10"/>
  <c r="CN74" i="10"/>
  <c r="CN88" i="10"/>
  <c r="CN68" i="10"/>
  <c r="CN139" i="10"/>
  <c r="CN110" i="10"/>
  <c r="CG68" i="10"/>
  <c r="CG103" i="10"/>
  <c r="CG73" i="10"/>
  <c r="CG121" i="10"/>
  <c r="CG96" i="10"/>
  <c r="CG99" i="10"/>
  <c r="CG108" i="10"/>
  <c r="CG131" i="10"/>
  <c r="CG89" i="10"/>
  <c r="CG110" i="10"/>
  <c r="CG80" i="10"/>
  <c r="CG79" i="10"/>
  <c r="CG113" i="10"/>
  <c r="AV14" i="10"/>
  <c r="CG135" i="10"/>
  <c r="CG133" i="10"/>
  <c r="CG71" i="10"/>
  <c r="CG102" i="10"/>
  <c r="CG67" i="10"/>
  <c r="CG82" i="10"/>
  <c r="CG87" i="10"/>
  <c r="CG138" i="10"/>
  <c r="CG70" i="10"/>
  <c r="CG83" i="10"/>
  <c r="CG114" i="10"/>
  <c r="CG122" i="10"/>
  <c r="CG101" i="10"/>
  <c r="CG93" i="10"/>
  <c r="CG115" i="10"/>
  <c r="CG128" i="10"/>
  <c r="CG118" i="10"/>
  <c r="CG81" i="10"/>
  <c r="CG117" i="10"/>
  <c r="CG123" i="10"/>
  <c r="CG107" i="10"/>
  <c r="CG88" i="10"/>
  <c r="CG94" i="10"/>
  <c r="CG129" i="10"/>
  <c r="CG119" i="10"/>
  <c r="CG95" i="10"/>
  <c r="CG106" i="10"/>
  <c r="CG98" i="10"/>
  <c r="CG66" i="10"/>
  <c r="CG90" i="10"/>
  <c r="CG78" i="10"/>
  <c r="CG104" i="10"/>
  <c r="CG124" i="10"/>
  <c r="CO96" i="10"/>
  <c r="CO70" i="10"/>
  <c r="CO71" i="10"/>
  <c r="CO126" i="10"/>
  <c r="CO93" i="10"/>
  <c r="CO72" i="10"/>
  <c r="CO84" i="10"/>
  <c r="CO117" i="10"/>
  <c r="CO125" i="10"/>
  <c r="CO77" i="10"/>
  <c r="CO97" i="10"/>
  <c r="CO87" i="10"/>
  <c r="CO100" i="10"/>
  <c r="CO121" i="10"/>
  <c r="CO122" i="10"/>
  <c r="CO68" i="10"/>
  <c r="CO130" i="10"/>
  <c r="CO66" i="10"/>
  <c r="CO131" i="10"/>
  <c r="CO95" i="10"/>
  <c r="CO108" i="10"/>
  <c r="CO99" i="10"/>
  <c r="CO112" i="10"/>
  <c r="CO76" i="10"/>
  <c r="CO82" i="10"/>
  <c r="CO94" i="10"/>
  <c r="CO73" i="10"/>
  <c r="CO124" i="10"/>
  <c r="CO116" i="10"/>
  <c r="CO135" i="10"/>
  <c r="CO67" i="10"/>
  <c r="CO75" i="10"/>
  <c r="CO101" i="10"/>
  <c r="CO90" i="10"/>
  <c r="CO132" i="10"/>
  <c r="CO118" i="10"/>
  <c r="CO74" i="10"/>
  <c r="CO89" i="10"/>
  <c r="CO85" i="10"/>
  <c r="CO139" i="10"/>
  <c r="CO107" i="10"/>
  <c r="CO119" i="10"/>
  <c r="CL67" i="10"/>
  <c r="CO83" i="10"/>
  <c r="CO81" i="10"/>
  <c r="CO127" i="10"/>
  <c r="CO102" i="10"/>
  <c r="CO109" i="10"/>
  <c r="CO133" i="10"/>
  <c r="AV11" i="10"/>
  <c r="O11" i="10" s="1"/>
  <c r="CL65" i="10"/>
  <c r="CO78" i="10"/>
  <c r="CO98" i="10"/>
  <c r="CO91" i="10"/>
  <c r="CO138" i="10"/>
  <c r="CO110" i="10"/>
  <c r="CO106" i="10"/>
  <c r="CL122" i="10"/>
  <c r="CO80" i="10"/>
  <c r="CO92" i="10"/>
  <c r="CO136" i="10"/>
  <c r="CO88" i="10"/>
  <c r="CO111" i="10"/>
  <c r="CO134" i="10"/>
  <c r="CO69" i="10"/>
  <c r="CO104" i="10"/>
  <c r="CO128" i="10"/>
  <c r="CO123" i="10"/>
  <c r="CO113" i="10"/>
  <c r="CO105" i="10"/>
  <c r="AV9" i="10"/>
  <c r="CO65" i="10"/>
  <c r="CO79" i="10"/>
  <c r="CO86" i="10"/>
  <c r="CO137" i="10"/>
  <c r="CO129" i="10"/>
  <c r="CO114" i="10"/>
  <c r="CU48" i="10"/>
  <c r="CL109" i="10"/>
  <c r="CR134" i="10"/>
  <c r="CL133" i="10"/>
  <c r="CR113" i="10"/>
  <c r="CI71" i="10"/>
  <c r="CL137" i="10"/>
  <c r="CR114" i="10"/>
  <c r="CR69" i="10"/>
  <c r="CR103" i="10"/>
  <c r="CR104" i="10"/>
  <c r="CI90" i="10"/>
  <c r="CR73" i="10"/>
  <c r="CR121" i="10"/>
  <c r="CR68" i="10"/>
  <c r="CR137" i="10"/>
  <c r="CR133" i="10"/>
  <c r="BE73" i="10"/>
  <c r="CL88" i="10"/>
  <c r="CI112" i="10"/>
  <c r="CI134" i="10"/>
  <c r="CR82" i="10"/>
  <c r="CR129" i="10"/>
  <c r="CI101" i="10"/>
  <c r="CR83" i="10"/>
  <c r="CR98" i="10"/>
  <c r="CI72" i="10"/>
  <c r="CI74" i="10"/>
  <c r="CI87" i="10"/>
  <c r="CI120" i="10"/>
  <c r="CI128" i="10"/>
  <c r="CR107" i="10"/>
  <c r="CR88" i="10"/>
  <c r="CR110" i="10"/>
  <c r="CR85" i="10"/>
  <c r="CR127" i="10"/>
  <c r="CR130" i="10"/>
  <c r="CU51" i="10"/>
  <c r="CI81" i="10"/>
  <c r="CI105" i="10"/>
  <c r="CI110" i="10"/>
  <c r="CR108" i="10"/>
  <c r="CI69" i="10"/>
  <c r="CI131" i="10"/>
  <c r="CI89" i="10"/>
  <c r="CI92" i="10"/>
  <c r="CI104" i="10"/>
  <c r="CI99" i="10"/>
  <c r="CR66" i="10"/>
  <c r="CR116" i="10"/>
  <c r="CR74" i="10"/>
  <c r="CR76" i="10"/>
  <c r="CR115" i="10"/>
  <c r="CR138" i="10"/>
  <c r="CR131" i="10"/>
  <c r="AW12" i="10"/>
  <c r="CI77" i="10"/>
  <c r="CI86" i="10"/>
  <c r="CI100" i="10"/>
  <c r="AW9" i="10"/>
  <c r="CR102" i="10"/>
  <c r="CI103" i="10"/>
  <c r="CI118" i="10"/>
  <c r="CI113" i="10"/>
  <c r="CI116" i="10"/>
  <c r="CI136" i="10"/>
  <c r="CI123" i="10"/>
  <c r="CR71" i="10"/>
  <c r="CR117" i="10"/>
  <c r="CR80" i="10"/>
  <c r="CR77" i="10"/>
  <c r="CR93" i="10"/>
  <c r="CR101" i="10"/>
  <c r="CR96" i="10"/>
  <c r="BP69" i="10"/>
  <c r="CI133" i="10"/>
  <c r="CR90" i="10"/>
  <c r="CR124" i="10"/>
  <c r="CI85" i="10"/>
  <c r="CR84" i="10"/>
  <c r="CR89" i="10"/>
  <c r="CR81" i="10"/>
  <c r="CR100" i="10"/>
  <c r="CR105" i="10"/>
  <c r="CR122" i="10"/>
  <c r="CR132" i="10"/>
  <c r="AV8" i="10"/>
  <c r="O8" i="10" s="1"/>
  <c r="CI122" i="10"/>
  <c r="CI98" i="10"/>
  <c r="CR65" i="10"/>
  <c r="CR95" i="10"/>
  <c r="CR109" i="10"/>
  <c r="CR120" i="10"/>
  <c r="CR128" i="10"/>
  <c r="AW17" i="10"/>
  <c r="CI109" i="10"/>
  <c r="CI135" i="10"/>
  <c r="CR75" i="10"/>
  <c r="CI78" i="10"/>
  <c r="CR111" i="10"/>
  <c r="CI65" i="10"/>
  <c r="CI83" i="10"/>
  <c r="CI114" i="10"/>
  <c r="CI132" i="10"/>
  <c r="CI137" i="10"/>
  <c r="CR70" i="10"/>
  <c r="CR118" i="10"/>
  <c r="CR78" i="10"/>
  <c r="CR86" i="10"/>
  <c r="CR126" i="10"/>
  <c r="CR139" i="10"/>
  <c r="CI80" i="10"/>
  <c r="CI66" i="10"/>
  <c r="CI124" i="10"/>
  <c r="CI96" i="10"/>
  <c r="CI119" i="10"/>
  <c r="CI130" i="10"/>
  <c r="CR72" i="10"/>
  <c r="CR119" i="10"/>
  <c r="CR79" i="10"/>
  <c r="CR94" i="10"/>
  <c r="CR135" i="10"/>
  <c r="CR99" i="10"/>
  <c r="CI126" i="10"/>
  <c r="CI115" i="10"/>
  <c r="CR136" i="10"/>
  <c r="BE66" i="10"/>
  <c r="CI111" i="10"/>
  <c r="CI121" i="10"/>
  <c r="CI129" i="10"/>
  <c r="CI68" i="10"/>
  <c r="CI73" i="10"/>
  <c r="CI95" i="10"/>
  <c r="CI94" i="10"/>
  <c r="BE71" i="10"/>
  <c r="CI108" i="10"/>
  <c r="CI125" i="10"/>
  <c r="CI97" i="10"/>
  <c r="CI75" i="10"/>
  <c r="CI106" i="10"/>
  <c r="CR67" i="10"/>
  <c r="CR125" i="10"/>
  <c r="CR87" i="10"/>
  <c r="CR112" i="10"/>
  <c r="CR91" i="10"/>
  <c r="AV3" i="10"/>
  <c r="O3" i="10" s="1"/>
  <c r="AV6" i="10"/>
  <c r="O6" i="10" s="1"/>
  <c r="CS115" i="10"/>
  <c r="CS83" i="10"/>
  <c r="CS101" i="10"/>
  <c r="CS69" i="10"/>
  <c r="CS103" i="10"/>
  <c r="AW7" i="10"/>
  <c r="CS129" i="10"/>
  <c r="CS88" i="10"/>
  <c r="CS116" i="10"/>
  <c r="CS108" i="10"/>
  <c r="CS120" i="10"/>
  <c r="CS135" i="10"/>
  <c r="CS127" i="10"/>
  <c r="CS130" i="10"/>
  <c r="CM69" i="10"/>
  <c r="CM96" i="10"/>
  <c r="CM97" i="10"/>
  <c r="CM130" i="10"/>
  <c r="CM115" i="10"/>
  <c r="CM135" i="10"/>
  <c r="CJ65" i="10"/>
  <c r="CJ90" i="10"/>
  <c r="CJ72" i="10"/>
  <c r="CJ95" i="10"/>
  <c r="CJ118" i="10"/>
  <c r="CJ121" i="10"/>
  <c r="CS113" i="10"/>
  <c r="CS137" i="10"/>
  <c r="CM139" i="10"/>
  <c r="CS66" i="10"/>
  <c r="CS93" i="10"/>
  <c r="CS80" i="10"/>
  <c r="CS133" i="10"/>
  <c r="CS91" i="10"/>
  <c r="CS102" i="10"/>
  <c r="CS124" i="10"/>
  <c r="CM99" i="10"/>
  <c r="CM85" i="10"/>
  <c r="CM89" i="10"/>
  <c r="CM131" i="10"/>
  <c r="CM117" i="10"/>
  <c r="CM136" i="10"/>
  <c r="AV16" i="10"/>
  <c r="O16" i="10" s="1"/>
  <c r="CJ86" i="10"/>
  <c r="CJ89" i="10"/>
  <c r="CJ79" i="10"/>
  <c r="CJ108" i="10"/>
  <c r="CJ125" i="10"/>
  <c r="CJ137" i="10"/>
  <c r="AN40" i="10"/>
  <c r="AW15" i="10"/>
  <c r="CS71" i="10"/>
  <c r="CS117" i="10"/>
  <c r="CS81" i="10"/>
  <c r="CS75" i="10"/>
  <c r="CS114" i="10"/>
  <c r="CS138" i="10"/>
  <c r="CS131" i="10"/>
  <c r="CM66" i="10"/>
  <c r="CM101" i="10"/>
  <c r="CM93" i="10"/>
  <c r="CM132" i="10"/>
  <c r="CM118" i="10"/>
  <c r="CM103" i="10"/>
  <c r="CJ71" i="10"/>
  <c r="CJ93" i="10"/>
  <c r="CJ130" i="10"/>
  <c r="CJ109" i="10"/>
  <c r="CJ133" i="10"/>
  <c r="CJ102" i="10"/>
  <c r="BT43" i="10"/>
  <c r="CS90" i="10"/>
  <c r="CS98" i="10"/>
  <c r="CS74" i="10"/>
  <c r="CM104" i="10"/>
  <c r="CS105" i="10"/>
  <c r="CM68" i="10"/>
  <c r="CM119" i="10"/>
  <c r="AW14" i="10"/>
  <c r="CJ104" i="10"/>
  <c r="CJ82" i="10"/>
  <c r="CJ75" i="10"/>
  <c r="CJ110" i="10"/>
  <c r="CJ106" i="10"/>
  <c r="CJ138" i="10"/>
  <c r="CV48" i="10"/>
  <c r="CS126" i="10"/>
  <c r="CM124" i="10"/>
  <c r="CS70" i="10"/>
  <c r="CS107" i="10"/>
  <c r="CS109" i="10"/>
  <c r="CS77" i="10"/>
  <c r="CS106" i="10"/>
  <c r="CS128" i="10"/>
  <c r="CM70" i="10"/>
  <c r="CM75" i="10"/>
  <c r="CM71" i="10"/>
  <c r="CM123" i="10"/>
  <c r="CM108" i="10"/>
  <c r="CM125" i="10"/>
  <c r="CM127" i="10"/>
  <c r="CJ70" i="10"/>
  <c r="CJ83" i="10"/>
  <c r="CJ76" i="10"/>
  <c r="CJ111" i="10"/>
  <c r="CJ134" i="10"/>
  <c r="CJ101" i="10"/>
  <c r="CH48" i="10"/>
  <c r="CS84" i="10"/>
  <c r="CJ84" i="10"/>
  <c r="CJ107" i="10"/>
  <c r="CJ119" i="10"/>
  <c r="CJ127" i="10"/>
  <c r="CS122" i="10"/>
  <c r="CM121" i="10"/>
  <c r="CS119" i="10"/>
  <c r="CS72" i="10"/>
  <c r="CS96" i="10"/>
  <c r="CS134" i="10"/>
  <c r="CS139" i="10"/>
  <c r="CM72" i="10"/>
  <c r="CM65" i="10"/>
  <c r="CM73" i="10"/>
  <c r="CM129" i="10"/>
  <c r="CM109" i="10"/>
  <c r="CM133" i="10"/>
  <c r="CM137" i="10"/>
  <c r="CJ85" i="10"/>
  <c r="CJ123" i="10"/>
  <c r="CJ77" i="10"/>
  <c r="CJ112" i="10"/>
  <c r="CJ105" i="10"/>
  <c r="CJ122" i="10"/>
  <c r="CS97" i="10"/>
  <c r="CM116" i="10"/>
  <c r="CS65" i="10"/>
  <c r="CM91" i="10"/>
  <c r="CS89" i="10"/>
  <c r="CS125" i="10"/>
  <c r="CS78" i="10"/>
  <c r="CS111" i="10"/>
  <c r="CS92" i="10"/>
  <c r="CS100" i="10"/>
  <c r="CM67" i="10"/>
  <c r="CM92" i="10"/>
  <c r="CM84" i="10"/>
  <c r="CM82" i="10"/>
  <c r="CM110" i="10"/>
  <c r="CM106" i="10"/>
  <c r="AV12" i="10"/>
  <c r="O12" i="10" s="1"/>
  <c r="CJ67" i="10"/>
  <c r="CJ92" i="10"/>
  <c r="CJ129" i="10"/>
  <c r="CJ87" i="10"/>
  <c r="CJ113" i="10"/>
  <c r="CJ120" i="10"/>
  <c r="CJ128" i="10"/>
  <c r="AW4" i="10"/>
  <c r="J26" i="10"/>
  <c r="CS110" i="10"/>
  <c r="CS85" i="10"/>
  <c r="CM102" i="10"/>
  <c r="CS118" i="10"/>
  <c r="CS94" i="10"/>
  <c r="CM76" i="10"/>
  <c r="CM95" i="10"/>
  <c r="CM107" i="10"/>
  <c r="CS67" i="10"/>
  <c r="CS73" i="10"/>
  <c r="CS132" i="10"/>
  <c r="CS79" i="10"/>
  <c r="CS86" i="10"/>
  <c r="CS104" i="10"/>
  <c r="CS99" i="10"/>
  <c r="CM74" i="10"/>
  <c r="CM81" i="10"/>
  <c r="CM90" i="10"/>
  <c r="CM83" i="10"/>
  <c r="CM111" i="10"/>
  <c r="CM134" i="10"/>
  <c r="CJ69" i="10"/>
  <c r="CJ94" i="10"/>
  <c r="CJ74" i="10"/>
  <c r="CJ98" i="10"/>
  <c r="CJ114" i="10"/>
  <c r="CJ126" i="10"/>
  <c r="CJ139" i="10"/>
  <c r="CS121" i="10"/>
  <c r="CS68" i="10"/>
  <c r="CM79" i="10"/>
  <c r="CS76" i="10"/>
  <c r="CS95" i="10"/>
  <c r="CS82" i="10"/>
  <c r="CS87" i="10"/>
  <c r="CS112" i="10"/>
  <c r="CS136" i="10"/>
  <c r="CM77" i="10"/>
  <c r="CM88" i="10"/>
  <c r="CM122" i="10"/>
  <c r="CM100" i="10"/>
  <c r="CM112" i="10"/>
  <c r="CJ91" i="10"/>
  <c r="CJ99" i="10"/>
  <c r="CJ80" i="10"/>
  <c r="CJ97" i="10"/>
  <c r="CJ115" i="10"/>
  <c r="CJ135" i="10"/>
  <c r="CL130" i="10"/>
  <c r="CL76" i="10"/>
  <c r="CL99" i="10"/>
  <c r="CL134" i="10"/>
  <c r="CL138" i="10"/>
  <c r="CG85" i="10"/>
  <c r="CG120" i="10"/>
  <c r="CG112" i="10"/>
  <c r="CG69" i="10"/>
  <c r="CG127" i="10"/>
  <c r="CG130" i="10"/>
  <c r="CL78" i="10"/>
  <c r="CL98" i="10"/>
  <c r="CL89" i="10"/>
  <c r="CL123" i="10"/>
  <c r="CL112" i="10"/>
  <c r="CL105" i="10"/>
  <c r="AV17" i="10"/>
  <c r="O17" i="10" s="1"/>
  <c r="CG49" i="10"/>
  <c r="CL77" i="10"/>
  <c r="CL139" i="10"/>
  <c r="CL111" i="10"/>
  <c r="CU49" i="10"/>
  <c r="CG84" i="10"/>
  <c r="CG91" i="10"/>
  <c r="CG126" i="10"/>
  <c r="CG72" i="10"/>
  <c r="CG86" i="10"/>
  <c r="CG137" i="10"/>
  <c r="CG97" i="10"/>
  <c r="CL94" i="10"/>
  <c r="CL92" i="10"/>
  <c r="CL93" i="10"/>
  <c r="CL129" i="10"/>
  <c r="CL113" i="10"/>
  <c r="CL120" i="10"/>
  <c r="CL110" i="10"/>
  <c r="CL69" i="10"/>
  <c r="CL100" i="10"/>
  <c r="CL95" i="10"/>
  <c r="CL85" i="10"/>
  <c r="CL114" i="10"/>
  <c r="CL126" i="10"/>
  <c r="CL128" i="10"/>
  <c r="CL116" i="10"/>
  <c r="CL82" i="10"/>
  <c r="CL115" i="10"/>
  <c r="CL91" i="10"/>
  <c r="CL86" i="10"/>
  <c r="CL79" i="10"/>
  <c r="CL135" i="10"/>
  <c r="CL87" i="10"/>
  <c r="CL83" i="10"/>
  <c r="CL124" i="10"/>
  <c r="CL104" i="10"/>
  <c r="AW11" i="10"/>
  <c r="CL66" i="10"/>
  <c r="CL71" i="10"/>
  <c r="CL70" i="10"/>
  <c r="CL131" i="10"/>
  <c r="CL117" i="10"/>
  <c r="CL136" i="10"/>
  <c r="AV4" i="10"/>
  <c r="O4" i="10" s="1"/>
  <c r="BA77" i="10"/>
  <c r="CG109" i="10"/>
  <c r="CG125" i="10"/>
  <c r="CG111" i="10"/>
  <c r="CG75" i="10"/>
  <c r="CG134" i="10"/>
  <c r="CG139" i="10"/>
  <c r="CL68" i="10"/>
  <c r="CL73" i="10"/>
  <c r="CL74" i="10"/>
  <c r="CL132" i="10"/>
  <c r="CL118" i="10"/>
  <c r="CL103" i="10"/>
  <c r="AI83" i="10"/>
  <c r="AV10" i="10"/>
  <c r="O10" i="10" s="1"/>
  <c r="CL106" i="10"/>
  <c r="AV7" i="10"/>
  <c r="O7" i="10" s="1"/>
  <c r="AV51" i="10"/>
  <c r="CG105" i="10"/>
  <c r="CG132" i="10"/>
  <c r="CG74" i="10"/>
  <c r="CG76" i="10"/>
  <c r="CG92" i="10"/>
  <c r="AW5" i="10"/>
  <c r="CL96" i="10"/>
  <c r="CL84" i="10"/>
  <c r="CL80" i="10"/>
  <c r="CL107" i="10"/>
  <c r="CL119" i="10"/>
  <c r="CL121" i="10"/>
  <c r="AV15" i="10"/>
  <c r="O15" i="10" s="1"/>
  <c r="CL72" i="10"/>
  <c r="CL102" i="10"/>
  <c r="CL101" i="10"/>
  <c r="CL97" i="10"/>
  <c r="CL75" i="10"/>
  <c r="CL90" i="10"/>
  <c r="CL81" i="10"/>
  <c r="CL108" i="10"/>
  <c r="CL125" i="10"/>
  <c r="AV2" i="10"/>
  <c r="O2" i="10" s="1"/>
  <c r="AV46" i="10"/>
  <c r="AV62" i="10" s="1"/>
  <c r="B66" i="10" s="1"/>
  <c r="C11" i="6"/>
  <c r="D11" i="6"/>
  <c r="L11" i="6"/>
  <c r="L12" i="6"/>
  <c r="L13" i="6"/>
  <c r="L14" i="6"/>
  <c r="J11" i="6"/>
  <c r="J12" i="6"/>
  <c r="J13" i="6"/>
  <c r="J14" i="6"/>
  <c r="J15" i="6"/>
  <c r="J16" i="6"/>
  <c r="J18" i="6"/>
  <c r="D12" i="6"/>
  <c r="D13" i="6"/>
  <c r="D14" i="6"/>
  <c r="B11" i="6"/>
  <c r="B12" i="6"/>
  <c r="B13" i="6"/>
  <c r="B14" i="6"/>
  <c r="B15" i="6"/>
  <c r="B16" i="6"/>
  <c r="CV124" i="10"/>
  <c r="CV138" i="10"/>
  <c r="CV81" i="10"/>
  <c r="CV109" i="10"/>
  <c r="CV120" i="10"/>
  <c r="CV82" i="10"/>
  <c r="CV114" i="10"/>
  <c r="CV111" i="10"/>
  <c r="CV74" i="10"/>
  <c r="CV83" i="10"/>
  <c r="O9" i="10"/>
  <c r="O14" i="10"/>
  <c r="O5" i="10"/>
  <c r="AV49" i="10"/>
  <c r="CA142" i="2"/>
  <c r="BX139" i="2"/>
  <c r="CB144" i="2"/>
  <c r="CA144" i="2"/>
  <c r="CB143" i="2"/>
  <c r="CA143" i="2"/>
  <c r="CB142" i="2"/>
  <c r="CB141" i="2"/>
  <c r="CA141" i="2"/>
  <c r="CB140" i="2"/>
  <c r="CA140" i="2"/>
  <c r="CB139" i="2"/>
  <c r="CA139" i="2"/>
  <c r="CB138" i="2"/>
  <c r="CA138" i="2"/>
  <c r="CB137" i="2"/>
  <c r="CA137" i="2"/>
  <c r="CB136" i="2"/>
  <c r="CA136" i="2"/>
  <c r="CB135" i="2"/>
  <c r="CA135" i="2"/>
  <c r="CB134" i="2"/>
  <c r="CA134" i="2"/>
  <c r="CB133" i="2"/>
  <c r="CA133" i="2"/>
  <c r="CB132" i="2"/>
  <c r="CA132" i="2"/>
  <c r="CB131" i="2"/>
  <c r="CA131" i="2"/>
  <c r="CB130" i="2"/>
  <c r="CA130" i="2"/>
  <c r="CB129" i="2"/>
  <c r="CA129" i="2"/>
  <c r="CB128" i="2"/>
  <c r="CA128" i="2"/>
  <c r="CB127" i="2"/>
  <c r="CA127" i="2"/>
  <c r="CB126" i="2"/>
  <c r="CA126" i="2"/>
  <c r="CB125" i="2"/>
  <c r="CA125" i="2"/>
  <c r="CB124" i="2"/>
  <c r="CA124" i="2"/>
  <c r="CB123" i="2"/>
  <c r="CA123" i="2"/>
  <c r="CB122" i="2"/>
  <c r="CA122" i="2"/>
  <c r="CB121" i="2"/>
  <c r="CA121" i="2"/>
  <c r="CB120" i="2"/>
  <c r="CA120" i="2"/>
  <c r="CB119" i="2"/>
  <c r="CA119" i="2"/>
  <c r="CB118" i="2"/>
  <c r="CA118" i="2"/>
  <c r="CB117" i="2"/>
  <c r="CA117" i="2"/>
  <c r="CB116" i="2"/>
  <c r="CA116" i="2"/>
  <c r="CB115" i="2"/>
  <c r="CA115" i="2"/>
  <c r="CB114" i="2"/>
  <c r="CA114" i="2"/>
  <c r="CB113" i="2"/>
  <c r="CA113" i="2"/>
  <c r="CB112" i="2"/>
  <c r="CA112" i="2"/>
  <c r="CB111" i="2"/>
  <c r="CA111" i="2"/>
  <c r="CB110" i="2"/>
  <c r="CA110" i="2"/>
  <c r="CB109" i="2"/>
  <c r="CA109" i="2"/>
  <c r="CB108" i="2"/>
  <c r="CA108" i="2"/>
  <c r="CB107" i="2"/>
  <c r="CA107" i="2"/>
  <c r="CB106" i="2"/>
  <c r="CA106" i="2"/>
  <c r="CB105" i="2"/>
  <c r="CA105" i="2"/>
  <c r="CB104" i="2"/>
  <c r="CA104" i="2"/>
  <c r="CB103" i="2"/>
  <c r="CA103" i="2"/>
  <c r="CB102" i="2"/>
  <c r="CA102" i="2"/>
  <c r="CB101" i="2"/>
  <c r="CA101" i="2"/>
  <c r="CB100" i="2"/>
  <c r="CA100" i="2"/>
  <c r="CB99" i="2"/>
  <c r="CA99" i="2"/>
  <c r="CB98" i="2"/>
  <c r="CA98" i="2"/>
  <c r="CB97" i="2"/>
  <c r="CA97" i="2"/>
  <c r="CB96" i="2"/>
  <c r="CA96" i="2"/>
  <c r="CB95" i="2"/>
  <c r="CA95" i="2"/>
  <c r="CB94" i="2"/>
  <c r="CA94" i="2"/>
  <c r="CB93" i="2"/>
  <c r="CA93" i="2"/>
  <c r="CB92" i="2"/>
  <c r="CA92" i="2"/>
  <c r="CB91" i="2"/>
  <c r="CA91" i="2"/>
  <c r="CB90" i="2"/>
  <c r="CA90" i="2"/>
  <c r="CB89" i="2"/>
  <c r="CA89" i="2"/>
  <c r="CB88" i="2"/>
  <c r="CA88" i="2"/>
  <c r="CB87" i="2"/>
  <c r="CA87" i="2"/>
  <c r="CA163" i="2"/>
  <c r="CA162" i="2"/>
  <c r="CA161" i="2"/>
  <c r="CA160" i="2"/>
  <c r="CA159" i="2"/>
  <c r="CA158" i="2"/>
  <c r="CA157" i="2"/>
  <c r="CA156" i="2"/>
  <c r="CA86" i="2"/>
  <c r="CA85" i="2"/>
  <c r="CA84" i="2"/>
  <c r="CA83" i="2"/>
  <c r="CA82" i="2"/>
  <c r="CA81" i="2"/>
  <c r="CA80" i="2"/>
  <c r="CA79" i="2"/>
  <c r="CA78" i="2"/>
  <c r="CA77" i="2"/>
  <c r="CA76" i="2"/>
  <c r="BY133" i="2"/>
  <c r="BY134" i="2"/>
  <c r="BY135" i="2"/>
  <c r="BY136" i="2"/>
  <c r="BY137" i="2"/>
  <c r="BY138" i="2"/>
  <c r="BY139" i="2"/>
  <c r="BY140" i="2"/>
  <c r="BY109" i="2"/>
  <c r="BZ109" i="2"/>
  <c r="BY110" i="2"/>
  <c r="BZ110" i="2"/>
  <c r="BY111" i="2"/>
  <c r="BZ111" i="2"/>
  <c r="BY112" i="2"/>
  <c r="BZ112" i="2"/>
  <c r="BY113" i="2"/>
  <c r="BZ113" i="2"/>
  <c r="BY114" i="2"/>
  <c r="BZ114" i="2"/>
  <c r="BY115" i="2"/>
  <c r="BZ115" i="2"/>
  <c r="BY116" i="2"/>
  <c r="BZ116" i="2"/>
  <c r="BY117" i="2"/>
  <c r="BZ117" i="2"/>
  <c r="BY118" i="2"/>
  <c r="BZ118" i="2"/>
  <c r="BY119" i="2"/>
  <c r="BZ119" i="2"/>
  <c r="BY120" i="2"/>
  <c r="BZ120" i="2"/>
  <c r="BY121" i="2"/>
  <c r="BZ121" i="2"/>
  <c r="BY122" i="2"/>
  <c r="BZ122" i="2"/>
  <c r="BY123" i="2"/>
  <c r="BZ123" i="2"/>
  <c r="BY124" i="2"/>
  <c r="BZ124" i="2"/>
  <c r="BY125" i="2"/>
  <c r="BZ125" i="2"/>
  <c r="BY126" i="2"/>
  <c r="BZ126" i="2"/>
  <c r="BY127" i="2"/>
  <c r="BZ127" i="2"/>
  <c r="BY128" i="2"/>
  <c r="BZ128" i="2"/>
  <c r="BY129" i="2"/>
  <c r="BZ129" i="2"/>
  <c r="BY130" i="2"/>
  <c r="BZ130" i="2"/>
  <c r="BY131" i="2"/>
  <c r="BZ131" i="2"/>
  <c r="BY132" i="2"/>
  <c r="BS15" i="2"/>
  <c r="J65" i="6"/>
  <c r="J67" i="6"/>
  <c r="J68" i="6"/>
  <c r="J69" i="6"/>
  <c r="J70" i="6"/>
  <c r="J71" i="6"/>
  <c r="L70" i="6"/>
  <c r="L69" i="6"/>
  <c r="L68" i="6"/>
  <c r="L67" i="6"/>
  <c r="L66" i="6"/>
  <c r="L65" i="6"/>
  <c r="D65" i="6"/>
  <c r="D66" i="6"/>
  <c r="D67" i="6"/>
  <c r="D68" i="6"/>
  <c r="D69" i="6"/>
  <c r="D70" i="6"/>
  <c r="B65" i="6"/>
  <c r="B66" i="6"/>
  <c r="B67" i="6"/>
  <c r="B68" i="6"/>
  <c r="B69" i="6"/>
  <c r="B70" i="6"/>
  <c r="I4" i="7"/>
  <c r="H4" i="7"/>
  <c r="BS23" i="2"/>
  <c r="L2" i="6"/>
  <c r="L3" i="6"/>
  <c r="L4" i="6"/>
  <c r="L5" i="6"/>
  <c r="L6" i="6"/>
  <c r="L7" i="6"/>
  <c r="L8" i="6"/>
  <c r="L9" i="6"/>
  <c r="L10" i="6"/>
  <c r="L15" i="6"/>
  <c r="L16" i="6"/>
  <c r="L17" i="6"/>
  <c r="L18" i="6"/>
  <c r="L19" i="6"/>
  <c r="L20"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CC71" i="2"/>
  <c r="CC70" i="2"/>
  <c r="BS33" i="2"/>
  <c r="H56" i="7"/>
  <c r="I56" i="7"/>
  <c r="I5" i="7"/>
  <c r="I6" i="7"/>
  <c r="I7" i="7"/>
  <c r="I8" i="7"/>
  <c r="I9" i="7"/>
  <c r="I10" i="7"/>
  <c r="I11" i="7"/>
  <c r="I12" i="7"/>
  <c r="I13" i="7"/>
  <c r="I14"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15" i="7"/>
  <c r="BU75" i="7"/>
  <c r="BT75" i="7"/>
  <c r="BS75" i="7"/>
  <c r="H55" i="7"/>
  <c r="BS35" i="2"/>
  <c r="U190" i="6"/>
  <c r="Y184" i="6"/>
  <c r="X184" i="6"/>
  <c r="W184" i="6"/>
  <c r="V184" i="6"/>
  <c r="U184" i="6"/>
  <c r="J183" i="6"/>
  <c r="J185" i="6"/>
  <c r="J186" i="6"/>
  <c r="J187" i="6"/>
  <c r="J188" i="6"/>
  <c r="J189" i="6"/>
  <c r="J191" i="6"/>
  <c r="H46" i="7"/>
  <c r="H47" i="7"/>
  <c r="H48" i="7"/>
  <c r="H49" i="7"/>
  <c r="H50" i="7"/>
  <c r="H51" i="7"/>
  <c r="H52" i="7"/>
  <c r="H53" i="7"/>
  <c r="H54" i="7"/>
  <c r="D183" i="6"/>
  <c r="D184" i="6"/>
  <c r="D185" i="6"/>
  <c r="D186" i="6"/>
  <c r="D187" i="6"/>
  <c r="D188" i="6"/>
  <c r="B189" i="6"/>
  <c r="B183" i="6"/>
  <c r="B184" i="6"/>
  <c r="B185" i="6"/>
  <c r="B186" i="6"/>
  <c r="B187" i="6"/>
  <c r="B188" i="6"/>
  <c r="B190" i="6"/>
  <c r="B191" i="6"/>
  <c r="B192" i="6"/>
  <c r="B193" i="6"/>
  <c r="B194" i="6"/>
  <c r="J184" i="6"/>
  <c r="Q112" i="7"/>
  <c r="M112" i="7"/>
  <c r="L112" i="7"/>
  <c r="K112" i="7"/>
  <c r="J112" i="7"/>
  <c r="I112" i="7"/>
  <c r="F112" i="7"/>
  <c r="E112" i="7"/>
  <c r="Q111" i="7"/>
  <c r="M111" i="7"/>
  <c r="L111" i="7"/>
  <c r="K111" i="7"/>
  <c r="J111" i="7"/>
  <c r="I111" i="7"/>
  <c r="F111" i="7"/>
  <c r="E111" i="7"/>
  <c r="Q110" i="7"/>
  <c r="M110" i="7"/>
  <c r="L110" i="7"/>
  <c r="J110" i="7"/>
  <c r="I110" i="7"/>
  <c r="F110" i="7"/>
  <c r="E110" i="7"/>
  <c r="Q109" i="7"/>
  <c r="M109" i="7"/>
  <c r="L109" i="7"/>
  <c r="J109" i="7"/>
  <c r="I109" i="7"/>
  <c r="F109" i="7"/>
  <c r="E109" i="7"/>
  <c r="Q108" i="7"/>
  <c r="M108" i="7"/>
  <c r="L108" i="7"/>
  <c r="J108" i="7"/>
  <c r="I108" i="7"/>
  <c r="F108" i="7"/>
  <c r="E108" i="7"/>
  <c r="L107" i="7"/>
  <c r="I107" i="7"/>
  <c r="E107" i="7"/>
  <c r="L106" i="7"/>
  <c r="I106" i="7"/>
  <c r="E106" i="7"/>
  <c r="L105" i="7"/>
  <c r="I105" i="7"/>
  <c r="E105" i="7"/>
  <c r="S95" i="7"/>
  <c r="R95" i="7"/>
  <c r="Q95" i="7"/>
  <c r="P95" i="7"/>
  <c r="O95" i="7"/>
  <c r="N95" i="7"/>
  <c r="M95" i="7"/>
  <c r="L95" i="7"/>
  <c r="K95" i="7"/>
  <c r="J95" i="7"/>
  <c r="I95" i="7"/>
  <c r="H95" i="7"/>
  <c r="G95" i="7"/>
  <c r="F95" i="7"/>
  <c r="E95" i="7"/>
  <c r="Z94" i="7"/>
  <c r="C94" i="7"/>
  <c r="BY2" i="2"/>
  <c r="B1" i="2"/>
  <c r="BS109" i="2"/>
  <c r="BS111" i="2"/>
  <c r="H40" i="7"/>
  <c r="H41" i="7"/>
  <c r="H42" i="7"/>
  <c r="H43" i="7"/>
  <c r="H44" i="7"/>
  <c r="H45" i="7"/>
  <c r="BS4" i="2"/>
  <c r="E113" i="7"/>
  <c r="F113" i="7"/>
  <c r="G113" i="7"/>
  <c r="H113" i="7"/>
  <c r="I113" i="7"/>
  <c r="J113" i="7"/>
  <c r="K113" i="7"/>
  <c r="L113" i="7"/>
  <c r="M113" i="7"/>
  <c r="P113" i="7"/>
  <c r="Q113" i="7"/>
  <c r="E114" i="7"/>
  <c r="F114" i="7"/>
  <c r="G114" i="7"/>
  <c r="H114" i="7"/>
  <c r="I114" i="7"/>
  <c r="J114" i="7"/>
  <c r="K114" i="7"/>
  <c r="L114" i="7"/>
  <c r="M114" i="7"/>
  <c r="P114" i="7"/>
  <c r="Q114" i="7"/>
  <c r="R114" i="7"/>
  <c r="E115" i="7"/>
  <c r="F115" i="7"/>
  <c r="G115" i="7"/>
  <c r="H115" i="7"/>
  <c r="I115" i="7"/>
  <c r="J115" i="7"/>
  <c r="K115" i="7"/>
  <c r="L115" i="7"/>
  <c r="M115" i="7"/>
  <c r="P115" i="7"/>
  <c r="Q115" i="7"/>
  <c r="R115" i="7"/>
  <c r="R116" i="7"/>
  <c r="D6" i="6"/>
  <c r="B6" i="6"/>
  <c r="D5" i="6"/>
  <c r="B5" i="6"/>
  <c r="D4" i="6"/>
  <c r="B4" i="6"/>
  <c r="D3" i="6"/>
  <c r="B3" i="6"/>
  <c r="C2" i="6"/>
  <c r="D2" i="6"/>
  <c r="B2" i="6"/>
  <c r="J110" i="6"/>
  <c r="J111" i="6"/>
  <c r="J112" i="6"/>
  <c r="J113" i="6"/>
  <c r="J114" i="6"/>
  <c r="J115" i="6"/>
  <c r="J116" i="6"/>
  <c r="J117" i="6"/>
  <c r="J118" i="6"/>
  <c r="J119" i="6"/>
  <c r="J120" i="6"/>
  <c r="AK24" i="2"/>
  <c r="AN24" i="2" s="1"/>
  <c r="BS19" i="2"/>
  <c r="BS24" i="2"/>
  <c r="BS18" i="2"/>
  <c r="N116" i="6"/>
  <c r="N111" i="6"/>
  <c r="D116" i="6"/>
  <c r="B116" i="6"/>
  <c r="D115" i="6"/>
  <c r="B115" i="6"/>
  <c r="D114" i="6"/>
  <c r="B114" i="6"/>
  <c r="D113" i="6"/>
  <c r="B113" i="6"/>
  <c r="D112" i="6"/>
  <c r="B112" i="6"/>
  <c r="D111" i="6"/>
  <c r="B111" i="6"/>
  <c r="D110" i="6"/>
  <c r="B110" i="6"/>
  <c r="H38" i="7"/>
  <c r="H39" i="7"/>
  <c r="AB40" i="2"/>
  <c r="AI40" i="2"/>
  <c r="AI41" i="2"/>
  <c r="U41" i="2"/>
  <c r="S37" i="2"/>
  <c r="E41" i="2"/>
  <c r="B38" i="2"/>
  <c r="E38" i="2"/>
  <c r="B37" i="2"/>
  <c r="N41" i="2"/>
  <c r="B41" i="2"/>
  <c r="U40" i="2"/>
  <c r="AB41" i="2"/>
  <c r="N40" i="2"/>
  <c r="L40" i="2"/>
  <c r="E40" i="2"/>
  <c r="S40" i="2"/>
  <c r="Q35" i="2"/>
  <c r="B40" i="2"/>
  <c r="C30" i="2"/>
  <c r="B39" i="2"/>
  <c r="B34" i="2"/>
  <c r="H36" i="7"/>
  <c r="H37" i="7"/>
  <c r="BX61" i="2"/>
  <c r="CL61" i="2" s="1"/>
  <c r="AB21" i="2"/>
  <c r="E35" i="2"/>
  <c r="G18" i="2"/>
  <c r="G19" i="2"/>
  <c r="G20" i="2"/>
  <c r="C27" i="2"/>
  <c r="V35" i="2"/>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CR47" i="2"/>
  <c r="CS47" i="2"/>
  <c r="CR48" i="2"/>
  <c r="CS48" i="2"/>
  <c r="CR49" i="2"/>
  <c r="CS49" i="2"/>
  <c r="CR50" i="2"/>
  <c r="CS50" i="2"/>
  <c r="CR51" i="2"/>
  <c r="CS51" i="2"/>
  <c r="CR52" i="2"/>
  <c r="CS52" i="2"/>
  <c r="CR53" i="2"/>
  <c r="CS53" i="2"/>
  <c r="CR54" i="2"/>
  <c r="CS54" i="2"/>
  <c r="CR55" i="2"/>
  <c r="CS55" i="2"/>
  <c r="CR56" i="2"/>
  <c r="CS56" i="2"/>
  <c r="CR57" i="2"/>
  <c r="CS57" i="2"/>
  <c r="CR58" i="2"/>
  <c r="CS58" i="2"/>
  <c r="CR59" i="2"/>
  <c r="CS59" i="2"/>
  <c r="CR60" i="2"/>
  <c r="CS60" i="2"/>
  <c r="CR61" i="2"/>
  <c r="CS61" i="2"/>
  <c r="CS46" i="2"/>
  <c r="CR46" i="2"/>
  <c r="CQ46" i="2"/>
  <c r="J7" i="6"/>
  <c r="J8" i="6"/>
  <c r="J9" i="6"/>
  <c r="J10" i="6"/>
  <c r="J19" i="6"/>
  <c r="J20" i="6"/>
  <c r="J31" i="6"/>
  <c r="J32" i="6"/>
  <c r="J33" i="6"/>
  <c r="J34" i="6"/>
  <c r="J35" i="6"/>
  <c r="J36" i="6"/>
  <c r="J37" i="6"/>
  <c r="J38" i="6"/>
  <c r="J39" i="6"/>
  <c r="J41" i="6"/>
  <c r="J42" i="6"/>
  <c r="J43" i="6"/>
  <c r="J44" i="6"/>
  <c r="J45" i="6"/>
  <c r="J46" i="6"/>
  <c r="J47" i="6"/>
  <c r="J48" i="6"/>
  <c r="J49" i="6"/>
  <c r="J50" i="6"/>
  <c r="J51" i="6"/>
  <c r="J53" i="6"/>
  <c r="J54" i="6"/>
  <c r="J55" i="6"/>
  <c r="J56" i="6"/>
  <c r="J57" i="6"/>
  <c r="J58" i="6"/>
  <c r="J59" i="6"/>
  <c r="J60" i="6"/>
  <c r="J61" i="6"/>
  <c r="J62" i="6"/>
  <c r="J63" i="6"/>
  <c r="J64" i="6"/>
  <c r="J72" i="6"/>
  <c r="J73" i="6"/>
  <c r="J74" i="6"/>
  <c r="J75" i="6"/>
  <c r="J76" i="6"/>
  <c r="J78" i="6"/>
  <c r="J79" i="6"/>
  <c r="J80" i="6"/>
  <c r="J81" i="6"/>
  <c r="J83" i="6"/>
  <c r="J84" i="6"/>
  <c r="J85" i="6"/>
  <c r="J86" i="6"/>
  <c r="J87" i="6"/>
  <c r="J88" i="6"/>
  <c r="J89" i="6"/>
  <c r="J90" i="6"/>
  <c r="J91" i="6"/>
  <c r="J92" i="6"/>
  <c r="J93" i="6"/>
  <c r="J94" i="6"/>
  <c r="J95" i="6"/>
  <c r="J96" i="6"/>
  <c r="J97" i="6"/>
  <c r="J98" i="6"/>
  <c r="J99" i="6"/>
  <c r="J100" i="6"/>
  <c r="J101" i="6"/>
  <c r="J103" i="6"/>
  <c r="J104" i="6"/>
  <c r="J105" i="6"/>
  <c r="J106" i="6"/>
  <c r="J107" i="6"/>
  <c r="J108" i="6"/>
  <c r="J109" i="6"/>
  <c r="J121" i="6"/>
  <c r="J122" i="6"/>
  <c r="J123" i="6"/>
  <c r="J124" i="6"/>
  <c r="J125" i="6"/>
  <c r="J126"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92" i="6"/>
  <c r="J193" i="6"/>
  <c r="J194" i="6"/>
  <c r="BS36" i="2"/>
  <c r="BS34" i="2"/>
  <c r="BS32" i="2"/>
  <c r="BS31" i="2"/>
  <c r="BS30" i="2"/>
  <c r="BS29" i="2"/>
  <c r="BS28" i="2"/>
  <c r="BS27" i="2"/>
  <c r="BS26" i="2"/>
  <c r="BS25" i="2"/>
  <c r="BS22" i="2"/>
  <c r="BS21" i="2"/>
  <c r="BS20" i="2"/>
  <c r="BS17" i="2"/>
  <c r="BS16" i="2"/>
  <c r="BS13" i="2"/>
  <c r="BS12" i="2"/>
  <c r="BS11" i="2"/>
  <c r="BS10" i="2"/>
  <c r="BS9" i="2"/>
  <c r="BS5" i="2"/>
  <c r="BS3" i="2"/>
  <c r="BS131" i="2"/>
  <c r="BS130" i="2"/>
  <c r="BS129" i="2"/>
  <c r="BS128" i="2"/>
  <c r="BS127" i="2"/>
  <c r="BS126" i="2"/>
  <c r="BS125" i="2"/>
  <c r="BS124" i="2"/>
  <c r="BS123" i="2"/>
  <c r="BS122" i="2"/>
  <c r="BS121" i="2"/>
  <c r="BS120" i="2"/>
  <c r="BW119" i="2"/>
  <c r="BU119" i="2"/>
  <c r="BS119" i="2"/>
  <c r="BW118" i="2"/>
  <c r="BU118" i="2"/>
  <c r="BS118" i="2"/>
  <c r="BW117" i="2"/>
  <c r="BU117" i="2"/>
  <c r="BS117" i="2"/>
  <c r="BW116" i="2"/>
  <c r="BU116" i="2"/>
  <c r="BS116" i="2"/>
  <c r="BW115" i="2"/>
  <c r="BU115" i="2"/>
  <c r="BS115" i="2"/>
  <c r="BW114" i="2"/>
  <c r="BS114" i="2"/>
  <c r="BW113" i="2"/>
  <c r="BS113" i="2"/>
  <c r="BW112" i="2"/>
  <c r="BU112" i="2"/>
  <c r="BS112" i="2"/>
  <c r="BW111" i="2"/>
  <c r="BU111" i="2"/>
  <c r="BW110" i="2"/>
  <c r="BU110" i="2"/>
  <c r="BS110" i="2"/>
  <c r="BW109" i="2"/>
  <c r="BU109" i="2"/>
  <c r="BW108" i="2"/>
  <c r="BU108" i="2"/>
  <c r="BS108" i="2"/>
  <c r="BY107" i="2"/>
  <c r="BW107" i="2"/>
  <c r="BU107" i="2"/>
  <c r="BS107" i="2"/>
  <c r="BY106" i="2"/>
  <c r="BW106" i="2"/>
  <c r="BU106" i="2"/>
  <c r="BS106" i="2"/>
  <c r="BY105" i="2"/>
  <c r="BW105" i="2"/>
  <c r="BU105" i="2"/>
  <c r="BS105" i="2"/>
  <c r="BY104" i="2"/>
  <c r="BW104" i="2"/>
  <c r="BU104" i="2"/>
  <c r="BS104" i="2"/>
  <c r="BY103" i="2"/>
  <c r="BW103" i="2"/>
  <c r="BU103" i="2"/>
  <c r="BS103" i="2"/>
  <c r="BY102" i="2"/>
  <c r="BW102" i="2"/>
  <c r="BU102" i="2"/>
  <c r="BS102" i="2"/>
  <c r="BY101" i="2"/>
  <c r="BW101" i="2"/>
  <c r="BU101" i="2"/>
  <c r="BS101" i="2"/>
  <c r="BY100" i="2"/>
  <c r="BW100" i="2"/>
  <c r="BU100" i="2"/>
  <c r="BS100" i="2"/>
  <c r="BY99" i="2"/>
  <c r="BW99" i="2"/>
  <c r="BU99" i="2"/>
  <c r="BS99" i="2"/>
  <c r="BY98" i="2"/>
  <c r="BW98" i="2"/>
  <c r="BU98" i="2"/>
  <c r="BS98" i="2"/>
  <c r="BY97" i="2"/>
  <c r="BW97" i="2"/>
  <c r="BU97" i="2"/>
  <c r="BS97" i="2"/>
  <c r="BY96" i="2"/>
  <c r="BW96" i="2"/>
  <c r="BU96" i="2"/>
  <c r="BS96" i="2"/>
  <c r="BY95" i="2"/>
  <c r="BW95" i="2"/>
  <c r="BU95" i="2"/>
  <c r="BS95" i="2"/>
  <c r="BY94" i="2"/>
  <c r="BW94" i="2"/>
  <c r="BU94" i="2"/>
  <c r="BS94" i="2"/>
  <c r="BY93" i="2"/>
  <c r="BW93" i="2"/>
  <c r="BU93" i="2"/>
  <c r="BS93" i="2"/>
  <c r="BY92" i="2"/>
  <c r="BW92" i="2"/>
  <c r="BU92" i="2"/>
  <c r="BS92" i="2"/>
  <c r="BY91" i="2"/>
  <c r="BW91" i="2"/>
  <c r="BU91" i="2"/>
  <c r="BS91" i="2"/>
  <c r="BY90" i="2"/>
  <c r="BW90" i="2"/>
  <c r="BU90" i="2"/>
  <c r="BS90" i="2"/>
  <c r="BY89" i="2"/>
  <c r="BW89" i="2"/>
  <c r="BU89" i="2"/>
  <c r="BS89" i="2"/>
  <c r="BY88" i="2"/>
  <c r="BW88" i="2"/>
  <c r="BU88" i="2"/>
  <c r="BS88" i="2"/>
  <c r="BY87" i="2"/>
  <c r="BW87" i="2"/>
  <c r="BU87" i="2"/>
  <c r="BS87" i="2"/>
  <c r="BY86" i="2"/>
  <c r="BW86" i="2"/>
  <c r="BU86" i="2"/>
  <c r="BS86" i="2"/>
  <c r="BY85" i="2"/>
  <c r="BW85" i="2"/>
  <c r="BU85" i="2"/>
  <c r="BS85" i="2"/>
  <c r="BY84" i="2"/>
  <c r="BW84" i="2"/>
  <c r="BU84" i="2"/>
  <c r="BS84" i="2"/>
  <c r="BY83" i="2"/>
  <c r="BW83" i="2"/>
  <c r="BU83" i="2"/>
  <c r="BS83" i="2"/>
  <c r="BY82" i="2"/>
  <c r="BW82" i="2"/>
  <c r="BU82" i="2"/>
  <c r="BS82" i="2"/>
  <c r="BY81" i="2"/>
  <c r="BW81" i="2"/>
  <c r="BU81" i="2"/>
  <c r="BS81" i="2"/>
  <c r="BY80" i="2"/>
  <c r="BW80" i="2"/>
  <c r="BU80" i="2"/>
  <c r="BS80" i="2"/>
  <c r="BY79" i="2"/>
  <c r="BW79" i="2"/>
  <c r="BU79" i="2"/>
  <c r="BS79" i="2"/>
  <c r="BY78" i="2"/>
  <c r="BW78" i="2"/>
  <c r="BU78" i="2"/>
  <c r="BS78" i="2"/>
  <c r="BY77" i="2"/>
  <c r="BW77" i="2"/>
  <c r="BU77" i="2"/>
  <c r="BS77" i="2"/>
  <c r="BY76" i="2"/>
  <c r="BW76" i="2"/>
  <c r="BU76" i="2"/>
  <c r="BS76" i="2"/>
  <c r="BY75" i="2"/>
  <c r="BW75" i="2"/>
  <c r="BU75" i="2"/>
  <c r="BS75" i="2"/>
  <c r="BY74" i="2"/>
  <c r="BW74" i="2"/>
  <c r="BU74" i="2"/>
  <c r="BS74" i="2"/>
  <c r="BY73" i="2"/>
  <c r="BW73" i="2"/>
  <c r="BU73" i="2"/>
  <c r="BS73" i="2"/>
  <c r="BY72" i="2"/>
  <c r="BW72" i="2"/>
  <c r="BU72" i="2"/>
  <c r="BS72" i="2"/>
  <c r="CA66" i="2"/>
  <c r="CA65" i="2"/>
  <c r="BX131" i="2"/>
  <c r="BW131" i="2"/>
  <c r="BV131" i="2"/>
  <c r="BU131" i="2"/>
  <c r="BX130" i="2"/>
  <c r="BW130" i="2"/>
  <c r="BV130" i="2"/>
  <c r="BU130" i="2"/>
  <c r="BX129" i="2"/>
  <c r="BW129" i="2"/>
  <c r="BV129" i="2"/>
  <c r="BU129" i="2"/>
  <c r="BX128" i="2"/>
  <c r="BW128" i="2"/>
  <c r="BV128" i="2"/>
  <c r="BU128" i="2"/>
  <c r="BX127" i="2"/>
  <c r="BW127" i="2"/>
  <c r="BV127" i="2"/>
  <c r="BU127" i="2"/>
  <c r="BX126" i="2"/>
  <c r="BW126" i="2"/>
  <c r="BV126" i="2"/>
  <c r="BU126" i="2"/>
  <c r="BX125" i="2"/>
  <c r="BW125" i="2"/>
  <c r="BV125" i="2"/>
  <c r="BU125" i="2"/>
  <c r="BX124" i="2"/>
  <c r="BW124" i="2"/>
  <c r="BV124" i="2"/>
  <c r="BU124" i="2"/>
  <c r="BX123" i="2"/>
  <c r="BW123" i="2"/>
  <c r="BV123" i="2"/>
  <c r="BU123" i="2"/>
  <c r="BX122" i="2"/>
  <c r="BW122" i="2"/>
  <c r="BV122" i="2"/>
  <c r="BU122" i="2"/>
  <c r="BX121" i="2"/>
  <c r="BW121" i="2"/>
  <c r="BV121" i="2"/>
  <c r="BU121" i="2"/>
  <c r="BX120" i="2"/>
  <c r="BW120" i="2"/>
  <c r="BV120" i="2"/>
  <c r="BU120" i="2"/>
  <c r="BZ108" i="2"/>
  <c r="BY108" i="2"/>
  <c r="CC129" i="2"/>
  <c r="CC128" i="2"/>
  <c r="CC127" i="2"/>
  <c r="CC126" i="2"/>
  <c r="CC125" i="2"/>
  <c r="CC124" i="2"/>
  <c r="CC123" i="2"/>
  <c r="CC122" i="2"/>
  <c r="CC121" i="2"/>
  <c r="CC120" i="2"/>
  <c r="CC119" i="2"/>
  <c r="CC118" i="2"/>
  <c r="CC117" i="2"/>
  <c r="CC116" i="2"/>
  <c r="CC115" i="2"/>
  <c r="CC114" i="2"/>
  <c r="CC113" i="2"/>
  <c r="CC112" i="2"/>
  <c r="CC111" i="2"/>
  <c r="CC110" i="2"/>
  <c r="CC109" i="2"/>
  <c r="CC108" i="2"/>
  <c r="CC107" i="2"/>
  <c r="CC106" i="2"/>
  <c r="CC105" i="2"/>
  <c r="CC104" i="2"/>
  <c r="CC102" i="2"/>
  <c r="CC99" i="2"/>
  <c r="CC98" i="2"/>
  <c r="CC94" i="2"/>
  <c r="CC93" i="2"/>
  <c r="CC92" i="2"/>
  <c r="CC91" i="2"/>
  <c r="CC90" i="2"/>
  <c r="CC89" i="2"/>
  <c r="CC88" i="2"/>
  <c r="CC87" i="2"/>
  <c r="CC86" i="2"/>
  <c r="CC85" i="2"/>
  <c r="CC84" i="2"/>
  <c r="CC83" i="2"/>
  <c r="CC82" i="2"/>
  <c r="CC81" i="2"/>
  <c r="CC80" i="2"/>
  <c r="CC79" i="2"/>
  <c r="CC78" i="2"/>
  <c r="CC77" i="2"/>
  <c r="CC76" i="2"/>
  <c r="CC75" i="2"/>
  <c r="CC74" i="2"/>
  <c r="CC73" i="2"/>
  <c r="CC72" i="2"/>
  <c r="CP61" i="2"/>
  <c r="BO73" i="2"/>
  <c r="AK27" i="2" s="1"/>
  <c r="AN27" i="2" s="1"/>
  <c r="BH65" i="2"/>
  <c r="BH72" i="2"/>
  <c r="BB74" i="2"/>
  <c r="BA73" i="2"/>
  <c r="BB73" i="2"/>
  <c r="BA74" i="2"/>
  <c r="AE37" i="2"/>
  <c r="Y37" i="2"/>
  <c r="AG38" i="2"/>
  <c r="AB38" i="2"/>
  <c r="W38" i="2"/>
  <c r="R38" i="2"/>
  <c r="M38" i="2"/>
  <c r="M37" i="2"/>
  <c r="E37" i="2"/>
  <c r="B36" i="2"/>
  <c r="AK35" i="2"/>
  <c r="AF35" i="2"/>
  <c r="AA35" i="2"/>
  <c r="L35" i="2"/>
  <c r="AA28" i="2"/>
  <c r="AM27" i="2"/>
  <c r="AM26" i="2"/>
  <c r="AM25" i="2"/>
  <c r="AM24" i="2"/>
  <c r="AM23" i="2"/>
  <c r="AM28" i="2"/>
  <c r="AM22" i="2"/>
  <c r="AM21" i="2"/>
  <c r="AA27" i="2"/>
  <c r="AA26" i="2"/>
  <c r="AA25" i="2"/>
  <c r="AA24" i="2"/>
  <c r="AA23" i="2"/>
  <c r="AA22" i="2"/>
  <c r="AA21" i="2"/>
  <c r="N25" i="2"/>
  <c r="AD22" i="2"/>
  <c r="AD28" i="2"/>
  <c r="R30" i="2"/>
  <c r="R28" i="2"/>
  <c r="R27" i="2"/>
  <c r="R26" i="2"/>
  <c r="R25" i="2"/>
  <c r="R24" i="2"/>
  <c r="R23" i="2"/>
  <c r="R21" i="2"/>
  <c r="N28" i="2"/>
  <c r="N29" i="2"/>
  <c r="N27" i="2"/>
  <c r="N26" i="2"/>
  <c r="C29" i="2"/>
  <c r="C28" i="2"/>
  <c r="C26" i="2"/>
  <c r="C25" i="2"/>
  <c r="C24" i="2"/>
  <c r="AM1" i="2"/>
  <c r="O1" i="2"/>
  <c r="N1" i="2"/>
  <c r="M1" i="2"/>
  <c r="L1" i="2"/>
  <c r="K1" i="2"/>
  <c r="J1" i="2"/>
  <c r="G1" i="2"/>
  <c r="C1" i="2"/>
  <c r="BD46" i="2"/>
  <c r="AX47" i="2"/>
  <c r="AX48" i="2"/>
  <c r="AX49" i="2"/>
  <c r="AX50" i="2"/>
  <c r="AX51" i="2"/>
  <c r="AX52" i="2"/>
  <c r="AX53" i="2"/>
  <c r="AX54" i="2"/>
  <c r="AX55" i="2"/>
  <c r="AX56" i="2"/>
  <c r="AX57" i="2"/>
  <c r="AX58" i="2"/>
  <c r="AX59" i="2"/>
  <c r="AX60" i="2"/>
  <c r="AX61" i="2"/>
  <c r="AX46" i="2"/>
  <c r="AK66" i="2"/>
  <c r="AN66" i="2"/>
  <c r="D194" i="6"/>
  <c r="D193" i="6"/>
  <c r="D192" i="6"/>
  <c r="D191" i="6"/>
  <c r="Y190" i="6"/>
  <c r="X190" i="6"/>
  <c r="W190" i="6"/>
  <c r="V190" i="6"/>
  <c r="J190" i="6"/>
  <c r="D190" i="6"/>
  <c r="C189" i="6"/>
  <c r="D189" i="6"/>
  <c r="D182" i="6"/>
  <c r="B182" i="6"/>
  <c r="D181" i="6"/>
  <c r="B181" i="6"/>
  <c r="D180" i="6"/>
  <c r="B180" i="6"/>
  <c r="D179" i="6"/>
  <c r="B179" i="6"/>
  <c r="D178" i="6"/>
  <c r="B178" i="6"/>
  <c r="D177" i="6"/>
  <c r="B177" i="6"/>
  <c r="D176" i="6"/>
  <c r="B176" i="6"/>
  <c r="D175" i="6"/>
  <c r="B175" i="6"/>
  <c r="C174" i="6"/>
  <c r="D174" i="6"/>
  <c r="B174" i="6"/>
  <c r="D173" i="6"/>
  <c r="B173" i="6"/>
  <c r="D172" i="6"/>
  <c r="B172" i="6"/>
  <c r="D171" i="6"/>
  <c r="B171" i="6"/>
  <c r="D170" i="6"/>
  <c r="B170" i="6"/>
  <c r="D169" i="6"/>
  <c r="B169" i="6"/>
  <c r="D168" i="6"/>
  <c r="B168" i="6"/>
  <c r="C167" i="6"/>
  <c r="D167" i="6"/>
  <c r="B167" i="6"/>
  <c r="D166" i="6"/>
  <c r="B166" i="6"/>
  <c r="D165" i="6"/>
  <c r="B165" i="6"/>
  <c r="D164" i="6"/>
  <c r="B164" i="6"/>
  <c r="D163" i="6"/>
  <c r="B163" i="6"/>
  <c r="C162" i="6"/>
  <c r="D162" i="6"/>
  <c r="B162" i="6"/>
  <c r="D161" i="6"/>
  <c r="B161" i="6"/>
  <c r="D160" i="6"/>
  <c r="B160" i="6"/>
  <c r="D159" i="6"/>
  <c r="B159" i="6"/>
  <c r="D158" i="6"/>
  <c r="B158" i="6"/>
  <c r="Y157" i="6"/>
  <c r="X157" i="6"/>
  <c r="W157" i="6"/>
  <c r="V157" i="6"/>
  <c r="U157" i="6"/>
  <c r="D157" i="6"/>
  <c r="B157" i="6"/>
  <c r="C156" i="6"/>
  <c r="D156" i="6"/>
  <c r="B156" i="6"/>
  <c r="D155" i="6"/>
  <c r="B155" i="6"/>
  <c r="D154" i="6"/>
  <c r="B154" i="6"/>
  <c r="D153" i="6"/>
  <c r="B153" i="6"/>
  <c r="D152" i="6"/>
  <c r="B152" i="6"/>
  <c r="C151" i="6"/>
  <c r="D151" i="6"/>
  <c r="B151" i="6"/>
  <c r="D150" i="6"/>
  <c r="B150" i="6"/>
  <c r="D149" i="6"/>
  <c r="B149" i="6"/>
  <c r="D148" i="6"/>
  <c r="B148" i="6"/>
  <c r="D147" i="6"/>
  <c r="B147" i="6"/>
  <c r="D146" i="6"/>
  <c r="B146" i="6"/>
  <c r="C145" i="6"/>
  <c r="D145" i="6"/>
  <c r="B145" i="6"/>
  <c r="D144" i="6"/>
  <c r="B144" i="6"/>
  <c r="D143" i="6"/>
  <c r="B143" i="6"/>
  <c r="D142" i="6"/>
  <c r="B142" i="6"/>
  <c r="D141" i="6"/>
  <c r="B141" i="6"/>
  <c r="D140" i="6"/>
  <c r="B140" i="6"/>
  <c r="D139" i="6"/>
  <c r="B139" i="6"/>
  <c r="C138" i="6"/>
  <c r="D138" i="6"/>
  <c r="B138" i="6"/>
  <c r="D137" i="6"/>
  <c r="B137" i="6"/>
  <c r="D136" i="6"/>
  <c r="B136" i="6"/>
  <c r="D135" i="6"/>
  <c r="B135" i="6"/>
  <c r="D134" i="6"/>
  <c r="B134" i="6"/>
  <c r="D133" i="6"/>
  <c r="B133" i="6"/>
  <c r="D132" i="6"/>
  <c r="B132" i="6"/>
  <c r="D131" i="6"/>
  <c r="B131" i="6"/>
  <c r="D130" i="6"/>
  <c r="B130" i="6"/>
  <c r="D129" i="6"/>
  <c r="B129" i="6"/>
  <c r="D128" i="6"/>
  <c r="B128" i="6"/>
  <c r="Y127" i="6"/>
  <c r="X127" i="6"/>
  <c r="W127" i="6"/>
  <c r="V127" i="6"/>
  <c r="U127" i="6"/>
  <c r="D127" i="6"/>
  <c r="B127" i="6"/>
  <c r="C126" i="6"/>
  <c r="D126" i="6"/>
  <c r="B126" i="6"/>
  <c r="D125" i="6"/>
  <c r="B125" i="6"/>
  <c r="D124" i="6"/>
  <c r="B124" i="6"/>
  <c r="D123" i="6"/>
  <c r="B123" i="6"/>
  <c r="C122" i="6"/>
  <c r="D122" i="6"/>
  <c r="B122" i="6"/>
  <c r="D121" i="6"/>
  <c r="B121" i="6"/>
  <c r="D120" i="6"/>
  <c r="B120" i="6"/>
  <c r="D119" i="6"/>
  <c r="B119" i="6"/>
  <c r="D118" i="6"/>
  <c r="B118" i="6"/>
  <c r="C117" i="6"/>
  <c r="D117" i="6"/>
  <c r="B117" i="6"/>
  <c r="D109" i="6"/>
  <c r="B109" i="6"/>
  <c r="D108" i="6"/>
  <c r="B108" i="6"/>
  <c r="D107" i="6"/>
  <c r="B107" i="6"/>
  <c r="D106" i="6"/>
  <c r="B106" i="6"/>
  <c r="D105" i="6"/>
  <c r="B105" i="6"/>
  <c r="C104" i="6"/>
  <c r="D104" i="6"/>
  <c r="B104" i="6"/>
  <c r="D103" i="6"/>
  <c r="B103" i="6"/>
  <c r="Y102" i="6"/>
  <c r="X102" i="6"/>
  <c r="W102" i="6"/>
  <c r="V102" i="6"/>
  <c r="U102" i="6"/>
  <c r="D102" i="6"/>
  <c r="B102" i="6"/>
  <c r="D101" i="6"/>
  <c r="B101" i="6"/>
  <c r="D100" i="6"/>
  <c r="B100" i="6"/>
  <c r="C99" i="6"/>
  <c r="D99" i="6"/>
  <c r="B99" i="6"/>
  <c r="D98" i="6"/>
  <c r="B98" i="6"/>
  <c r="D97" i="6"/>
  <c r="B97" i="6"/>
  <c r="D96" i="6"/>
  <c r="B96" i="6"/>
  <c r="D95" i="6"/>
  <c r="B95" i="6"/>
  <c r="D94" i="6"/>
  <c r="B94" i="6"/>
  <c r="D93" i="6"/>
  <c r="B93" i="6"/>
  <c r="D92" i="6"/>
  <c r="B92" i="6"/>
  <c r="D91" i="6"/>
  <c r="B91" i="6"/>
  <c r="D90" i="6"/>
  <c r="B90" i="6"/>
  <c r="D89" i="6"/>
  <c r="B89" i="6"/>
  <c r="C88" i="6"/>
  <c r="D88" i="6"/>
  <c r="B88" i="6"/>
  <c r="D87" i="6"/>
  <c r="B87" i="6"/>
  <c r="D86" i="6"/>
  <c r="B86" i="6"/>
  <c r="D85" i="6"/>
  <c r="B85" i="6"/>
  <c r="D84" i="6"/>
  <c r="B84" i="6"/>
  <c r="D83" i="6"/>
  <c r="B83" i="6"/>
  <c r="Y82" i="6"/>
  <c r="X82" i="6"/>
  <c r="W82" i="6"/>
  <c r="V82" i="6"/>
  <c r="U82" i="6"/>
  <c r="D82" i="6"/>
  <c r="B82" i="6"/>
  <c r="C81" i="6"/>
  <c r="D81" i="6"/>
  <c r="B81" i="6"/>
  <c r="D80" i="6"/>
  <c r="B80" i="6"/>
  <c r="D79" i="6"/>
  <c r="B79" i="6"/>
  <c r="D78" i="6"/>
  <c r="B78" i="6"/>
  <c r="Y77" i="6"/>
  <c r="X77" i="6"/>
  <c r="W77" i="6"/>
  <c r="V77" i="6"/>
  <c r="U77" i="6"/>
  <c r="D77" i="6"/>
  <c r="B77" i="6"/>
  <c r="C76" i="6"/>
  <c r="D76" i="6"/>
  <c r="B76" i="6"/>
  <c r="D75" i="6"/>
  <c r="B75" i="6"/>
  <c r="D74" i="6"/>
  <c r="B74" i="6"/>
  <c r="D73" i="6"/>
  <c r="B73" i="6"/>
  <c r="D72" i="6"/>
  <c r="B72" i="6"/>
  <c r="C71" i="6"/>
  <c r="D71" i="6"/>
  <c r="B71" i="6"/>
  <c r="D64" i="6"/>
  <c r="B64" i="6"/>
  <c r="D63" i="6"/>
  <c r="B63" i="6"/>
  <c r="D62" i="6"/>
  <c r="B62" i="6"/>
  <c r="D61" i="6"/>
  <c r="B61" i="6"/>
  <c r="D60" i="6"/>
  <c r="B60" i="6"/>
  <c r="D59" i="6"/>
  <c r="B59" i="6"/>
  <c r="D58" i="6"/>
  <c r="B58" i="6"/>
  <c r="D57" i="6"/>
  <c r="B57" i="6"/>
  <c r="C56" i="6"/>
  <c r="D56" i="6"/>
  <c r="B56" i="6"/>
  <c r="D55" i="6"/>
  <c r="B55" i="6"/>
  <c r="D54" i="6"/>
  <c r="B54" i="6"/>
  <c r="D53" i="6"/>
  <c r="B53" i="6"/>
  <c r="Y52" i="6"/>
  <c r="X52" i="6"/>
  <c r="W52" i="6"/>
  <c r="V52" i="6"/>
  <c r="U52" i="6"/>
  <c r="D52" i="6"/>
  <c r="B52" i="6"/>
  <c r="C51" i="6"/>
  <c r="D51" i="6"/>
  <c r="B51" i="6"/>
  <c r="D50" i="6"/>
  <c r="B50" i="6"/>
  <c r="D49" i="6"/>
  <c r="B49" i="6"/>
  <c r="D48" i="6"/>
  <c r="B48" i="6"/>
  <c r="D47" i="6"/>
  <c r="B47" i="6"/>
  <c r="D46" i="6"/>
  <c r="B46" i="6"/>
  <c r="C45" i="6"/>
  <c r="D45" i="6"/>
  <c r="B45" i="6"/>
  <c r="D44" i="6"/>
  <c r="B44" i="6"/>
  <c r="D43" i="6"/>
  <c r="B43" i="6"/>
  <c r="D42" i="6"/>
  <c r="B42" i="6"/>
  <c r="D41" i="6"/>
  <c r="B41" i="6"/>
  <c r="Y40" i="6"/>
  <c r="X40" i="6"/>
  <c r="W40" i="6"/>
  <c r="V40" i="6"/>
  <c r="U40" i="6"/>
  <c r="D40" i="6"/>
  <c r="B40" i="6"/>
  <c r="C39" i="6"/>
  <c r="D39" i="6"/>
  <c r="B39" i="6"/>
  <c r="D38" i="6"/>
  <c r="B38" i="6"/>
  <c r="D37" i="6"/>
  <c r="B37" i="6"/>
  <c r="D36" i="6"/>
  <c r="B36" i="6"/>
  <c r="D35" i="6"/>
  <c r="B35" i="6"/>
  <c r="D34" i="6"/>
  <c r="B34" i="6"/>
  <c r="D33" i="6"/>
  <c r="B33" i="6"/>
  <c r="D32" i="6"/>
  <c r="B32" i="6"/>
  <c r="D31" i="6"/>
  <c r="B31" i="6"/>
  <c r="D30" i="6"/>
  <c r="B30" i="6"/>
  <c r="Y29" i="6"/>
  <c r="X29" i="6"/>
  <c r="W29" i="6"/>
  <c r="V29" i="6"/>
  <c r="U29" i="6"/>
  <c r="B29" i="6"/>
  <c r="C28" i="6"/>
  <c r="D28" i="6"/>
  <c r="D20" i="6"/>
  <c r="B20" i="6"/>
  <c r="D19" i="6"/>
  <c r="B19" i="6"/>
  <c r="D18" i="6"/>
  <c r="B18" i="6"/>
  <c r="Y17" i="6"/>
  <c r="X17" i="6"/>
  <c r="W17" i="6"/>
  <c r="V17" i="6"/>
  <c r="U17" i="6"/>
  <c r="D17" i="6"/>
  <c r="B17" i="6"/>
  <c r="D16" i="6"/>
  <c r="C15" i="6"/>
  <c r="D15" i="6"/>
  <c r="D10" i="6"/>
  <c r="B10" i="6"/>
  <c r="D9" i="6"/>
  <c r="B9" i="6"/>
  <c r="D8" i="6"/>
  <c r="B8" i="6"/>
  <c r="C7" i="6"/>
  <c r="D7" i="6"/>
  <c r="B7" i="6"/>
  <c r="BX140" i="2"/>
  <c r="BW140" i="2"/>
  <c r="BV140" i="2"/>
  <c r="BU140" i="2"/>
  <c r="BT140" i="2"/>
  <c r="BS140" i="2"/>
  <c r="BW139" i="2"/>
  <c r="BV139" i="2"/>
  <c r="BU139" i="2"/>
  <c r="BT139" i="2"/>
  <c r="BS139" i="2"/>
  <c r="BX138" i="2"/>
  <c r="BW138" i="2"/>
  <c r="BV138" i="2"/>
  <c r="BU138" i="2"/>
  <c r="BT138" i="2"/>
  <c r="BS138" i="2"/>
  <c r="BX137" i="2"/>
  <c r="BW137" i="2"/>
  <c r="BV137" i="2"/>
  <c r="BU137" i="2"/>
  <c r="BT137" i="2"/>
  <c r="BS137" i="2"/>
  <c r="BX136" i="2"/>
  <c r="BW136" i="2"/>
  <c r="BV136" i="2"/>
  <c r="BU136" i="2"/>
  <c r="BT136" i="2"/>
  <c r="BS136" i="2"/>
  <c r="BX135" i="2"/>
  <c r="BW135" i="2"/>
  <c r="BV135" i="2"/>
  <c r="BU135" i="2"/>
  <c r="BT135" i="2"/>
  <c r="BS135" i="2"/>
  <c r="BX134" i="2"/>
  <c r="BW134" i="2"/>
  <c r="BV134" i="2"/>
  <c r="BU134" i="2"/>
  <c r="BT134" i="2"/>
  <c r="BS134" i="2"/>
  <c r="BX133" i="2"/>
  <c r="BW133" i="2"/>
  <c r="BV133" i="2"/>
  <c r="BU133" i="2"/>
  <c r="BT133" i="2"/>
  <c r="BS133" i="2"/>
  <c r="BX132" i="2"/>
  <c r="BW132" i="2"/>
  <c r="BV132" i="2"/>
  <c r="BU132" i="2"/>
  <c r="BT132" i="2"/>
  <c r="BS132" i="2"/>
  <c r="AO81" i="2"/>
  <c r="AN81" i="2"/>
  <c r="AM81" i="2"/>
  <c r="AL81" i="2"/>
  <c r="AK81" i="2"/>
  <c r="AO80" i="2"/>
  <c r="AN80" i="2"/>
  <c r="AM80" i="2"/>
  <c r="AL80" i="2"/>
  <c r="AK80" i="2"/>
  <c r="AO79" i="2"/>
  <c r="AN79" i="2"/>
  <c r="AM79" i="2"/>
  <c r="AL79" i="2"/>
  <c r="AK79" i="2"/>
  <c r="AO78" i="2"/>
  <c r="AN78" i="2"/>
  <c r="AM78" i="2"/>
  <c r="AL78" i="2"/>
  <c r="AK78" i="2"/>
  <c r="AO77" i="2"/>
  <c r="AN77" i="2"/>
  <c r="AM77" i="2"/>
  <c r="AL77" i="2"/>
  <c r="AK77" i="2"/>
  <c r="AO76" i="2"/>
  <c r="AN76" i="2"/>
  <c r="AM76" i="2"/>
  <c r="AL76" i="2"/>
  <c r="AK76" i="2"/>
  <c r="AI76" i="2"/>
  <c r="AT75" i="2"/>
  <c r="AO75" i="2"/>
  <c r="AN75" i="2"/>
  <c r="AM75" i="2"/>
  <c r="AL75" i="2"/>
  <c r="AK75" i="2"/>
  <c r="AT74" i="2"/>
  <c r="AO74" i="2"/>
  <c r="AN74" i="2"/>
  <c r="AM74" i="2"/>
  <c r="AL74" i="2"/>
  <c r="AK74" i="2"/>
  <c r="AT73" i="2"/>
  <c r="AO73" i="2"/>
  <c r="AN73" i="2"/>
  <c r="AM73" i="2"/>
  <c r="AL73" i="2"/>
  <c r="AK73" i="2"/>
  <c r="AT72" i="2"/>
  <c r="AO72" i="2"/>
  <c r="AN72" i="2"/>
  <c r="AM72" i="2"/>
  <c r="AL72" i="2"/>
  <c r="AK72" i="2"/>
  <c r="AT71" i="2"/>
  <c r="AO71" i="2"/>
  <c r="AN71" i="2"/>
  <c r="AM71" i="2"/>
  <c r="AL71" i="2"/>
  <c r="AK71" i="2"/>
  <c r="AT70" i="2"/>
  <c r="AO70" i="2"/>
  <c r="AN70" i="2"/>
  <c r="AM70" i="2"/>
  <c r="AL70" i="2"/>
  <c r="AK70" i="2"/>
  <c r="AT69" i="2"/>
  <c r="AO69" i="2"/>
  <c r="AN69" i="2"/>
  <c r="AM69" i="2"/>
  <c r="AL69" i="2"/>
  <c r="AK69" i="2"/>
  <c r="AT68" i="2"/>
  <c r="AO68" i="2"/>
  <c r="AN68" i="2"/>
  <c r="AM68" i="2"/>
  <c r="AL68" i="2"/>
  <c r="AK68" i="2"/>
  <c r="AT67" i="2"/>
  <c r="AO67" i="2"/>
  <c r="AN67" i="2"/>
  <c r="AM67" i="2"/>
  <c r="AL67" i="2"/>
  <c r="AK67" i="2"/>
  <c r="AT66" i="2"/>
  <c r="AO66" i="2"/>
  <c r="AM66" i="2"/>
  <c r="AL66" i="2"/>
  <c r="AI65" i="2"/>
  <c r="CE61" i="2"/>
  <c r="CD61" i="2"/>
  <c r="CC61" i="2"/>
  <c r="CB61" i="2"/>
  <c r="CA61" i="2"/>
  <c r="BZ61" i="2"/>
  <c r="BV61" i="2"/>
  <c r="BH61" i="2"/>
  <c r="BG61" i="2"/>
  <c r="BF61" i="2"/>
  <c r="BE61" i="2"/>
  <c r="BD61" i="2"/>
  <c r="CE60" i="2"/>
  <c r="CD60" i="2"/>
  <c r="CC60" i="2"/>
  <c r="CB60" i="2"/>
  <c r="CA60" i="2"/>
  <c r="BZ60" i="2"/>
  <c r="BV60" i="2"/>
  <c r="CP60" i="2"/>
  <c r="CO60" i="2"/>
  <c r="BH60" i="2"/>
  <c r="BG60" i="2"/>
  <c r="BF60" i="2"/>
  <c r="BE60" i="2"/>
  <c r="BD60" i="2"/>
  <c r="CE59" i="2"/>
  <c r="CD59" i="2"/>
  <c r="CC59" i="2"/>
  <c r="CB59" i="2"/>
  <c r="CA59" i="2"/>
  <c r="BZ59" i="2"/>
  <c r="BV59" i="2"/>
  <c r="CX59" i="2" s="1"/>
  <c r="CP59" i="2"/>
  <c r="BH59" i="2"/>
  <c r="BG59" i="2"/>
  <c r="BF59" i="2"/>
  <c r="BE59" i="2"/>
  <c r="BD59" i="2"/>
  <c r="CE58" i="2"/>
  <c r="CD58" i="2"/>
  <c r="CC58" i="2"/>
  <c r="CB58" i="2"/>
  <c r="CA58" i="2"/>
  <c r="BZ58" i="2"/>
  <c r="BV58" i="2"/>
  <c r="CX58" i="2" s="1"/>
  <c r="CP58" i="2"/>
  <c r="CO58" i="2"/>
  <c r="BS58" i="2"/>
  <c r="CU58" i="2" s="1"/>
  <c r="BH58" i="2"/>
  <c r="BG58" i="2"/>
  <c r="BF58" i="2"/>
  <c r="BE58" i="2"/>
  <c r="BD58" i="2"/>
  <c r="CE57" i="2"/>
  <c r="CD57" i="2"/>
  <c r="CC57" i="2"/>
  <c r="CB57" i="2"/>
  <c r="CA57" i="2"/>
  <c r="BZ57" i="2"/>
  <c r="BV57" i="2"/>
  <c r="CX57" i="2" s="1"/>
  <c r="CP57" i="2"/>
  <c r="BH57" i="2"/>
  <c r="BG57" i="2"/>
  <c r="BF57" i="2"/>
  <c r="BE57" i="2"/>
  <c r="BD57" i="2"/>
  <c r="CE56" i="2"/>
  <c r="CD56" i="2"/>
  <c r="CC56" i="2"/>
  <c r="CB56" i="2"/>
  <c r="CA56" i="2"/>
  <c r="BZ56" i="2"/>
  <c r="BV56" i="2"/>
  <c r="CX56" i="2" s="1"/>
  <c r="CP56" i="2"/>
  <c r="BH56" i="2"/>
  <c r="BG56" i="2"/>
  <c r="BF56" i="2"/>
  <c r="BE56" i="2"/>
  <c r="BD56" i="2"/>
  <c r="CE55" i="2"/>
  <c r="CD55" i="2"/>
  <c r="CC55" i="2"/>
  <c r="CB55" i="2"/>
  <c r="CA55" i="2"/>
  <c r="BZ55" i="2"/>
  <c r="BV55" i="2"/>
  <c r="CX55" i="2" s="1"/>
  <c r="CP55" i="2"/>
  <c r="BH55" i="2"/>
  <c r="BG55" i="2"/>
  <c r="BF55" i="2"/>
  <c r="BE55" i="2"/>
  <c r="BD55" i="2"/>
  <c r="CE54" i="2"/>
  <c r="CD54" i="2"/>
  <c r="CC54" i="2"/>
  <c r="CB54" i="2"/>
  <c r="CA54" i="2"/>
  <c r="BZ54" i="2"/>
  <c r="BV54" i="2"/>
  <c r="CX54" i="2" s="1"/>
  <c r="CP54" i="2"/>
  <c r="CO54" i="2"/>
  <c r="BS54" i="2"/>
  <c r="CU54" i="2" s="1"/>
  <c r="BH54" i="2"/>
  <c r="BG54" i="2"/>
  <c r="BF54" i="2"/>
  <c r="BE54" i="2"/>
  <c r="BD54" i="2"/>
  <c r="CE53" i="2"/>
  <c r="CD53" i="2"/>
  <c r="CC53" i="2"/>
  <c r="CB53" i="2"/>
  <c r="CA53" i="2"/>
  <c r="BZ53" i="2"/>
  <c r="BV53" i="2"/>
  <c r="CX53" i="2" s="1"/>
  <c r="CP53" i="2"/>
  <c r="BH53" i="2"/>
  <c r="BG53" i="2"/>
  <c r="BF53" i="2"/>
  <c r="BE53" i="2"/>
  <c r="BD53" i="2"/>
  <c r="CE52" i="2"/>
  <c r="CD52" i="2"/>
  <c r="CC52" i="2"/>
  <c r="CB52" i="2"/>
  <c r="CA52" i="2"/>
  <c r="BZ52" i="2"/>
  <c r="BV52" i="2"/>
  <c r="CX52" i="2" s="1"/>
  <c r="CP52" i="2"/>
  <c r="CO52" i="2"/>
  <c r="BS52" i="2"/>
  <c r="CU52" i="2" s="1"/>
  <c r="BH52" i="2"/>
  <c r="BG52" i="2"/>
  <c r="BF52" i="2"/>
  <c r="BE52" i="2"/>
  <c r="BD52" i="2"/>
  <c r="CE51" i="2"/>
  <c r="CD51" i="2"/>
  <c r="CC51" i="2"/>
  <c r="CB51" i="2"/>
  <c r="CA51" i="2"/>
  <c r="BZ51" i="2"/>
  <c r="BV51" i="2"/>
  <c r="CX51" i="2" s="1"/>
  <c r="CP51" i="2"/>
  <c r="BH51" i="2"/>
  <c r="BG51" i="2"/>
  <c r="BF51" i="2"/>
  <c r="BE51" i="2"/>
  <c r="BD51" i="2"/>
  <c r="CE50" i="2"/>
  <c r="CD50" i="2"/>
  <c r="CC50" i="2"/>
  <c r="CB50" i="2"/>
  <c r="CA50" i="2"/>
  <c r="BZ50" i="2"/>
  <c r="CP50" i="2"/>
  <c r="BS50" i="2"/>
  <c r="CG50" i="2" s="1"/>
  <c r="BH50" i="2"/>
  <c r="BG50" i="2"/>
  <c r="BF50" i="2"/>
  <c r="BE50" i="2"/>
  <c r="BD50" i="2"/>
  <c r="CE49" i="2"/>
  <c r="CD49" i="2"/>
  <c r="CC49" i="2"/>
  <c r="CB49" i="2"/>
  <c r="CA49" i="2"/>
  <c r="BZ49" i="2"/>
  <c r="BV49" i="2"/>
  <c r="CX49" i="2" s="1"/>
  <c r="CP49" i="2"/>
  <c r="BH49" i="2"/>
  <c r="BG49" i="2"/>
  <c r="BF49" i="2"/>
  <c r="BE49" i="2"/>
  <c r="BD49" i="2"/>
  <c r="CE48" i="2"/>
  <c r="CD48" i="2"/>
  <c r="CC48" i="2"/>
  <c r="CB48" i="2"/>
  <c r="CB2" i="2" s="1"/>
  <c r="CA48" i="2"/>
  <c r="CA2" i="2" s="1"/>
  <c r="BZ48" i="2"/>
  <c r="BV48" i="2"/>
  <c r="CX48" i="2" s="1"/>
  <c r="CP48" i="2"/>
  <c r="CO48" i="2"/>
  <c r="BS48" i="2"/>
  <c r="CG48" i="2" s="1"/>
  <c r="BH48" i="2"/>
  <c r="BG48" i="2"/>
  <c r="BF48" i="2"/>
  <c r="BE48" i="2"/>
  <c r="BD48" i="2"/>
  <c r="CE47" i="2"/>
  <c r="CD47" i="2"/>
  <c r="CC47" i="2"/>
  <c r="CB47" i="2"/>
  <c r="CA47" i="2"/>
  <c r="BZ47" i="2"/>
  <c r="BV47" i="2"/>
  <c r="CX47" i="2" s="1"/>
  <c r="CP47" i="2"/>
  <c r="BH47" i="2"/>
  <c r="BG47" i="2"/>
  <c r="BF47" i="2"/>
  <c r="BE47" i="2"/>
  <c r="BD47" i="2"/>
  <c r="CE46" i="2"/>
  <c r="CD46" i="2"/>
  <c r="CC46" i="2"/>
  <c r="CB46" i="2"/>
  <c r="CA46" i="2"/>
  <c r="BZ46" i="2"/>
  <c r="CP46" i="2"/>
  <c r="BH46" i="2"/>
  <c r="BG46" i="2"/>
  <c r="BF46" i="2"/>
  <c r="BE46" i="2"/>
  <c r="AK26" i="2"/>
  <c r="AN26" i="2" s="1"/>
  <c r="AK25" i="2"/>
  <c r="AN25" i="2" s="1"/>
  <c r="AB25" i="2"/>
  <c r="AB24" i="2"/>
  <c r="AK23" i="2"/>
  <c r="AN23" i="2" s="1"/>
  <c r="AB23" i="2"/>
  <c r="AN22" i="2"/>
  <c r="BE17" i="2"/>
  <c r="BD17" i="2"/>
  <c r="BA17" i="2"/>
  <c r="AZ17" i="2"/>
  <c r="AY17" i="2"/>
  <c r="G17" i="2"/>
  <c r="BE16" i="2"/>
  <c r="BD16" i="2"/>
  <c r="BA16" i="2"/>
  <c r="AZ16" i="2"/>
  <c r="AY16" i="2"/>
  <c r="G16" i="2"/>
  <c r="BE15" i="2"/>
  <c r="BD15" i="2"/>
  <c r="BA15" i="2"/>
  <c r="AZ15" i="2"/>
  <c r="AY15" i="2"/>
  <c r="AX15" i="2"/>
  <c r="G15" i="2"/>
  <c r="BE14" i="2"/>
  <c r="BD14" i="2"/>
  <c r="BA14" i="2"/>
  <c r="AZ14" i="2"/>
  <c r="AY14" i="2"/>
  <c r="AX14" i="2"/>
  <c r="G14" i="2"/>
  <c r="BE13" i="2"/>
  <c r="BD13" i="2"/>
  <c r="BA13" i="2"/>
  <c r="AZ13" i="2"/>
  <c r="AY13" i="2"/>
  <c r="AX13" i="2"/>
  <c r="G13" i="2"/>
  <c r="BE12" i="2"/>
  <c r="BD12" i="2"/>
  <c r="BA12" i="2"/>
  <c r="AZ12" i="2"/>
  <c r="AY12" i="2"/>
  <c r="AX12" i="2"/>
  <c r="G12" i="2"/>
  <c r="BE11" i="2"/>
  <c r="BD11" i="2"/>
  <c r="BA11" i="2"/>
  <c r="AZ11" i="2"/>
  <c r="AY11" i="2"/>
  <c r="AX11" i="2"/>
  <c r="G11" i="2"/>
  <c r="BE10" i="2"/>
  <c r="BD10" i="2"/>
  <c r="BA10" i="2"/>
  <c r="AZ10" i="2"/>
  <c r="AY10" i="2"/>
  <c r="AX10" i="2"/>
  <c r="G10" i="2"/>
  <c r="BE9" i="2"/>
  <c r="BD9" i="2"/>
  <c r="BA9" i="2"/>
  <c r="AZ9" i="2"/>
  <c r="AY9" i="2"/>
  <c r="AX9" i="2"/>
  <c r="G9" i="2"/>
  <c r="BE8" i="2"/>
  <c r="BD8" i="2"/>
  <c r="BA8" i="2"/>
  <c r="AZ8" i="2"/>
  <c r="AY8" i="2"/>
  <c r="AX8" i="2"/>
  <c r="G8" i="2"/>
  <c r="BE7" i="2"/>
  <c r="BD7" i="2"/>
  <c r="BA7" i="2"/>
  <c r="AZ7" i="2"/>
  <c r="AY7" i="2"/>
  <c r="AX7" i="2"/>
  <c r="G7" i="2"/>
  <c r="BE6" i="2"/>
  <c r="BD6" i="2"/>
  <c r="BA6" i="2"/>
  <c r="AZ6" i="2"/>
  <c r="AY6" i="2"/>
  <c r="AX6" i="2"/>
  <c r="G6" i="2"/>
  <c r="BE5" i="2"/>
  <c r="BD5" i="2"/>
  <c r="BA5" i="2"/>
  <c r="AZ5" i="2"/>
  <c r="AY5" i="2"/>
  <c r="AX5" i="2"/>
  <c r="G5" i="2"/>
  <c r="BE4" i="2"/>
  <c r="BD4" i="2"/>
  <c r="BA4" i="2"/>
  <c r="AZ4" i="2"/>
  <c r="AY4" i="2"/>
  <c r="AX4" i="2"/>
  <c r="G4" i="2"/>
  <c r="BE3" i="2"/>
  <c r="BD3" i="2"/>
  <c r="BA3" i="2"/>
  <c r="AZ3" i="2"/>
  <c r="AY3" i="2"/>
  <c r="AX3" i="2"/>
  <c r="G3" i="2"/>
  <c r="BE2" i="2"/>
  <c r="BD2" i="2"/>
  <c r="BA2" i="2"/>
  <c r="AZ2" i="2"/>
  <c r="AY2" i="2"/>
  <c r="G2" i="2"/>
  <c r="J29" i="6"/>
  <c r="J17" i="6"/>
  <c r="J82" i="6"/>
  <c r="BZ2" i="2"/>
  <c r="J102" i="6"/>
  <c r="J40" i="6"/>
  <c r="J77" i="6"/>
  <c r="CN60" i="2"/>
  <c r="J127" i="6"/>
  <c r="J157" i="6"/>
  <c r="J52" i="6"/>
  <c r="CN52" i="2"/>
  <c r="CN48" i="2"/>
  <c r="CQ61" i="2"/>
  <c r="CQ57" i="2"/>
  <c r="CQ53" i="2"/>
  <c r="CQ49" i="2"/>
  <c r="CQ60" i="2"/>
  <c r="CQ52" i="2"/>
  <c r="CQ59" i="2"/>
  <c r="CN58" i="2"/>
  <c r="CQ55" i="2"/>
  <c r="CN54" i="2"/>
  <c r="CQ51" i="2"/>
  <c r="CQ47" i="2"/>
  <c r="CQ56" i="2"/>
  <c r="CQ48" i="2"/>
  <c r="CQ58" i="2"/>
  <c r="CQ54" i="2"/>
  <c r="CQ50" i="2"/>
  <c r="BT48" i="2"/>
  <c r="CH48" i="2" s="1"/>
  <c r="BT58" i="2"/>
  <c r="CH58" i="2" s="1"/>
  <c r="BT52" i="2"/>
  <c r="CH52" i="2" s="1"/>
  <c r="BT54" i="2"/>
  <c r="CV54" i="2" s="1"/>
  <c r="BT55" i="2"/>
  <c r="CV55" i="2" s="1"/>
  <c r="BT60" i="2"/>
  <c r="CH60" i="2" s="1"/>
  <c r="AC68" i="2"/>
  <c r="BW46" i="2"/>
  <c r="CK46" i="2" s="1"/>
  <c r="BW51" i="2"/>
  <c r="BX52" i="2"/>
  <c r="CL52" i="2" s="1"/>
  <c r="BW55" i="2"/>
  <c r="CK55" i="2" s="1"/>
  <c r="BX56" i="2"/>
  <c r="CL56" i="2" s="1"/>
  <c r="BW58" i="2"/>
  <c r="CY58" i="2" s="1"/>
  <c r="BW61" i="2"/>
  <c r="BX46" i="2"/>
  <c r="CL46" i="2" s="1"/>
  <c r="BW48" i="2"/>
  <c r="CY48" i="2" s="1"/>
  <c r="BX49" i="2"/>
  <c r="BX51" i="2"/>
  <c r="CZ51" i="2" s="1"/>
  <c r="BW54" i="2"/>
  <c r="CY54" i="2" s="1"/>
  <c r="BX55" i="2"/>
  <c r="BX58" i="2"/>
  <c r="CZ58" i="2" s="1"/>
  <c r="BW59" i="2"/>
  <c r="CY59" i="2" s="1"/>
  <c r="BW49" i="2"/>
  <c r="CY49" i="2" s="1"/>
  <c r="BW47" i="2"/>
  <c r="CK47" i="2" s="1"/>
  <c r="BX48" i="2"/>
  <c r="CL48" i="2" s="1"/>
  <c r="BW50" i="2"/>
  <c r="CY50" i="2" s="1"/>
  <c r="BW53" i="2"/>
  <c r="CY53" i="2" s="1"/>
  <c r="BX54" i="2"/>
  <c r="CZ54" i="2" s="1"/>
  <c r="BW57" i="2"/>
  <c r="CY57" i="2" s="1"/>
  <c r="BX59" i="2"/>
  <c r="CL59" i="2" s="1"/>
  <c r="BW60" i="2"/>
  <c r="CY60" i="2" s="1"/>
  <c r="BX47" i="2"/>
  <c r="BX50" i="2"/>
  <c r="CL50" i="2" s="1"/>
  <c r="BW52" i="2"/>
  <c r="CY52" i="2" s="1"/>
  <c r="BX53" i="2"/>
  <c r="CL53" i="2" s="1"/>
  <c r="BW56" i="2"/>
  <c r="CY56" i="2" s="1"/>
  <c r="BX57" i="2"/>
  <c r="CZ57" i="2" s="1"/>
  <c r="BX60" i="2"/>
  <c r="CL60" i="2" s="1"/>
  <c r="AG68" i="2"/>
  <c r="AF68" i="2"/>
  <c r="AD72" i="2"/>
  <c r="AG78" i="2"/>
  <c r="AE72" i="2"/>
  <c r="BU47" i="2"/>
  <c r="CI47" i="2" s="1"/>
  <c r="BU48" i="2"/>
  <c r="BU49" i="2"/>
  <c r="CW49" i="2" s="1"/>
  <c r="BU50" i="2"/>
  <c r="CI50" i="2" s="1"/>
  <c r="BU51" i="2"/>
  <c r="CI51" i="2" s="1"/>
  <c r="BU52" i="2"/>
  <c r="CW52" i="2" s="1"/>
  <c r="BU53" i="2"/>
  <c r="CW53" i="2" s="1"/>
  <c r="AF74" i="2"/>
  <c r="AE74" i="2"/>
  <c r="BU54" i="2"/>
  <c r="CW54" i="2" s="1"/>
  <c r="BU55" i="2"/>
  <c r="CI55" i="2" s="1"/>
  <c r="BU56" i="2"/>
  <c r="CI56" i="2" s="1"/>
  <c r="BU57" i="2"/>
  <c r="CW57" i="2" s="1"/>
  <c r="AF78" i="2"/>
  <c r="AE78" i="2"/>
  <c r="AD78" i="2"/>
  <c r="BU58" i="2"/>
  <c r="BU59" i="2"/>
  <c r="CI59" i="2" s="1"/>
  <c r="BU60" i="2"/>
  <c r="CW60" i="2" s="1"/>
  <c r="AD68" i="2"/>
  <c r="AF72" i="2"/>
  <c r="AC74" i="2"/>
  <c r="AE68" i="2"/>
  <c r="AC72" i="2"/>
  <c r="AG72" i="2"/>
  <c r="AD74" i="2"/>
  <c r="AG74" i="2"/>
  <c r="AC78" i="2"/>
  <c r="AF80" i="2"/>
  <c r="AD80" i="2"/>
  <c r="AE80" i="2"/>
  <c r="AC80" i="2"/>
  <c r="AG80" i="2"/>
  <c r="CZ61" i="2"/>
  <c r="CV60" i="2"/>
  <c r="AX2" i="2"/>
  <c r="BV46" i="2"/>
  <c r="CX46" i="2" s="1"/>
  <c r="BU61" i="2"/>
  <c r="CW61" i="2" s="1"/>
  <c r="BV50" i="2"/>
  <c r="CX50" i="2" s="1"/>
  <c r="BS60" i="2"/>
  <c r="CG60" i="2" s="1"/>
  <c r="AX17" i="2"/>
  <c r="AX16" i="2"/>
  <c r="BU46" i="2"/>
  <c r="CI46" i="2" s="1"/>
  <c r="BF11" i="2"/>
  <c r="BF3" i="2"/>
  <c r="BT47" i="2"/>
  <c r="CH47" i="2" s="1"/>
  <c r="BF10" i="2"/>
  <c r="BF8" i="2"/>
  <c r="BF4" i="2"/>
  <c r="BF13" i="2"/>
  <c r="BF6" i="2"/>
  <c r="BF15" i="2"/>
  <c r="BF5" i="2"/>
  <c r="AV49" i="2"/>
  <c r="BF9" i="2"/>
  <c r="BF14" i="2"/>
  <c r="BF7" i="2"/>
  <c r="AV57" i="2"/>
  <c r="BF16" i="2"/>
  <c r="BF17" i="2"/>
  <c r="AV59" i="2"/>
  <c r="AV56" i="2"/>
  <c r="AV61" i="2"/>
  <c r="AV58" i="2"/>
  <c r="BF2" i="2"/>
  <c r="AV60" i="2"/>
  <c r="AV46" i="2"/>
  <c r="AD76" i="2" l="1"/>
  <c r="AC70" i="2"/>
  <c r="AE76" i="2"/>
  <c r="AV36" i="2"/>
  <c r="CJ49" i="17"/>
  <c r="AD78" i="17"/>
  <c r="AE79" i="17"/>
  <c r="AC78" i="17"/>
  <c r="AG72" i="17"/>
  <c r="BS58" i="17"/>
  <c r="CU58" i="17" s="1"/>
  <c r="AF78" i="17"/>
  <c r="AG79" i="17"/>
  <c r="CI46" i="17"/>
  <c r="AC72" i="17"/>
  <c r="BT53" i="17"/>
  <c r="CH53" i="17" s="1"/>
  <c r="BT47" i="17"/>
  <c r="CV47" i="17" s="1"/>
  <c r="CJ61" i="17"/>
  <c r="CJ54" i="17"/>
  <c r="BT52" i="17"/>
  <c r="CH52" i="17" s="1"/>
  <c r="CH55" i="17"/>
  <c r="CJ48" i="17"/>
  <c r="AD72" i="17"/>
  <c r="AD73" i="17"/>
  <c r="CZ49" i="17"/>
  <c r="AE72" i="17"/>
  <c r="AF73" i="17"/>
  <c r="AG67" i="17"/>
  <c r="CZ48" i="17"/>
  <c r="AF72" i="17"/>
  <c r="AC67" i="17"/>
  <c r="AC73" i="17"/>
  <c r="AD67" i="17"/>
  <c r="CJ53" i="17"/>
  <c r="AC79" i="17"/>
  <c r="AG73" i="17"/>
  <c r="CM47" i="17"/>
  <c r="BT59" i="17"/>
  <c r="CJ47" i="17"/>
  <c r="AD79" i="17"/>
  <c r="AE67" i="17"/>
  <c r="AE73" i="17"/>
  <c r="CI59" i="17"/>
  <c r="CL46" i="17"/>
  <c r="CK60" i="17"/>
  <c r="CK46" i="17"/>
  <c r="CU56" i="17"/>
  <c r="CW57" i="17"/>
  <c r="CZ47" i="17"/>
  <c r="CZ52" i="17"/>
  <c r="CH58" i="17"/>
  <c r="CI58" i="17"/>
  <c r="CJ51" i="17"/>
  <c r="CK51" i="17"/>
  <c r="CH49" i="17"/>
  <c r="CI50" i="17"/>
  <c r="AD68" i="17"/>
  <c r="CN54" i="17"/>
  <c r="AG74" i="17"/>
  <c r="CI55" i="17"/>
  <c r="AC74" i="17"/>
  <c r="CK50" i="17"/>
  <c r="AD74" i="17"/>
  <c r="CM56" i="17"/>
  <c r="AE74" i="17"/>
  <c r="AE68" i="17"/>
  <c r="BT48" i="17"/>
  <c r="CH48" i="17" s="1"/>
  <c r="CM48" i="17"/>
  <c r="CJ57" i="17"/>
  <c r="CJ50" i="17"/>
  <c r="CZ51" i="17"/>
  <c r="AD73" i="2"/>
  <c r="AD79" i="2"/>
  <c r="AG73" i="2"/>
  <c r="AC67" i="2"/>
  <c r="AD67" i="2"/>
  <c r="CO59" i="2"/>
  <c r="CO53" i="2"/>
  <c r="AG79" i="2"/>
  <c r="CJ47" i="2"/>
  <c r="BT61" i="2"/>
  <c r="CV61" i="2" s="1"/>
  <c r="BT57" i="2"/>
  <c r="CH57" i="2" s="1"/>
  <c r="BT49" i="2"/>
  <c r="CV49" i="2" s="1"/>
  <c r="AD71" i="2"/>
  <c r="AE81" i="2"/>
  <c r="CO51" i="2"/>
  <c r="AE79" i="2"/>
  <c r="AF73" i="2"/>
  <c r="CN53" i="2"/>
  <c r="AC81" i="2"/>
  <c r="AE73" i="2"/>
  <c r="AF75" i="2"/>
  <c r="BS55" i="2"/>
  <c r="CU55" i="2" s="1"/>
  <c r="AE69" i="2"/>
  <c r="BS47" i="2"/>
  <c r="CU47" i="2" s="1"/>
  <c r="AF67" i="2"/>
  <c r="AC73" i="2"/>
  <c r="BS59" i="2"/>
  <c r="CU59" i="2" s="1"/>
  <c r="AF81" i="2"/>
  <c r="AF79" i="2"/>
  <c r="AD81" i="2"/>
  <c r="AC79" i="2"/>
  <c r="AE67" i="2"/>
  <c r="CN59" i="2"/>
  <c r="AG67" i="2"/>
  <c r="CN61" i="2"/>
  <c r="AG71" i="2"/>
  <c r="AF77" i="2"/>
  <c r="AC77" i="2"/>
  <c r="AC71" i="2"/>
  <c r="AE71" i="2"/>
  <c r="CN57" i="2"/>
  <c r="AG77" i="2"/>
  <c r="BS51" i="2"/>
  <c r="CN51" i="2"/>
  <c r="AE77" i="2"/>
  <c r="AD77" i="2"/>
  <c r="AF71" i="2"/>
  <c r="CZ53" i="2"/>
  <c r="CI53" i="2"/>
  <c r="CI57" i="2"/>
  <c r="CW51" i="2"/>
  <c r="CW56" i="2"/>
  <c r="CZ48" i="2"/>
  <c r="CJ59" i="2"/>
  <c r="CK60" i="2"/>
  <c r="CJ50" i="2"/>
  <c r="CW47" i="2"/>
  <c r="CG52" i="2"/>
  <c r="CZ60" i="2"/>
  <c r="R11" i="1"/>
  <c r="R9" i="1"/>
  <c r="R13" i="1" s="1"/>
  <c r="CK53" i="2"/>
  <c r="R12" i="1"/>
  <c r="CK59" i="2"/>
  <c r="CK56" i="2"/>
  <c r="CI60" i="2"/>
  <c r="CK48" i="2"/>
  <c r="CK50" i="2"/>
  <c r="CV50" i="2"/>
  <c r="CH50" i="2"/>
  <c r="CV46" i="2"/>
  <c r="CH46" i="2"/>
  <c r="B73" i="2"/>
  <c r="AV37" i="2"/>
  <c r="Q37" i="2" s="1"/>
  <c r="AG66" i="2"/>
  <c r="CV47" i="2"/>
  <c r="CG58" i="2"/>
  <c r="AG70" i="2"/>
  <c r="AE75" i="2"/>
  <c r="CL54" i="2"/>
  <c r="CO50" i="2"/>
  <c r="AD69" i="2"/>
  <c r="AG69" i="2"/>
  <c r="CO46" i="2"/>
  <c r="CW46" i="2"/>
  <c r="AG81" i="2"/>
  <c r="AC69" i="2"/>
  <c r="BT56" i="2"/>
  <c r="CN50" i="2"/>
  <c r="AD66" i="2"/>
  <c r="BS61" i="2"/>
  <c r="CJ54" i="2"/>
  <c r="AF69" i="2"/>
  <c r="BS56" i="2"/>
  <c r="B72" i="2"/>
  <c r="BS49" i="2"/>
  <c r="AF76" i="2"/>
  <c r="AG75" i="2"/>
  <c r="CN56" i="2"/>
  <c r="CW55" i="2"/>
  <c r="AC75" i="2"/>
  <c r="AF66" i="2"/>
  <c r="AE66" i="2"/>
  <c r="CJ57" i="2"/>
  <c r="CY55" i="2"/>
  <c r="AF70" i="2"/>
  <c r="AG76" i="2"/>
  <c r="AC66" i="2"/>
  <c r="CV48" i="2"/>
  <c r="CN46" i="2"/>
  <c r="CU60" i="2"/>
  <c r="AD75" i="2"/>
  <c r="AC76" i="2"/>
  <c r="CJ49" i="2"/>
  <c r="AE70" i="2"/>
  <c r="CZ47" i="2"/>
  <c r="AD70" i="2"/>
  <c r="CZ55" i="2"/>
  <c r="CH51" i="2"/>
  <c r="CV51" i="2"/>
  <c r="CG46" i="2"/>
  <c r="CU46" i="2"/>
  <c r="CJ46" i="2"/>
  <c r="CI58" i="2"/>
  <c r="CW58" i="2"/>
  <c r="CH59" i="2"/>
  <c r="CV59" i="2"/>
  <c r="CW50" i="2"/>
  <c r="CK49" i="2"/>
  <c r="CX60" i="2"/>
  <c r="CJ60" i="2"/>
  <c r="CJ61" i="2"/>
  <c r="CX61" i="2"/>
  <c r="CU53" i="2"/>
  <c r="CG53" i="2"/>
  <c r="CY51" i="2"/>
  <c r="CK51" i="2"/>
  <c r="BO2" i="2"/>
  <c r="BO1" i="2"/>
  <c r="CL49" i="2"/>
  <c r="CZ49" i="2"/>
  <c r="CK61" i="2"/>
  <c r="CY61" i="2"/>
  <c r="CH53" i="2"/>
  <c r="CV53" i="2"/>
  <c r="CG57" i="2"/>
  <c r="CJ56" i="2"/>
  <c r="CJ51" i="2"/>
  <c r="CV61" i="17"/>
  <c r="CH61" i="17"/>
  <c r="CM51" i="17"/>
  <c r="CM54" i="17"/>
  <c r="CM57" i="17"/>
  <c r="CH46" i="17"/>
  <c r="CV46" i="17"/>
  <c r="AD70" i="17"/>
  <c r="CM50" i="17"/>
  <c r="CW51" i="17"/>
  <c r="AE70" i="17"/>
  <c r="AF68" i="17"/>
  <c r="AG70" i="17"/>
  <c r="CZ53" i="17"/>
  <c r="BS48" i="17"/>
  <c r="AF70" i="17"/>
  <c r="AG68" i="17"/>
  <c r="AC68" i="17"/>
  <c r="CM55" i="17"/>
  <c r="CJ52" i="17"/>
  <c r="CM53" i="17"/>
  <c r="CB2" i="17"/>
  <c r="CM52" i="17"/>
  <c r="CZ61" i="17"/>
  <c r="CZ54" i="17"/>
  <c r="CA2" i="17"/>
  <c r="BT50" i="17"/>
  <c r="AS20" i="17"/>
  <c r="G35" i="1"/>
  <c r="CZ60" i="17"/>
  <c r="BT60" i="17"/>
  <c r="CH60" i="17" s="1"/>
  <c r="O20" i="17"/>
  <c r="CM49" i="17"/>
  <c r="CG46" i="17"/>
  <c r="CU46" i="17"/>
  <c r="AG66" i="17"/>
  <c r="CN46" i="17"/>
  <c r="AF66" i="17"/>
  <c r="AE66" i="17"/>
  <c r="AD66" i="17"/>
  <c r="AE81" i="17"/>
  <c r="AD81" i="17"/>
  <c r="AC81" i="17"/>
  <c r="AG81" i="17"/>
  <c r="CN61" i="17"/>
  <c r="CM61" i="17" s="1"/>
  <c r="BS61" i="17"/>
  <c r="CM58" i="17"/>
  <c r="CN60" i="17"/>
  <c r="CM60" i="17" s="1"/>
  <c r="AG80" i="17"/>
  <c r="AD80" i="17"/>
  <c r="AF80" i="17"/>
  <c r="AC80" i="17"/>
  <c r="AE80" i="17"/>
  <c r="BS60" i="17"/>
  <c r="B75" i="17"/>
  <c r="AV36" i="17"/>
  <c r="CG47" i="17"/>
  <c r="CU47" i="17"/>
  <c r="CU59" i="17"/>
  <c r="CG59" i="17"/>
  <c r="CH57" i="17"/>
  <c r="CV57" i="17"/>
  <c r="CV126" i="12"/>
  <c r="CV105" i="12"/>
  <c r="CV112" i="12"/>
  <c r="CV84" i="12"/>
  <c r="CV79" i="12"/>
  <c r="J25" i="12"/>
  <c r="BM66" i="12"/>
  <c r="CV124" i="12"/>
  <c r="CV118" i="12"/>
  <c r="CV101" i="12"/>
  <c r="CV97" i="12"/>
  <c r="BE72" i="12"/>
  <c r="CV102" i="12"/>
  <c r="CV74" i="12"/>
  <c r="CV73" i="12"/>
  <c r="CV131" i="12"/>
  <c r="CV86" i="12"/>
  <c r="CL59" i="12"/>
  <c r="CZ48" i="12"/>
  <c r="CV87" i="12"/>
  <c r="CV135" i="12"/>
  <c r="CV128" i="12"/>
  <c r="BE73" i="12"/>
  <c r="CV107" i="12"/>
  <c r="CV92" i="12"/>
  <c r="CV72" i="12"/>
  <c r="BI71" i="12"/>
  <c r="CZ52" i="12"/>
  <c r="CV68" i="12"/>
  <c r="CV98" i="12"/>
  <c r="CV134" i="12"/>
  <c r="CV77" i="12"/>
  <c r="CV121" i="12"/>
  <c r="CV122" i="12"/>
  <c r="BM67" i="12"/>
  <c r="CI48" i="12"/>
  <c r="BI48" i="12" s="1"/>
  <c r="CH55" i="12"/>
  <c r="BI55" i="12" s="1"/>
  <c r="CV90" i="12"/>
  <c r="CV139" i="12"/>
  <c r="CV110" i="12"/>
  <c r="BE68" i="12"/>
  <c r="CV96" i="12"/>
  <c r="CV106" i="12"/>
  <c r="CV109" i="12"/>
  <c r="BM69" i="12"/>
  <c r="BE71" i="12"/>
  <c r="BT44" i="12"/>
  <c r="CV52" i="12"/>
  <c r="CG56" i="12"/>
  <c r="CL54" i="12"/>
  <c r="BI54" i="12" s="1"/>
  <c r="CV80" i="12"/>
  <c r="CV113" i="12"/>
  <c r="CV120" i="12"/>
  <c r="CV83" i="12"/>
  <c r="BP67" i="12"/>
  <c r="AW3" i="12"/>
  <c r="CV129" i="12"/>
  <c r="CV119" i="12"/>
  <c r="CV116" i="12"/>
  <c r="BI67" i="12"/>
  <c r="CV108" i="12"/>
  <c r="CV67" i="12"/>
  <c r="CV111" i="12"/>
  <c r="CV91" i="12"/>
  <c r="CV137" i="12"/>
  <c r="CV125" i="12"/>
  <c r="CV89" i="12"/>
  <c r="CV104" i="12"/>
  <c r="BJ44" i="12"/>
  <c r="BA86" i="12"/>
  <c r="CV138" i="12"/>
  <c r="BI75" i="12"/>
  <c r="CI101" i="12"/>
  <c r="CW54" i="12"/>
  <c r="CV117" i="12"/>
  <c r="CV136" i="12"/>
  <c r="CV88" i="12"/>
  <c r="CV65" i="12"/>
  <c r="CV95" i="12"/>
  <c r="CV123" i="12"/>
  <c r="CV82" i="12"/>
  <c r="CV69" i="12"/>
  <c r="BE69" i="12"/>
  <c r="BA85" i="12"/>
  <c r="BP69" i="12"/>
  <c r="BI70" i="12"/>
  <c r="BI50" i="12"/>
  <c r="CV78" i="12"/>
  <c r="BP68" i="12"/>
  <c r="BI66" i="12"/>
  <c r="CV133" i="12"/>
  <c r="BI74" i="12"/>
  <c r="BI73" i="12"/>
  <c r="J27" i="12"/>
  <c r="J29" i="12" s="1"/>
  <c r="B65" i="12" s="1"/>
  <c r="J30" i="12"/>
  <c r="C40" i="12" s="1"/>
  <c r="CI68" i="12"/>
  <c r="CI135" i="12"/>
  <c r="CI76" i="12"/>
  <c r="CI82" i="12"/>
  <c r="BT43" i="12"/>
  <c r="CM70" i="12"/>
  <c r="CM85" i="12"/>
  <c r="CM127" i="12"/>
  <c r="CM118" i="12"/>
  <c r="CM112" i="12"/>
  <c r="CM123" i="12"/>
  <c r="CM90" i="12"/>
  <c r="CM130" i="12"/>
  <c r="CM134" i="12"/>
  <c r="CM108" i="12"/>
  <c r="CM126" i="12"/>
  <c r="CM129" i="12"/>
  <c r="CM106" i="12"/>
  <c r="CM101" i="12"/>
  <c r="CM136" i="12"/>
  <c r="CM100" i="12"/>
  <c r="CM137" i="12"/>
  <c r="CM138" i="12"/>
  <c r="CM131" i="12"/>
  <c r="CU51" i="12"/>
  <c r="BJ60" i="12"/>
  <c r="BJ62" i="12" s="1"/>
  <c r="CG60" i="12"/>
  <c r="BI60" i="12" s="1"/>
  <c r="CL51" i="12"/>
  <c r="CI112" i="12"/>
  <c r="CI106" i="12"/>
  <c r="CI129" i="12"/>
  <c r="CI139" i="12"/>
  <c r="CI122" i="12"/>
  <c r="CI70" i="12"/>
  <c r="CI128" i="12"/>
  <c r="CI130" i="12"/>
  <c r="CI71" i="12"/>
  <c r="CI116" i="12"/>
  <c r="AX65" i="12"/>
  <c r="BS44" i="12"/>
  <c r="CI138" i="12"/>
  <c r="CI102" i="12"/>
  <c r="CI136" i="12"/>
  <c r="CI115" i="12"/>
  <c r="CI73" i="12"/>
  <c r="CI69" i="12"/>
  <c r="CL72" i="12"/>
  <c r="CL128" i="12"/>
  <c r="CL117" i="12"/>
  <c r="CI83" i="12"/>
  <c r="CL135" i="12"/>
  <c r="CJ79" i="12"/>
  <c r="CJ90" i="12"/>
  <c r="CR111" i="12"/>
  <c r="CR86" i="12"/>
  <c r="CR81" i="12"/>
  <c r="CR135" i="12"/>
  <c r="CR101" i="12"/>
  <c r="CT117" i="12"/>
  <c r="CT65" i="12"/>
  <c r="CT128" i="12"/>
  <c r="CT79" i="12"/>
  <c r="CT107" i="12"/>
  <c r="CT87" i="12"/>
  <c r="CT136" i="12"/>
  <c r="CT66" i="12"/>
  <c r="CT118" i="12"/>
  <c r="CT95" i="12"/>
  <c r="CT139" i="12"/>
  <c r="CT111" i="12"/>
  <c r="CT81" i="12"/>
  <c r="CQ108" i="12"/>
  <c r="CQ123" i="12"/>
  <c r="CQ120" i="12"/>
  <c r="CQ124" i="12"/>
  <c r="CQ118" i="12"/>
  <c r="CQ139" i="12"/>
  <c r="CQ125" i="12"/>
  <c r="CQ94" i="12"/>
  <c r="CQ88" i="12"/>
  <c r="CQ121" i="12"/>
  <c r="CN92" i="12"/>
  <c r="CN134" i="12"/>
  <c r="CN99" i="12"/>
  <c r="CN124" i="12"/>
  <c r="CN86" i="12"/>
  <c r="CN81" i="12"/>
  <c r="CN116" i="12"/>
  <c r="CN127" i="12"/>
  <c r="CN98" i="12"/>
  <c r="CN113" i="12"/>
  <c r="CN129" i="12"/>
  <c r="CN115" i="12"/>
  <c r="CN131" i="12"/>
  <c r="CN93" i="12"/>
  <c r="CO136" i="12"/>
  <c r="CO85" i="12"/>
  <c r="CO90" i="12"/>
  <c r="CO116" i="12"/>
  <c r="CO72" i="12"/>
  <c r="CO65" i="12"/>
  <c r="CO104" i="12"/>
  <c r="CO100" i="12"/>
  <c r="CO80" i="12"/>
  <c r="CO78" i="12"/>
  <c r="CO88" i="12"/>
  <c r="CO99" i="12"/>
  <c r="CO128" i="12"/>
  <c r="CO97" i="12"/>
  <c r="CO130" i="12"/>
  <c r="CO93" i="12"/>
  <c r="CO122" i="12"/>
  <c r="CG51" i="12"/>
  <c r="BI51" i="12" s="1"/>
  <c r="BI61" i="12"/>
  <c r="AY65" i="12"/>
  <c r="CI133" i="12"/>
  <c r="CI125" i="12"/>
  <c r="CI127" i="12"/>
  <c r="CI124" i="12"/>
  <c r="CI97" i="12"/>
  <c r="CI77" i="12"/>
  <c r="AW8" i="12"/>
  <c r="CH47" i="12"/>
  <c r="AV5" i="12"/>
  <c r="O5" i="12" s="1"/>
  <c r="AW5" i="12"/>
  <c r="CR102" i="12"/>
  <c r="CR99" i="12"/>
  <c r="CR132" i="12"/>
  <c r="CR114" i="12"/>
  <c r="CR65" i="12"/>
  <c r="CR105" i="12"/>
  <c r="CR82" i="12"/>
  <c r="CR72" i="12"/>
  <c r="CR128" i="12"/>
  <c r="CR120" i="12"/>
  <c r="CR97" i="12"/>
  <c r="CR93" i="12"/>
  <c r="CR95" i="12"/>
  <c r="CR107" i="12"/>
  <c r="CR70" i="12"/>
  <c r="CR100" i="12"/>
  <c r="CI98" i="12"/>
  <c r="CI85" i="12"/>
  <c r="CL78" i="12"/>
  <c r="CG49" i="12"/>
  <c r="BU44" i="12"/>
  <c r="AZ65" i="12"/>
  <c r="CI89" i="12"/>
  <c r="CI84" i="12"/>
  <c r="CI95" i="12"/>
  <c r="CI79" i="12"/>
  <c r="CI78" i="12"/>
  <c r="CL99" i="12"/>
  <c r="CL94" i="12"/>
  <c r="CL111" i="12"/>
  <c r="CL108" i="12"/>
  <c r="CL109" i="12"/>
  <c r="CL88" i="12"/>
  <c r="CJ88" i="12"/>
  <c r="CJ137" i="12"/>
  <c r="CJ132" i="12"/>
  <c r="CR117" i="12"/>
  <c r="CR67" i="12"/>
  <c r="CR108" i="12"/>
  <c r="CL123" i="12"/>
  <c r="CM94" i="12"/>
  <c r="CM114" i="12"/>
  <c r="CM128" i="12"/>
  <c r="CK80" i="12"/>
  <c r="CK82" i="12"/>
  <c r="CK131" i="12"/>
  <c r="CK89" i="12"/>
  <c r="CK123" i="12"/>
  <c r="CK67" i="12"/>
  <c r="CK76" i="12"/>
  <c r="CK77" i="12"/>
  <c r="CK130" i="12"/>
  <c r="CK134" i="12"/>
  <c r="CK114" i="12"/>
  <c r="CK96" i="12"/>
  <c r="CK132" i="12"/>
  <c r="CU49" i="12"/>
  <c r="BI52" i="12"/>
  <c r="BI56" i="12"/>
  <c r="CZ60" i="12"/>
  <c r="BU43" i="12"/>
  <c r="BU42" i="12" s="1"/>
  <c r="B74" i="12" s="1"/>
  <c r="CW46" i="12"/>
  <c r="CI109" i="12"/>
  <c r="BS43" i="12"/>
  <c r="CI92" i="12"/>
  <c r="CI86" i="12"/>
  <c r="CI90" i="12"/>
  <c r="CI121" i="12"/>
  <c r="CI74" i="12"/>
  <c r="CL81" i="12"/>
  <c r="CL80" i="12"/>
  <c r="CL82" i="12"/>
  <c r="CL92" i="12"/>
  <c r="CL120" i="12"/>
  <c r="CJ131" i="12"/>
  <c r="CJ102" i="12"/>
  <c r="CJ118" i="12"/>
  <c r="CJ73" i="12"/>
  <c r="CR88" i="12"/>
  <c r="CR125" i="12"/>
  <c r="CR90" i="12"/>
  <c r="CR118" i="12"/>
  <c r="CM67" i="12"/>
  <c r="CJ74" i="12"/>
  <c r="CM86" i="12"/>
  <c r="CM125" i="12"/>
  <c r="CM91" i="12"/>
  <c r="CM68" i="12"/>
  <c r="CW61" i="12"/>
  <c r="CV60" i="12"/>
  <c r="CV51" i="12"/>
  <c r="CZ49" i="12"/>
  <c r="CL49" i="12"/>
  <c r="CZ57" i="12"/>
  <c r="CL57" i="12"/>
  <c r="CI108" i="12"/>
  <c r="CI118" i="12"/>
  <c r="CI94" i="12"/>
  <c r="CI72" i="12"/>
  <c r="CI99" i="12"/>
  <c r="CI117" i="12"/>
  <c r="CI66" i="12"/>
  <c r="CL110" i="12"/>
  <c r="CL124" i="12"/>
  <c r="CJ119" i="12"/>
  <c r="CJ95" i="12"/>
  <c r="CJ76" i="12"/>
  <c r="CJ135" i="12"/>
  <c r="CR69" i="12"/>
  <c r="CR98" i="12"/>
  <c r="CR84" i="12"/>
  <c r="CR94" i="12"/>
  <c r="CI137" i="12"/>
  <c r="CI67" i="12"/>
  <c r="CL105" i="12"/>
  <c r="CL103" i="12"/>
  <c r="CL75" i="12"/>
  <c r="CL83" i="12"/>
  <c r="CL112" i="12"/>
  <c r="CL73" i="12"/>
  <c r="CL115" i="12"/>
  <c r="CL89" i="12"/>
  <c r="CL86" i="12"/>
  <c r="CL97" i="12"/>
  <c r="CL69" i="12"/>
  <c r="CL130" i="12"/>
  <c r="CL70" i="12"/>
  <c r="CL104" i="12"/>
  <c r="CL71" i="12"/>
  <c r="CL66" i="12"/>
  <c r="CL139" i="12"/>
  <c r="CL98" i="12"/>
  <c r="CL125" i="12"/>
  <c r="CL102" i="12"/>
  <c r="CL74" i="12"/>
  <c r="CL136" i="12"/>
  <c r="CL129" i="12"/>
  <c r="CL67" i="12"/>
  <c r="CJ104" i="12"/>
  <c r="CJ122" i="12"/>
  <c r="CJ134" i="12"/>
  <c r="CJ111" i="12"/>
  <c r="CJ70" i="12"/>
  <c r="CJ81" i="12"/>
  <c r="CJ136" i="12"/>
  <c r="CJ92" i="12"/>
  <c r="CJ103" i="12"/>
  <c r="CJ128" i="12"/>
  <c r="CJ120" i="12"/>
  <c r="CJ139" i="12"/>
  <c r="CJ114" i="12"/>
  <c r="CJ113" i="12"/>
  <c r="CJ117" i="12"/>
  <c r="CJ106" i="12"/>
  <c r="CJ69" i="12"/>
  <c r="CJ87" i="12"/>
  <c r="CG59" i="12"/>
  <c r="BI59" i="12" s="1"/>
  <c r="CI110" i="12"/>
  <c r="CI131" i="12"/>
  <c r="CI88" i="12"/>
  <c r="CI93" i="12"/>
  <c r="CI119" i="12"/>
  <c r="CI75" i="12"/>
  <c r="CI100" i="12"/>
  <c r="CI105" i="12"/>
  <c r="CI123" i="12"/>
  <c r="CI104" i="12"/>
  <c r="CV47" i="12"/>
  <c r="CL96" i="12"/>
  <c r="CL93" i="12"/>
  <c r="CS118" i="12"/>
  <c r="CS88" i="12"/>
  <c r="CS133" i="12"/>
  <c r="CS117" i="12"/>
  <c r="CS107" i="12"/>
  <c r="CS96" i="12"/>
  <c r="CS121" i="12"/>
  <c r="CS138" i="12"/>
  <c r="CS122" i="12"/>
  <c r="CS72" i="12"/>
  <c r="CS112" i="12"/>
  <c r="CS79" i="12"/>
  <c r="CS116" i="12"/>
  <c r="CS137" i="12"/>
  <c r="CU59" i="12"/>
  <c r="CI65" i="12"/>
  <c r="CI107" i="12"/>
  <c r="CI113" i="12"/>
  <c r="CI87" i="12"/>
  <c r="CI126" i="12"/>
  <c r="CI120" i="12"/>
  <c r="CL95" i="12"/>
  <c r="CL87" i="12"/>
  <c r="CI96" i="12"/>
  <c r="CJ109" i="12"/>
  <c r="CJ86" i="12"/>
  <c r="CJ71" i="12"/>
  <c r="CJ116" i="12"/>
  <c r="CJ80" i="12"/>
  <c r="CR130" i="12"/>
  <c r="CR104" i="12"/>
  <c r="CR116" i="12"/>
  <c r="CR68" i="12"/>
  <c r="CJ129" i="12"/>
  <c r="CJ126" i="12"/>
  <c r="CR138" i="12"/>
  <c r="CR91" i="12"/>
  <c r="CH93" i="12"/>
  <c r="CH66" i="12"/>
  <c r="CH81" i="12"/>
  <c r="CH85" i="12"/>
  <c r="CH107" i="12"/>
  <c r="CH134" i="12"/>
  <c r="CH128" i="12"/>
  <c r="CH126" i="12"/>
  <c r="CH135" i="12"/>
  <c r="CH113" i="12"/>
  <c r="CH92" i="12"/>
  <c r="CH87" i="12"/>
  <c r="CH139" i="12"/>
  <c r="CH115" i="12"/>
  <c r="CH105" i="12"/>
  <c r="CH127" i="12"/>
  <c r="CH100" i="12"/>
  <c r="CH120" i="12"/>
  <c r="CH137" i="12"/>
  <c r="CH94" i="12"/>
  <c r="CH106" i="12"/>
  <c r="CI57" i="12"/>
  <c r="CU61" i="12"/>
  <c r="CN115" i="10"/>
  <c r="CV65" i="10"/>
  <c r="CZ47" i="10"/>
  <c r="CN106" i="10"/>
  <c r="CL60" i="10"/>
  <c r="CN91" i="10"/>
  <c r="CN119" i="10"/>
  <c r="CN65" i="10"/>
  <c r="CN107" i="10"/>
  <c r="CI138" i="10"/>
  <c r="CH49" i="10"/>
  <c r="BJ58" i="10"/>
  <c r="CH52" i="10"/>
  <c r="BI52" i="10" s="1"/>
  <c r="CU58" i="10"/>
  <c r="BI48" i="10"/>
  <c r="J25" i="10"/>
  <c r="CV123" i="10"/>
  <c r="CH60" i="10"/>
  <c r="BI60" i="10" s="1"/>
  <c r="CV108" i="10"/>
  <c r="CV122" i="10"/>
  <c r="CV101" i="10"/>
  <c r="CV76" i="10"/>
  <c r="CV113" i="10"/>
  <c r="BA65" i="10"/>
  <c r="AG41" i="10" s="1"/>
  <c r="BM69" i="10"/>
  <c r="CI102" i="10"/>
  <c r="CI107" i="10"/>
  <c r="CI117" i="10"/>
  <c r="CI70" i="10"/>
  <c r="CI93" i="10"/>
  <c r="AW13" i="10"/>
  <c r="CI88" i="10"/>
  <c r="CI139" i="10"/>
  <c r="CI84" i="10"/>
  <c r="BE67" i="10"/>
  <c r="CJ136" i="10"/>
  <c r="CJ131" i="10"/>
  <c r="CJ68" i="10"/>
  <c r="CH85" i="10"/>
  <c r="CH71" i="10"/>
  <c r="CH102" i="10"/>
  <c r="CH73" i="10"/>
  <c r="CH136" i="10"/>
  <c r="CQ131" i="10"/>
  <c r="CQ130" i="10"/>
  <c r="CV69" i="10"/>
  <c r="CQ75" i="10"/>
  <c r="CQ132" i="10"/>
  <c r="CV100" i="10"/>
  <c r="CH100" i="10"/>
  <c r="BE69" i="10"/>
  <c r="BE68" i="10"/>
  <c r="CH135" i="10"/>
  <c r="CH120" i="10"/>
  <c r="CH118" i="10"/>
  <c r="CH133" i="10"/>
  <c r="CH127" i="10"/>
  <c r="CH123" i="10"/>
  <c r="CQ134" i="10"/>
  <c r="CQ124" i="10"/>
  <c r="CQ86" i="10"/>
  <c r="CQ98" i="10"/>
  <c r="CQ123" i="10"/>
  <c r="CQ71" i="10"/>
  <c r="CQ127" i="10"/>
  <c r="CQ69" i="10"/>
  <c r="BJ44" i="10"/>
  <c r="B73" i="10" s="1"/>
  <c r="CL57" i="10"/>
  <c r="BI57" i="10" s="1"/>
  <c r="CV87" i="10"/>
  <c r="CV92" i="10"/>
  <c r="CV131" i="10"/>
  <c r="CV118" i="10"/>
  <c r="CV133" i="10"/>
  <c r="CV70" i="10"/>
  <c r="BP68" i="10"/>
  <c r="BE72" i="10"/>
  <c r="BP67" i="10"/>
  <c r="BI71" i="10"/>
  <c r="CH114" i="10"/>
  <c r="CH112" i="10"/>
  <c r="CH95" i="10"/>
  <c r="CH109" i="10"/>
  <c r="CH119" i="10"/>
  <c r="CH129" i="10"/>
  <c r="CH81" i="10"/>
  <c r="CQ87" i="10"/>
  <c r="CQ136" i="10"/>
  <c r="CQ78" i="10"/>
  <c r="CQ126" i="10"/>
  <c r="CQ137" i="10"/>
  <c r="CQ109" i="10"/>
  <c r="CQ116" i="10"/>
  <c r="CH80" i="10"/>
  <c r="CH61" i="10"/>
  <c r="BI61" i="10" s="1"/>
  <c r="CL49" i="10"/>
  <c r="BI49" i="10" s="1"/>
  <c r="CV89" i="10"/>
  <c r="CV117" i="10"/>
  <c r="CV67" i="10"/>
  <c r="CV94" i="10"/>
  <c r="CV106" i="10"/>
  <c r="CV115" i="10"/>
  <c r="BI73" i="10"/>
  <c r="BA86" i="10"/>
  <c r="BM67" i="10"/>
  <c r="BI70" i="10"/>
  <c r="BA83" i="10"/>
  <c r="CH124" i="10"/>
  <c r="CH87" i="10"/>
  <c r="CH72" i="10"/>
  <c r="CH75" i="10"/>
  <c r="CH107" i="10"/>
  <c r="CH116" i="10"/>
  <c r="CH117" i="10"/>
  <c r="CH88" i="10"/>
  <c r="CQ74" i="10"/>
  <c r="CQ94" i="10"/>
  <c r="CQ72" i="10"/>
  <c r="CQ81" i="10"/>
  <c r="CQ92" i="10"/>
  <c r="CQ103" i="10"/>
  <c r="CQ100" i="10"/>
  <c r="CQ105" i="10"/>
  <c r="CQ83" i="10"/>
  <c r="CZ48" i="10"/>
  <c r="CV112" i="10"/>
  <c r="CV78" i="10"/>
  <c r="CV119" i="10"/>
  <c r="CV104" i="10"/>
  <c r="CV125" i="10"/>
  <c r="CV86" i="10"/>
  <c r="CV75" i="10"/>
  <c r="CV129" i="10"/>
  <c r="CV79" i="10"/>
  <c r="BA81" i="10"/>
  <c r="BA84" i="10"/>
  <c r="CI67" i="10"/>
  <c r="CI91" i="10"/>
  <c r="CI127" i="10"/>
  <c r="BM66" i="10"/>
  <c r="CI76" i="10"/>
  <c r="CJ78" i="10"/>
  <c r="CH74" i="10"/>
  <c r="CH134" i="10"/>
  <c r="CH132" i="10"/>
  <c r="CH82" i="10"/>
  <c r="CH78" i="10"/>
  <c r="CH104" i="10"/>
  <c r="CH66" i="10"/>
  <c r="CQ79" i="10"/>
  <c r="CQ70" i="10"/>
  <c r="CQ128" i="10"/>
  <c r="CQ93" i="10"/>
  <c r="CQ65" i="10"/>
  <c r="CQ121" i="10"/>
  <c r="CV71" i="10"/>
  <c r="CV139" i="10"/>
  <c r="CV84" i="10"/>
  <c r="BI72" i="10"/>
  <c r="CV88" i="10"/>
  <c r="CV77" i="10"/>
  <c r="CV134" i="10"/>
  <c r="CV130" i="10"/>
  <c r="CV72" i="10"/>
  <c r="CV96" i="10"/>
  <c r="AZ65" i="10"/>
  <c r="CI79" i="10"/>
  <c r="BI69" i="10"/>
  <c r="CJ96" i="10"/>
  <c r="CH94" i="10"/>
  <c r="CH67" i="10"/>
  <c r="CH68" i="10"/>
  <c r="CH90" i="10"/>
  <c r="CH84" i="10"/>
  <c r="CH91" i="10"/>
  <c r="CQ67" i="10"/>
  <c r="CQ107" i="10"/>
  <c r="CQ111" i="10"/>
  <c r="CQ99" i="10"/>
  <c r="CQ88" i="10"/>
  <c r="CL51" i="10"/>
  <c r="BI51" i="10" s="1"/>
  <c r="CV80" i="10"/>
  <c r="CV105" i="10"/>
  <c r="CV73" i="10"/>
  <c r="CV90" i="10"/>
  <c r="CV95" i="10"/>
  <c r="CV110" i="10"/>
  <c r="AY65" i="10"/>
  <c r="AX65" i="10"/>
  <c r="BI75" i="10"/>
  <c r="BI66" i="10"/>
  <c r="CJ88" i="10"/>
  <c r="CH139" i="10"/>
  <c r="CH122" i="10"/>
  <c r="CH101" i="10"/>
  <c r="CH137" i="10"/>
  <c r="CH65" i="10"/>
  <c r="CH131" i="10"/>
  <c r="CQ77" i="10"/>
  <c r="CQ129" i="10"/>
  <c r="CQ125" i="10"/>
  <c r="CQ117" i="10"/>
  <c r="CV116" i="10"/>
  <c r="CQ95" i="10"/>
  <c r="CQ138" i="10"/>
  <c r="CV68" i="10"/>
  <c r="CV97" i="10"/>
  <c r="CV126" i="10"/>
  <c r="CV66" i="10"/>
  <c r="CV121" i="10"/>
  <c r="CV85" i="10"/>
  <c r="BA85" i="10"/>
  <c r="BI67" i="10"/>
  <c r="CH126" i="10"/>
  <c r="CH105" i="10"/>
  <c r="CH93" i="10"/>
  <c r="CH125" i="10"/>
  <c r="CH98" i="10"/>
  <c r="CQ66" i="10"/>
  <c r="CQ68" i="10"/>
  <c r="CQ133" i="10"/>
  <c r="CQ122" i="10"/>
  <c r="CQ108" i="10"/>
  <c r="CQ135" i="10"/>
  <c r="CQ96" i="10"/>
  <c r="CQ118" i="10"/>
  <c r="CQ82" i="10"/>
  <c r="CQ102" i="10"/>
  <c r="CH47" i="10"/>
  <c r="CV135" i="10"/>
  <c r="CV103" i="10"/>
  <c r="CV136" i="10"/>
  <c r="CV132" i="10"/>
  <c r="CV127" i="10"/>
  <c r="CV91" i="10"/>
  <c r="BP65" i="10"/>
  <c r="BI68" i="10"/>
  <c r="BI74" i="10"/>
  <c r="CH113" i="10"/>
  <c r="CH111" i="10"/>
  <c r="CH110" i="10"/>
  <c r="CH108" i="10"/>
  <c r="CH69" i="10"/>
  <c r="CQ120" i="10"/>
  <c r="CQ139" i="10"/>
  <c r="CQ85" i="10"/>
  <c r="CQ97" i="10"/>
  <c r="CQ119" i="10"/>
  <c r="CQ76" i="10"/>
  <c r="CU47" i="10"/>
  <c r="CV98" i="10"/>
  <c r="CV137" i="10"/>
  <c r="CV99" i="10"/>
  <c r="CV107" i="10"/>
  <c r="CV102" i="10"/>
  <c r="CV128" i="10"/>
  <c r="BJ51" i="10"/>
  <c r="BJ62" i="10" s="1"/>
  <c r="B72" i="10" s="1"/>
  <c r="CH92" i="10"/>
  <c r="CH77" i="10"/>
  <c r="CH76" i="10"/>
  <c r="CH79" i="10"/>
  <c r="CH103" i="10"/>
  <c r="CQ80" i="10"/>
  <c r="CQ91" i="10"/>
  <c r="CQ84" i="10"/>
  <c r="CQ101" i="10"/>
  <c r="CV51" i="17"/>
  <c r="CZ59" i="17"/>
  <c r="CG53" i="17"/>
  <c r="CK52" i="17"/>
  <c r="CZ55" i="17"/>
  <c r="CZ57" i="17"/>
  <c r="CG52" i="17"/>
  <c r="CK53" i="17"/>
  <c r="CL58" i="17"/>
  <c r="CZ58" i="17"/>
  <c r="CH54" i="17"/>
  <c r="CU49" i="17"/>
  <c r="CG49" i="17"/>
  <c r="CU57" i="17"/>
  <c r="CG57" i="17"/>
  <c r="CH56" i="17"/>
  <c r="CV56" i="17"/>
  <c r="CW56" i="17"/>
  <c r="CI56" i="17"/>
  <c r="CW60" i="17"/>
  <c r="CI60" i="17"/>
  <c r="CZ50" i="17"/>
  <c r="CL50" i="17"/>
  <c r="CX55" i="17"/>
  <c r="CJ55" i="17"/>
  <c r="BI55" i="17" s="1"/>
  <c r="CX59" i="17"/>
  <c r="CJ59" i="17"/>
  <c r="CU51" i="17"/>
  <c r="CY55" i="17"/>
  <c r="CX56" i="17"/>
  <c r="CY59" i="17"/>
  <c r="CX60" i="17"/>
  <c r="CG50" i="17"/>
  <c r="CU54" i="17"/>
  <c r="CL51" i="2"/>
  <c r="CU48" i="2"/>
  <c r="CW59" i="2"/>
  <c r="CJ53" i="2"/>
  <c r="CV52" i="2"/>
  <c r="AV62" i="2"/>
  <c r="B76" i="2" s="1"/>
  <c r="CK52" i="2"/>
  <c r="CK54" i="2"/>
  <c r="CG54" i="2"/>
  <c r="CJ52" i="2"/>
  <c r="CI48" i="2"/>
  <c r="CK58" i="2"/>
  <c r="CW48" i="2"/>
  <c r="CY46" i="2"/>
  <c r="CJ48" i="2"/>
  <c r="CZ56" i="2"/>
  <c r="CK57" i="2"/>
  <c r="CI49" i="2"/>
  <c r="CI54" i="2"/>
  <c r="CZ46" i="2"/>
  <c r="CV58" i="2"/>
  <c r="CH55" i="2"/>
  <c r="CJ58" i="2"/>
  <c r="CJ55" i="2"/>
  <c r="CI61" i="2"/>
  <c r="CL57" i="2"/>
  <c r="CZ59" i="2"/>
  <c r="CL55" i="2"/>
  <c r="CY47" i="2"/>
  <c r="CU50" i="2"/>
  <c r="CH54" i="2"/>
  <c r="CZ52" i="2"/>
  <c r="CZ50" i="2"/>
  <c r="CL58" i="2"/>
  <c r="CI52" i="2"/>
  <c r="CL47" i="2"/>
  <c r="BU2" i="2" l="1"/>
  <c r="CG58" i="17"/>
  <c r="CV53" i="17"/>
  <c r="CV52" i="17"/>
  <c r="BO1" i="17"/>
  <c r="CH59" i="17"/>
  <c r="CV59" i="17"/>
  <c r="CH47" i="17"/>
  <c r="BI47" i="17" s="1"/>
  <c r="BI51" i="17"/>
  <c r="BA65" i="17"/>
  <c r="AG41" i="17" s="1"/>
  <c r="BI54" i="17"/>
  <c r="CV48" i="17"/>
  <c r="BT44" i="17"/>
  <c r="BI59" i="17"/>
  <c r="CG55" i="2"/>
  <c r="CH61" i="2"/>
  <c r="BT44" i="2"/>
  <c r="B74" i="2" s="1"/>
  <c r="CG47" i="2"/>
  <c r="CV57" i="2"/>
  <c r="CH49" i="2"/>
  <c r="CG59" i="2"/>
  <c r="BI59" i="2" s="1"/>
  <c r="AN41" i="2"/>
  <c r="CU51" i="2"/>
  <c r="CG51" i="2"/>
  <c r="BI51" i="2" s="1"/>
  <c r="BI47" i="2"/>
  <c r="BI52" i="2"/>
  <c r="BI60" i="2"/>
  <c r="AY65" i="2"/>
  <c r="B69" i="2" s="1"/>
  <c r="BI50" i="2"/>
  <c r="BI53" i="2"/>
  <c r="BI57" i="2"/>
  <c r="AX65" i="2"/>
  <c r="B68" i="2" s="1"/>
  <c r="CH56" i="2"/>
  <c r="CV56" i="2"/>
  <c r="BI46" i="2"/>
  <c r="CU49" i="2"/>
  <c r="CG49" i="2"/>
  <c r="CG61" i="2"/>
  <c r="BI61" i="2" s="1"/>
  <c r="CU61" i="2"/>
  <c r="CU56" i="2"/>
  <c r="CG56" i="2"/>
  <c r="BA65" i="2"/>
  <c r="AG41" i="2" s="1"/>
  <c r="BP66" i="2"/>
  <c r="BP70" i="2"/>
  <c r="AM5" i="2"/>
  <c r="AM8" i="2"/>
  <c r="T66" i="2"/>
  <c r="N66" i="2" s="1"/>
  <c r="M2" i="2" s="1"/>
  <c r="X69" i="2"/>
  <c r="Z72" i="2"/>
  <c r="AZ55" i="2"/>
  <c r="AZ56" i="2"/>
  <c r="BH2" i="2"/>
  <c r="AZ46" i="2"/>
  <c r="U67" i="2"/>
  <c r="O67" i="2" s="1"/>
  <c r="N3" i="2" s="1"/>
  <c r="AA68" i="2"/>
  <c r="W71" i="2"/>
  <c r="AR7" i="2"/>
  <c r="AT7" i="2" s="1"/>
  <c r="W69" i="2"/>
  <c r="X67" i="2"/>
  <c r="I11" i="2"/>
  <c r="AS11" i="2" s="1"/>
  <c r="AZ54" i="2"/>
  <c r="AY53" i="2"/>
  <c r="R75" i="2"/>
  <c r="L75" i="2" s="1"/>
  <c r="K11" i="2" s="1"/>
  <c r="Q77" i="2"/>
  <c r="K77" i="2" s="1"/>
  <c r="J13" i="2" s="1"/>
  <c r="BH17" i="2"/>
  <c r="T78" i="2"/>
  <c r="N78" i="2" s="1"/>
  <c r="M14" i="2" s="1"/>
  <c r="Y70" i="2"/>
  <c r="BG11" i="2"/>
  <c r="Z74" i="2"/>
  <c r="BA47" i="2"/>
  <c r="BG12" i="2"/>
  <c r="BC56" i="2"/>
  <c r="AY48" i="2"/>
  <c r="AR9" i="2"/>
  <c r="AT9" i="2" s="1"/>
  <c r="BH11" i="2"/>
  <c r="BB55" i="2"/>
  <c r="AM15" i="2"/>
  <c r="Q70" i="2"/>
  <c r="K70" i="2" s="1"/>
  <c r="J6" i="2" s="1"/>
  <c r="W67" i="2"/>
  <c r="U81" i="2"/>
  <c r="O81" i="2" s="1"/>
  <c r="N17" i="2" s="1"/>
  <c r="Y75" i="2"/>
  <c r="BC47" i="2"/>
  <c r="Z68" i="2"/>
  <c r="U66" i="2"/>
  <c r="O66" i="2" s="1"/>
  <c r="N2" i="2" s="1"/>
  <c r="Q79" i="2"/>
  <c r="K79" i="2" s="1"/>
  <c r="J15" i="2" s="1"/>
  <c r="I12" i="2"/>
  <c r="AS12" i="2" s="1"/>
  <c r="BB60" i="2"/>
  <c r="Q73" i="2"/>
  <c r="K73" i="2" s="1"/>
  <c r="J9" i="2" s="1"/>
  <c r="S70" i="2"/>
  <c r="M70" i="2" s="1"/>
  <c r="L6" i="2" s="1"/>
  <c r="AR17" i="2"/>
  <c r="AT17" i="2" s="1"/>
  <c r="X75" i="2"/>
  <c r="AZ52" i="2"/>
  <c r="U71" i="2"/>
  <c r="O71" i="2" s="1"/>
  <c r="N7" i="2" s="1"/>
  <c r="BH8" i="2"/>
  <c r="BI7" i="2"/>
  <c r="BJ7" i="2" s="1"/>
  <c r="CU63" i="2"/>
  <c r="CU62" i="2" s="1"/>
  <c r="BG4" i="2"/>
  <c r="AR3" i="2"/>
  <c r="AT3" i="2" s="1"/>
  <c r="AA71" i="2"/>
  <c r="BG6" i="2"/>
  <c r="AM3" i="2"/>
  <c r="AR15" i="2"/>
  <c r="AT15" i="2" s="1"/>
  <c r="BH15" i="2"/>
  <c r="Z76" i="2"/>
  <c r="BB47" i="2"/>
  <c r="U72" i="2"/>
  <c r="O72" i="2" s="1"/>
  <c r="N8" i="2" s="1"/>
  <c r="Z80" i="2"/>
  <c r="BC52" i="2"/>
  <c r="T69" i="2"/>
  <c r="N69" i="2" s="1"/>
  <c r="M5" i="2" s="1"/>
  <c r="T76" i="2"/>
  <c r="N76" i="2" s="1"/>
  <c r="M12" i="2" s="1"/>
  <c r="AR16" i="2"/>
  <c r="AT16" i="2" s="1"/>
  <c r="Q69" i="2"/>
  <c r="K69" i="2" s="1"/>
  <c r="J5" i="2" s="1"/>
  <c r="AY57" i="2"/>
  <c r="Q80" i="2"/>
  <c r="K80" i="2" s="1"/>
  <c r="J16" i="2" s="1"/>
  <c r="Y68" i="2"/>
  <c r="Z70" i="2"/>
  <c r="BB58" i="2"/>
  <c r="Y79" i="2"/>
  <c r="S79" i="2"/>
  <c r="M79" i="2" s="1"/>
  <c r="L15" i="2" s="1"/>
  <c r="BH7" i="2"/>
  <c r="Z67" i="2"/>
  <c r="Z81" i="2"/>
  <c r="R66" i="2"/>
  <c r="L66" i="2" s="1"/>
  <c r="K2" i="2" s="1"/>
  <c r="W79" i="2"/>
  <c r="R80" i="2"/>
  <c r="L80" i="2" s="1"/>
  <c r="K16" i="2" s="1"/>
  <c r="R67" i="2"/>
  <c r="L67" i="2" s="1"/>
  <c r="K3" i="2" s="1"/>
  <c r="R74" i="2"/>
  <c r="L74" i="2" s="1"/>
  <c r="K10" i="2" s="1"/>
  <c r="AA69" i="2"/>
  <c r="R70" i="2"/>
  <c r="L70" i="2" s="1"/>
  <c r="K6" i="2" s="1"/>
  <c r="Q71" i="2"/>
  <c r="K71" i="2" s="1"/>
  <c r="J7" i="2" s="1"/>
  <c r="AM14" i="2"/>
  <c r="U78" i="2"/>
  <c r="O78" i="2" s="1"/>
  <c r="N14" i="2" s="1"/>
  <c r="AZ48" i="2"/>
  <c r="Q68" i="2"/>
  <c r="K68" i="2" s="1"/>
  <c r="J4" i="2" s="1"/>
  <c r="X72" i="2"/>
  <c r="W66" i="2"/>
  <c r="AD21" i="2"/>
  <c r="CH63" i="2"/>
  <c r="CH62" i="2" s="1"/>
  <c r="Z77" i="2"/>
  <c r="AA74" i="2"/>
  <c r="BB57" i="2"/>
  <c r="AR6" i="2"/>
  <c r="AT6" i="2" s="1"/>
  <c r="AY54" i="2"/>
  <c r="AA81" i="2"/>
  <c r="S77" i="2"/>
  <c r="M77" i="2" s="1"/>
  <c r="L13" i="2" s="1"/>
  <c r="BA55" i="2"/>
  <c r="AA72" i="2"/>
  <c r="Y77" i="2"/>
  <c r="AY49" i="2"/>
  <c r="S81" i="2"/>
  <c r="M81" i="2" s="1"/>
  <c r="L17" i="2" s="1"/>
  <c r="Q72" i="2"/>
  <c r="K72" i="2" s="1"/>
  <c r="J8" i="2" s="1"/>
  <c r="BG16" i="2"/>
  <c r="I13" i="2"/>
  <c r="AS13" i="2" s="1"/>
  <c r="BG10" i="2"/>
  <c r="I10" i="2"/>
  <c r="AS10" i="2" s="1"/>
  <c r="Q74" i="2"/>
  <c r="K74" i="2" s="1"/>
  <c r="J10" i="2" s="1"/>
  <c r="BI4" i="2"/>
  <c r="BJ4" i="2" s="1"/>
  <c r="AY50" i="2"/>
  <c r="AM6" i="2"/>
  <c r="AM11" i="2"/>
  <c r="X78" i="2"/>
  <c r="Y78" i="2"/>
  <c r="BA60" i="2"/>
  <c r="AR14" i="2"/>
  <c r="AT14" i="2" s="1"/>
  <c r="W74" i="2"/>
  <c r="BG2" i="2"/>
  <c r="BB46" i="2"/>
  <c r="AA76" i="2"/>
  <c r="CS63" i="2"/>
  <c r="CS62" i="2" s="1"/>
  <c r="BB61" i="2"/>
  <c r="U74" i="2"/>
  <c r="O74" i="2" s="1"/>
  <c r="N10" i="2" s="1"/>
  <c r="W76" i="2"/>
  <c r="BA59" i="2"/>
  <c r="S73" i="2"/>
  <c r="M73" i="2" s="1"/>
  <c r="L9" i="2" s="1"/>
  <c r="Z71" i="2"/>
  <c r="S80" i="2"/>
  <c r="M80" i="2" s="1"/>
  <c r="L16" i="2" s="1"/>
  <c r="X74" i="2"/>
  <c r="I2" i="2"/>
  <c r="AS2" i="2" s="1"/>
  <c r="BG17" i="2"/>
  <c r="BB54" i="2"/>
  <c r="BC49" i="2"/>
  <c r="BI10" i="2"/>
  <c r="BJ10" i="2" s="1"/>
  <c r="BB52" i="2"/>
  <c r="R77" i="2"/>
  <c r="L77" i="2" s="1"/>
  <c r="K13" i="2" s="1"/>
  <c r="U69" i="2"/>
  <c r="O69" i="2" s="1"/>
  <c r="N5" i="2" s="1"/>
  <c r="AZ57" i="2"/>
  <c r="S74" i="2"/>
  <c r="M74" i="2" s="1"/>
  <c r="L10" i="2" s="1"/>
  <c r="BA57" i="2"/>
  <c r="BC60" i="2"/>
  <c r="S78" i="2"/>
  <c r="M78" i="2" s="1"/>
  <c r="L14" i="2" s="1"/>
  <c r="AM4" i="2"/>
  <c r="Y81" i="2"/>
  <c r="R71" i="2"/>
  <c r="L71" i="2" s="1"/>
  <c r="K7" i="2" s="1"/>
  <c r="S72" i="2"/>
  <c r="M72" i="2" s="1"/>
  <c r="L8" i="2" s="1"/>
  <c r="Q67" i="2"/>
  <c r="K67" i="2" s="1"/>
  <c r="J3" i="2" s="1"/>
  <c r="AZ51" i="2"/>
  <c r="W78" i="2"/>
  <c r="AZ50" i="2"/>
  <c r="X70" i="2"/>
  <c r="AR5" i="2"/>
  <c r="AT5" i="2" s="1"/>
  <c r="BH3" i="2"/>
  <c r="AA79" i="2"/>
  <c r="AY56" i="2"/>
  <c r="BG7" i="2"/>
  <c r="AY52" i="2"/>
  <c r="BI12" i="2"/>
  <c r="BJ12" i="2" s="1"/>
  <c r="BC57" i="2"/>
  <c r="T73" i="2"/>
  <c r="N73" i="2" s="1"/>
  <c r="M9" i="2" s="1"/>
  <c r="W73" i="2"/>
  <c r="CT63" i="2"/>
  <c r="CT62" i="2" s="1"/>
  <c r="AM10" i="2"/>
  <c r="AZ59" i="2"/>
  <c r="Q76" i="2"/>
  <c r="K76" i="2" s="1"/>
  <c r="J12" i="2" s="1"/>
  <c r="BC51" i="2"/>
  <c r="AZ58" i="2"/>
  <c r="Z73" i="2"/>
  <c r="AZ47" i="2"/>
  <c r="T70" i="2"/>
  <c r="N70" i="2" s="1"/>
  <c r="M6" i="2" s="1"/>
  <c r="Y27" i="2"/>
  <c r="AB27" i="2" s="1"/>
  <c r="AR4" i="2"/>
  <c r="AT4" i="2" s="1"/>
  <c r="BI5" i="2"/>
  <c r="BJ5" i="2" s="1"/>
  <c r="X66" i="2"/>
  <c r="AR10" i="2"/>
  <c r="AT10" i="2" s="1"/>
  <c r="BB56" i="2"/>
  <c r="S66" i="2"/>
  <c r="M66" i="2" s="1"/>
  <c r="L2" i="2" s="1"/>
  <c r="BC58" i="2"/>
  <c r="R81" i="2"/>
  <c r="L81" i="2" s="1"/>
  <c r="K17" i="2" s="1"/>
  <c r="BB48" i="2"/>
  <c r="CK63" i="2"/>
  <c r="CK62" i="2" s="1"/>
  <c r="AM2" i="2"/>
  <c r="AR2" i="2"/>
  <c r="BB51" i="2"/>
  <c r="AR13" i="2"/>
  <c r="AT13" i="2" s="1"/>
  <c r="S76" i="2"/>
  <c r="M76" i="2" s="1"/>
  <c r="L12" i="2" s="1"/>
  <c r="BI2" i="2"/>
  <c r="BJ2" i="2" s="1"/>
  <c r="W81" i="2"/>
  <c r="AR12" i="2"/>
  <c r="AT12" i="2" s="1"/>
  <c r="Y71" i="2"/>
  <c r="BA51" i="2"/>
  <c r="CM63" i="2"/>
  <c r="CM62" i="2" s="1"/>
  <c r="AY59" i="2"/>
  <c r="Z75" i="2"/>
  <c r="R73" i="2"/>
  <c r="L73" i="2" s="1"/>
  <c r="K9" i="2" s="1"/>
  <c r="CN63" i="2"/>
  <c r="CN62" i="2" s="1"/>
  <c r="AM9" i="2"/>
  <c r="BI6" i="2"/>
  <c r="BJ6" i="2" s="1"/>
  <c r="BA58" i="2"/>
  <c r="Q81" i="2"/>
  <c r="K81" i="2" s="1"/>
  <c r="J17" i="2" s="1"/>
  <c r="T74" i="2"/>
  <c r="N74" i="2" s="1"/>
  <c r="M10" i="2" s="1"/>
  <c r="Y66" i="2"/>
  <c r="BC59" i="2"/>
  <c r="Y73" i="2"/>
  <c r="I14" i="2"/>
  <c r="AS14" i="2" s="1"/>
  <c r="CI63" i="2"/>
  <c r="CI62" i="2" s="1"/>
  <c r="W68" i="2"/>
  <c r="R69" i="2"/>
  <c r="L69" i="2" s="1"/>
  <c r="K5" i="2" s="1"/>
  <c r="I7" i="2"/>
  <c r="AS7" i="2" s="1"/>
  <c r="X73" i="2"/>
  <c r="U79" i="2"/>
  <c r="O79" i="2" s="1"/>
  <c r="N15" i="2" s="1"/>
  <c r="BH14" i="2"/>
  <c r="X71" i="2"/>
  <c r="C21" i="1"/>
  <c r="C42" i="1" s="1"/>
  <c r="C43" i="1" s="1"/>
  <c r="BG13" i="2"/>
  <c r="AY58" i="2"/>
  <c r="BI11" i="2"/>
  <c r="BJ11" i="2" s="1"/>
  <c r="U70" i="2"/>
  <c r="O70" i="2" s="1"/>
  <c r="N6" i="2" s="1"/>
  <c r="BH12" i="2"/>
  <c r="CJ63" i="2"/>
  <c r="CJ62" i="2" s="1"/>
  <c r="BH6" i="2"/>
  <c r="U80" i="2"/>
  <c r="O80" i="2" s="1"/>
  <c r="N16" i="2" s="1"/>
  <c r="W77" i="2"/>
  <c r="AQ7" i="2"/>
  <c r="W72" i="2"/>
  <c r="Y67" i="2"/>
  <c r="I6" i="2"/>
  <c r="AS6" i="2" s="1"/>
  <c r="AA80" i="2"/>
  <c r="BI14" i="2"/>
  <c r="BJ14" i="2" s="1"/>
  <c r="X81" i="2"/>
  <c r="BI8" i="2"/>
  <c r="BJ8" i="2" s="1"/>
  <c r="T75" i="2"/>
  <c r="N75" i="2" s="1"/>
  <c r="M11" i="2" s="1"/>
  <c r="Q66" i="2"/>
  <c r="K66" i="2" s="1"/>
  <c r="J2" i="2" s="1"/>
  <c r="Q78" i="2"/>
  <c r="K78" i="2" s="1"/>
  <c r="J14" i="2" s="1"/>
  <c r="I15" i="2"/>
  <c r="AS15" i="2" s="1"/>
  <c r="T81" i="2"/>
  <c r="N81" i="2" s="1"/>
  <c r="M17" i="2" s="1"/>
  <c r="AA77" i="2"/>
  <c r="BH4" i="2"/>
  <c r="I16" i="2"/>
  <c r="AS16" i="2" s="1"/>
  <c r="U68" i="2"/>
  <c r="O68" i="2" s="1"/>
  <c r="N4" i="2" s="1"/>
  <c r="T68" i="2"/>
  <c r="N68" i="2" s="1"/>
  <c r="M4" i="2" s="1"/>
  <c r="CO63" i="2"/>
  <c r="CO62" i="2" s="1"/>
  <c r="BC50" i="2"/>
  <c r="CL63" i="2"/>
  <c r="CL62" i="2" s="1"/>
  <c r="X80" i="2"/>
  <c r="BH16" i="2"/>
  <c r="T71" i="2"/>
  <c r="N71" i="2" s="1"/>
  <c r="M7" i="2" s="1"/>
  <c r="BG8" i="2"/>
  <c r="Y72" i="2"/>
  <c r="AQ13" i="2"/>
  <c r="BW2" i="2"/>
  <c r="Y28" i="2" s="1"/>
  <c r="AB28" i="2" s="1"/>
  <c r="T67" i="2"/>
  <c r="N67" i="2" s="1"/>
  <c r="M3" i="2" s="1"/>
  <c r="AY47" i="2"/>
  <c r="S69" i="2"/>
  <c r="M69" i="2" s="1"/>
  <c r="L5" i="2" s="1"/>
  <c r="Q75" i="2"/>
  <c r="K75" i="2" s="1"/>
  <c r="J11" i="2" s="1"/>
  <c r="AY61" i="2"/>
  <c r="BA48" i="2"/>
  <c r="BI3" i="2"/>
  <c r="BJ3" i="2" s="1"/>
  <c r="U76" i="2"/>
  <c r="O76" i="2" s="1"/>
  <c r="N12" i="2" s="1"/>
  <c r="BI9" i="2"/>
  <c r="BJ9" i="2" s="1"/>
  <c r="S68" i="2"/>
  <c r="M68" i="2" s="1"/>
  <c r="L4" i="2" s="1"/>
  <c r="I8" i="2"/>
  <c r="AS8" i="2" s="1"/>
  <c r="X76" i="2"/>
  <c r="I9" i="2"/>
  <c r="AS9" i="2" s="1"/>
  <c r="AR11" i="2"/>
  <c r="AT11" i="2" s="1"/>
  <c r="AQ10" i="2"/>
  <c r="AQ11" i="2"/>
  <c r="AQ17" i="2"/>
  <c r="Y22" i="2"/>
  <c r="AB22" i="2" s="1"/>
  <c r="O9" i="1"/>
  <c r="AZ49" i="2"/>
  <c r="BH10" i="2"/>
  <c r="BC54" i="2"/>
  <c r="Y69" i="2"/>
  <c r="BA54" i="2"/>
  <c r="S67" i="2"/>
  <c r="M67" i="2" s="1"/>
  <c r="L3" i="2" s="1"/>
  <c r="R68" i="2"/>
  <c r="L68" i="2" s="1"/>
  <c r="K4" i="2" s="1"/>
  <c r="Y74" i="2"/>
  <c r="T79" i="2"/>
  <c r="N79" i="2" s="1"/>
  <c r="M15" i="2" s="1"/>
  <c r="BG14" i="2"/>
  <c r="R72" i="2"/>
  <c r="L72" i="2" s="1"/>
  <c r="K8" i="2" s="1"/>
  <c r="AM7" i="2"/>
  <c r="R78" i="2"/>
  <c r="L78" i="2" s="1"/>
  <c r="K14" i="2" s="1"/>
  <c r="BA49" i="2"/>
  <c r="BA50" i="2"/>
  <c r="BB50" i="2"/>
  <c r="BA46" i="2"/>
  <c r="X79" i="2"/>
  <c r="BB53" i="2"/>
  <c r="W80" i="2"/>
  <c r="Z69" i="2"/>
  <c r="X68" i="2"/>
  <c r="AZ53" i="2"/>
  <c r="AM17" i="2"/>
  <c r="I17" i="2"/>
  <c r="AS17" i="2" s="1"/>
  <c r="BA56" i="2"/>
  <c r="AA67" i="2"/>
  <c r="BH9" i="2"/>
  <c r="BH5" i="2"/>
  <c r="AY60" i="2"/>
  <c r="S71" i="2"/>
  <c r="M71" i="2" s="1"/>
  <c r="L7" i="2" s="1"/>
  <c r="I5" i="2"/>
  <c r="AS5" i="2" s="1"/>
  <c r="BC46" i="2"/>
  <c r="AA78" i="2"/>
  <c r="BG15" i="2"/>
  <c r="I3" i="2"/>
  <c r="AS3" i="2" s="1"/>
  <c r="T80" i="2"/>
  <c r="N80" i="2" s="1"/>
  <c r="M16" i="2" s="1"/>
  <c r="AZ61" i="2"/>
  <c r="AY46" i="2"/>
  <c r="AZ60" i="2"/>
  <c r="AQ14" i="2"/>
  <c r="BA53" i="2"/>
  <c r="AR8" i="2"/>
  <c r="AT8" i="2" s="1"/>
  <c r="AA66" i="2"/>
  <c r="BB49" i="2"/>
  <c r="BC61" i="2"/>
  <c r="AY55" i="2"/>
  <c r="AQ4" i="2"/>
  <c r="AQ12" i="2"/>
  <c r="CG63" i="2"/>
  <c r="CG62" i="2" s="1"/>
  <c r="BC55" i="2"/>
  <c r="W75" i="2"/>
  <c r="CR63" i="2"/>
  <c r="CR62" i="2" s="1"/>
  <c r="BB59" i="2"/>
  <c r="AM16" i="2"/>
  <c r="W70" i="2"/>
  <c r="T77" i="2"/>
  <c r="N77" i="2" s="1"/>
  <c r="M13" i="2" s="1"/>
  <c r="Y80" i="2"/>
  <c r="AQ15" i="2"/>
  <c r="CV63" i="2"/>
  <c r="CV62" i="2" s="1"/>
  <c r="BV2" i="2"/>
  <c r="AM13" i="2"/>
  <c r="BH13" i="2"/>
  <c r="Y76" i="2"/>
  <c r="U73" i="2"/>
  <c r="O73" i="2" s="1"/>
  <c r="N9" i="2" s="1"/>
  <c r="X77" i="2"/>
  <c r="AQ6" i="2"/>
  <c r="AQ2" i="2"/>
  <c r="BI13" i="2"/>
  <c r="BJ13" i="2" s="1"/>
  <c r="U75" i="2"/>
  <c r="O75" i="2" s="1"/>
  <c r="N11" i="2" s="1"/>
  <c r="AQ8" i="2"/>
  <c r="BA52" i="2"/>
  <c r="AM12" i="2"/>
  <c r="U77" i="2"/>
  <c r="O77" i="2" s="1"/>
  <c r="N13" i="2" s="1"/>
  <c r="AY51" i="2"/>
  <c r="AQ9" i="2"/>
  <c r="I4" i="2"/>
  <c r="AS4" i="2" s="1"/>
  <c r="T72" i="2"/>
  <c r="N72" i="2" s="1"/>
  <c r="M8" i="2" s="1"/>
  <c r="R76" i="2"/>
  <c r="L76" i="2" s="1"/>
  <c r="K12" i="2" s="1"/>
  <c r="BA61" i="2"/>
  <c r="R79" i="2"/>
  <c r="L79" i="2" s="1"/>
  <c r="K15" i="2" s="1"/>
  <c r="AA73" i="2"/>
  <c r="BG3" i="2"/>
  <c r="AA70" i="2"/>
  <c r="AA75" i="2"/>
  <c r="Z66" i="2"/>
  <c r="BG9" i="2"/>
  <c r="BG5" i="2"/>
  <c r="BC48" i="2"/>
  <c r="CQ63" i="2"/>
  <c r="CQ62" i="2" s="1"/>
  <c r="BA79" i="2"/>
  <c r="S75" i="2"/>
  <c r="M75" i="2" s="1"/>
  <c r="L11" i="2" s="1"/>
  <c r="CP63" i="2"/>
  <c r="CP62" i="2" s="1"/>
  <c r="AQ3" i="2"/>
  <c r="AK21" i="2"/>
  <c r="Z79" i="2"/>
  <c r="AQ5" i="2"/>
  <c r="BC53" i="2"/>
  <c r="Z78" i="2"/>
  <c r="AQ16" i="2"/>
  <c r="BI48" i="2"/>
  <c r="BI58" i="2"/>
  <c r="AX65" i="17"/>
  <c r="BI49" i="17"/>
  <c r="CV50" i="17"/>
  <c r="CH50" i="17"/>
  <c r="CU48" i="17"/>
  <c r="CG48" i="17"/>
  <c r="BI48" i="17" s="1"/>
  <c r="CU61" i="17"/>
  <c r="BI53" i="17"/>
  <c r="CG61" i="17"/>
  <c r="BI61" i="17" s="1"/>
  <c r="BI52" i="17"/>
  <c r="AY65" i="17"/>
  <c r="S41" i="17" s="1"/>
  <c r="BO2" i="17"/>
  <c r="BP70" i="17" s="1"/>
  <c r="CV60" i="17"/>
  <c r="W72" i="17"/>
  <c r="BH5" i="17"/>
  <c r="U67" i="17"/>
  <c r="O67" i="17" s="1"/>
  <c r="N3" i="17" s="1"/>
  <c r="BG16" i="17"/>
  <c r="Z67" i="17"/>
  <c r="Y67" i="17"/>
  <c r="BG12" i="17"/>
  <c r="S75" i="17"/>
  <c r="M75" i="17" s="1"/>
  <c r="L11" i="17" s="1"/>
  <c r="AZ50" i="17"/>
  <c r="Y76" i="17"/>
  <c r="BA52" i="17"/>
  <c r="BC54" i="17"/>
  <c r="Q67" i="17"/>
  <c r="K67" i="17" s="1"/>
  <c r="J3" i="17" s="1"/>
  <c r="AQ15" i="17"/>
  <c r="AA67" i="17"/>
  <c r="S74" i="17"/>
  <c r="M74" i="17" s="1"/>
  <c r="L10" i="17" s="1"/>
  <c r="W70" i="17"/>
  <c r="AQ8" i="17"/>
  <c r="AZ46" i="17"/>
  <c r="BC52" i="17"/>
  <c r="I5" i="17"/>
  <c r="AS5" i="17" s="1"/>
  <c r="X68" i="17"/>
  <c r="AR9" i="17"/>
  <c r="AT9" i="17" s="1"/>
  <c r="T80" i="17"/>
  <c r="N80" i="17" s="1"/>
  <c r="M16" i="17" s="1"/>
  <c r="AZ59" i="17"/>
  <c r="Y71" i="17"/>
  <c r="BG6" i="17"/>
  <c r="AR10" i="17"/>
  <c r="AT10" i="17" s="1"/>
  <c r="R77" i="17"/>
  <c r="L77" i="17" s="1"/>
  <c r="K13" i="17" s="1"/>
  <c r="X81" i="17"/>
  <c r="BH2" i="17"/>
  <c r="BC60" i="17"/>
  <c r="BI10" i="17"/>
  <c r="BJ10" i="17" s="1"/>
  <c r="CL63" i="17"/>
  <c r="CL62" i="17" s="1"/>
  <c r="BI8" i="17"/>
  <c r="BJ8" i="17" s="1"/>
  <c r="AM6" i="17"/>
  <c r="AM10" i="17"/>
  <c r="AR11" i="17"/>
  <c r="AT11" i="17" s="1"/>
  <c r="U72" i="17"/>
  <c r="O72" i="17" s="1"/>
  <c r="N8" i="17" s="1"/>
  <c r="S66" i="17"/>
  <c r="M66" i="17" s="1"/>
  <c r="L2" i="17" s="1"/>
  <c r="BB49" i="17"/>
  <c r="X67" i="17"/>
  <c r="AQ7" i="17"/>
  <c r="BH14" i="17"/>
  <c r="I9" i="17"/>
  <c r="AS9" i="17" s="1"/>
  <c r="U71" i="17"/>
  <c r="O71" i="17" s="1"/>
  <c r="N7" i="17" s="1"/>
  <c r="T71" i="17"/>
  <c r="N71" i="17" s="1"/>
  <c r="M7" i="17" s="1"/>
  <c r="Y70" i="17"/>
  <c r="W66" i="17"/>
  <c r="I4" i="17"/>
  <c r="AS4" i="17" s="1"/>
  <c r="BG7" i="17"/>
  <c r="AA77" i="17"/>
  <c r="AQ9" i="17"/>
  <c r="AR17" i="17"/>
  <c r="AT17" i="17" s="1"/>
  <c r="AY48" i="17"/>
  <c r="Y68" i="17"/>
  <c r="BA46" i="17"/>
  <c r="AZ51" i="17"/>
  <c r="X76" i="17"/>
  <c r="AY49" i="17"/>
  <c r="X78" i="17"/>
  <c r="BG11" i="17"/>
  <c r="U73" i="17"/>
  <c r="O73" i="17" s="1"/>
  <c r="N9" i="17" s="1"/>
  <c r="BB55" i="17"/>
  <c r="AZ58" i="17"/>
  <c r="BI9" i="17"/>
  <c r="BJ9" i="17" s="1"/>
  <c r="BB60" i="17"/>
  <c r="BI7" i="17"/>
  <c r="BJ7" i="17" s="1"/>
  <c r="X80" i="17"/>
  <c r="AM17" i="17"/>
  <c r="I17" i="17"/>
  <c r="AS17" i="17" s="1"/>
  <c r="Y78" i="17"/>
  <c r="BB61" i="17"/>
  <c r="BC59" i="17"/>
  <c r="AR7" i="17"/>
  <c r="AT7" i="17" s="1"/>
  <c r="BH12" i="17"/>
  <c r="AY57" i="17"/>
  <c r="R80" i="17"/>
  <c r="L80" i="17" s="1"/>
  <c r="K16" i="17" s="1"/>
  <c r="BG9" i="17"/>
  <c r="S73" i="17"/>
  <c r="M73" i="17" s="1"/>
  <c r="L9" i="17" s="1"/>
  <c r="U76" i="17"/>
  <c r="O76" i="17" s="1"/>
  <c r="N12" i="17" s="1"/>
  <c r="U74" i="17"/>
  <c r="O74" i="17" s="1"/>
  <c r="N10" i="17" s="1"/>
  <c r="AY53" i="17"/>
  <c r="CI63" i="17"/>
  <c r="CI62" i="17" s="1"/>
  <c r="AA69" i="17"/>
  <c r="Y74" i="17"/>
  <c r="BG17" i="17"/>
  <c r="AA75" i="17"/>
  <c r="BH4" i="17"/>
  <c r="T69" i="17"/>
  <c r="N69" i="17" s="1"/>
  <c r="M5" i="17" s="1"/>
  <c r="AY61" i="17"/>
  <c r="AZ52" i="17"/>
  <c r="X70" i="17"/>
  <c r="Z76" i="17"/>
  <c r="R71" i="17"/>
  <c r="L71" i="17" s="1"/>
  <c r="K7" i="17" s="1"/>
  <c r="R78" i="17"/>
  <c r="L78" i="17" s="1"/>
  <c r="K14" i="17" s="1"/>
  <c r="T79" i="17"/>
  <c r="N79" i="17" s="1"/>
  <c r="M15" i="17" s="1"/>
  <c r="BB58" i="17"/>
  <c r="Y22" i="17"/>
  <c r="AB22" i="17" s="1"/>
  <c r="BB53" i="17"/>
  <c r="W73" i="17"/>
  <c r="AM5" i="17"/>
  <c r="AA72" i="17"/>
  <c r="AR14" i="17"/>
  <c r="AT14" i="17" s="1"/>
  <c r="AZ57" i="17"/>
  <c r="Z78" i="17"/>
  <c r="S70" i="17"/>
  <c r="M70" i="17" s="1"/>
  <c r="L6" i="17" s="1"/>
  <c r="X72" i="17"/>
  <c r="AR13" i="17"/>
  <c r="AT13" i="17" s="1"/>
  <c r="AY50" i="17"/>
  <c r="T81" i="17"/>
  <c r="N81" i="17" s="1"/>
  <c r="M17" i="17" s="1"/>
  <c r="Z70" i="17"/>
  <c r="BH11" i="17"/>
  <c r="BB50" i="17"/>
  <c r="BG2" i="17"/>
  <c r="Z77" i="17"/>
  <c r="Q79" i="17"/>
  <c r="K79" i="17" s="1"/>
  <c r="J15" i="17" s="1"/>
  <c r="R74" i="17"/>
  <c r="L74" i="17" s="1"/>
  <c r="K10" i="17" s="1"/>
  <c r="R81" i="17"/>
  <c r="L81" i="17" s="1"/>
  <c r="K17" i="17" s="1"/>
  <c r="T74" i="17"/>
  <c r="N74" i="17" s="1"/>
  <c r="M10" i="17" s="1"/>
  <c r="CK63" i="17"/>
  <c r="CK62" i="17" s="1"/>
  <c r="BW2" i="17"/>
  <c r="Y28" i="17" s="1"/>
  <c r="AB28" i="17" s="1"/>
  <c r="Q66" i="17"/>
  <c r="K66" i="17" s="1"/>
  <c r="J2" i="17" s="1"/>
  <c r="BH10" i="17"/>
  <c r="R75" i="17"/>
  <c r="L75" i="17" s="1"/>
  <c r="K11" i="17" s="1"/>
  <c r="AQ4" i="17"/>
  <c r="BB48" i="17"/>
  <c r="BH16" i="17"/>
  <c r="BI6" i="17"/>
  <c r="BJ6" i="17" s="1"/>
  <c r="BI4" i="17"/>
  <c r="BJ4" i="17" s="1"/>
  <c r="Y80" i="17"/>
  <c r="CM63" i="17"/>
  <c r="CM62" i="17" s="1"/>
  <c r="Z75" i="17"/>
  <c r="BI13" i="17"/>
  <c r="BJ13" i="17" s="1"/>
  <c r="AM16" i="17"/>
  <c r="X73" i="17"/>
  <c r="R76" i="17"/>
  <c r="L76" i="17" s="1"/>
  <c r="K12" i="17" s="1"/>
  <c r="AA74" i="17"/>
  <c r="W68" i="17"/>
  <c r="AZ47" i="17"/>
  <c r="BG3" i="17"/>
  <c r="BB51" i="17"/>
  <c r="AA66" i="17"/>
  <c r="BC61" i="17"/>
  <c r="Y66" i="17"/>
  <c r="BG14" i="17"/>
  <c r="BB52" i="17"/>
  <c r="BA59" i="17"/>
  <c r="W75" i="17"/>
  <c r="W81" i="17"/>
  <c r="Q78" i="17"/>
  <c r="K78" i="17" s="1"/>
  <c r="J14" i="17" s="1"/>
  <c r="BA55" i="17"/>
  <c r="BA50" i="17"/>
  <c r="BA54" i="17"/>
  <c r="BC58" i="17"/>
  <c r="R67" i="17"/>
  <c r="L67" i="17" s="1"/>
  <c r="K3" i="17" s="1"/>
  <c r="T66" i="17"/>
  <c r="N66" i="17" s="1"/>
  <c r="M2" i="17" s="1"/>
  <c r="T73" i="17"/>
  <c r="N73" i="17" s="1"/>
  <c r="M9" i="17" s="1"/>
  <c r="BV2" i="17"/>
  <c r="BI14" i="17"/>
  <c r="BJ14" i="17" s="1"/>
  <c r="BB46" i="17"/>
  <c r="AM4" i="17"/>
  <c r="Q75" i="17"/>
  <c r="K75" i="17" s="1"/>
  <c r="J11" i="17" s="1"/>
  <c r="BA53" i="17"/>
  <c r="AA81" i="17"/>
  <c r="BC51" i="17"/>
  <c r="Z68" i="17"/>
  <c r="AR5" i="17"/>
  <c r="AT5" i="17" s="1"/>
  <c r="BC49" i="17"/>
  <c r="W71" i="17"/>
  <c r="Q81" i="17"/>
  <c r="K81" i="17" s="1"/>
  <c r="J17" i="17" s="1"/>
  <c r="AY58" i="17"/>
  <c r="T67" i="17"/>
  <c r="N67" i="17" s="1"/>
  <c r="M3" i="17" s="1"/>
  <c r="Z81" i="17"/>
  <c r="AQ2" i="17"/>
  <c r="W74" i="17"/>
  <c r="AZ60" i="17"/>
  <c r="AZ55" i="17"/>
  <c r="BB59" i="17"/>
  <c r="BA48" i="17"/>
  <c r="BG15" i="17"/>
  <c r="BB47" i="17"/>
  <c r="BH3" i="17"/>
  <c r="S78" i="17"/>
  <c r="M78" i="17" s="1"/>
  <c r="L14" i="17" s="1"/>
  <c r="U79" i="17"/>
  <c r="O79" i="17" s="1"/>
  <c r="N15" i="17" s="1"/>
  <c r="X69" i="17"/>
  <c r="BI11" i="17"/>
  <c r="BJ11" i="17" s="1"/>
  <c r="AM3" i="17"/>
  <c r="Q70" i="17"/>
  <c r="K70" i="17" s="1"/>
  <c r="J6" i="17" s="1"/>
  <c r="BH8" i="17"/>
  <c r="BG10" i="17"/>
  <c r="BC55" i="17"/>
  <c r="AY52" i="17"/>
  <c r="AA68" i="17"/>
  <c r="Z66" i="17"/>
  <c r="Z72" i="17"/>
  <c r="I8" i="17"/>
  <c r="AS8" i="17" s="1"/>
  <c r="I7" i="17"/>
  <c r="AS7" i="17" s="1"/>
  <c r="U70" i="17"/>
  <c r="O70" i="17" s="1"/>
  <c r="N6" i="17" s="1"/>
  <c r="BH17" i="17"/>
  <c r="Q73" i="17"/>
  <c r="K73" i="17" s="1"/>
  <c r="J9" i="17" s="1"/>
  <c r="BH6" i="17"/>
  <c r="AR8" i="17"/>
  <c r="AT8" i="17" s="1"/>
  <c r="U80" i="17"/>
  <c r="O80" i="17" s="1"/>
  <c r="N16" i="17" s="1"/>
  <c r="AR15" i="17"/>
  <c r="AT15" i="17" s="1"/>
  <c r="U81" i="17"/>
  <c r="O81" i="17" s="1"/>
  <c r="N17" i="17" s="1"/>
  <c r="Q80" i="17"/>
  <c r="K80" i="17" s="1"/>
  <c r="J16" i="17" s="1"/>
  <c r="S79" i="17"/>
  <c r="M79" i="17" s="1"/>
  <c r="L15" i="17" s="1"/>
  <c r="BG8" i="17"/>
  <c r="S68" i="17"/>
  <c r="M68" i="17" s="1"/>
  <c r="L4" i="17" s="1"/>
  <c r="AA76" i="17"/>
  <c r="Q74" i="17"/>
  <c r="K74" i="17" s="1"/>
  <c r="J10" i="17" s="1"/>
  <c r="AQ5" i="17"/>
  <c r="I16" i="17"/>
  <c r="AS16" i="17" s="1"/>
  <c r="CV63" i="17"/>
  <c r="CV62" i="17" s="1"/>
  <c r="AA71" i="17"/>
  <c r="I10" i="17"/>
  <c r="AS10" i="17" s="1"/>
  <c r="BG4" i="17"/>
  <c r="BU2" i="17"/>
  <c r="CT63" i="17"/>
  <c r="CT62" i="17" s="1"/>
  <c r="AM14" i="17"/>
  <c r="Q76" i="17"/>
  <c r="K76" i="17" s="1"/>
  <c r="J12" i="17" s="1"/>
  <c r="X79" i="17"/>
  <c r="AR12" i="17"/>
  <c r="AT12" i="17" s="1"/>
  <c r="AA79" i="17"/>
  <c r="Q69" i="17"/>
  <c r="K69" i="17" s="1"/>
  <c r="J5" i="17" s="1"/>
  <c r="BG5" i="17"/>
  <c r="AZ49" i="17"/>
  <c r="AY54" i="17"/>
  <c r="T75" i="17"/>
  <c r="N75" i="17" s="1"/>
  <c r="M11" i="17" s="1"/>
  <c r="BB57" i="17"/>
  <c r="AY60" i="17"/>
  <c r="U69" i="17"/>
  <c r="O69" i="17" s="1"/>
  <c r="N5" i="17" s="1"/>
  <c r="S81" i="17"/>
  <c r="M81" i="17" s="1"/>
  <c r="L17" i="17" s="1"/>
  <c r="BI12" i="17"/>
  <c r="BJ12" i="17" s="1"/>
  <c r="I3" i="17"/>
  <c r="AS3" i="17" s="1"/>
  <c r="Y27" i="17"/>
  <c r="AB27" i="17" s="1"/>
  <c r="T68" i="17"/>
  <c r="N68" i="17" s="1"/>
  <c r="M4" i="17" s="1"/>
  <c r="O12" i="1"/>
  <c r="BA47" i="17"/>
  <c r="Z69" i="17"/>
  <c r="BA61" i="17"/>
  <c r="Q72" i="17"/>
  <c r="K72" i="17" s="1"/>
  <c r="J8" i="17" s="1"/>
  <c r="CU63" i="17"/>
  <c r="CU62" i="17" s="1"/>
  <c r="AQ6" i="17"/>
  <c r="R66" i="17"/>
  <c r="L66" i="17" s="1"/>
  <c r="K2" i="17" s="1"/>
  <c r="CP63" i="17"/>
  <c r="CP62" i="17" s="1"/>
  <c r="BH9" i="17"/>
  <c r="AM2" i="17"/>
  <c r="U77" i="17"/>
  <c r="O77" i="17" s="1"/>
  <c r="N13" i="17" s="1"/>
  <c r="W78" i="17"/>
  <c r="BC46" i="17"/>
  <c r="AQ17" i="17"/>
  <c r="Z74" i="17"/>
  <c r="S77" i="17"/>
  <c r="M77" i="17" s="1"/>
  <c r="L13" i="17" s="1"/>
  <c r="AZ61" i="17"/>
  <c r="U66" i="17"/>
  <c r="O66" i="17" s="1"/>
  <c r="N2" i="17" s="1"/>
  <c r="BB54" i="17"/>
  <c r="R69" i="17"/>
  <c r="L69" i="17" s="1"/>
  <c r="K5" i="17" s="1"/>
  <c r="T70" i="17"/>
  <c r="N70" i="17" s="1"/>
  <c r="M6" i="17" s="1"/>
  <c r="X74" i="17"/>
  <c r="AQ12" i="17"/>
  <c r="AR6" i="17"/>
  <c r="AT6" i="17" s="1"/>
  <c r="I12" i="17"/>
  <c r="AS12" i="17" s="1"/>
  <c r="Y72" i="17"/>
  <c r="BA51" i="17"/>
  <c r="S72" i="17"/>
  <c r="M72" i="17" s="1"/>
  <c r="L8" i="17" s="1"/>
  <c r="BH15" i="17"/>
  <c r="S67" i="17"/>
  <c r="M67" i="17" s="1"/>
  <c r="L3" i="17" s="1"/>
  <c r="BC53" i="17"/>
  <c r="U68" i="17"/>
  <c r="O68" i="17" s="1"/>
  <c r="N4" i="17" s="1"/>
  <c r="AZ56" i="17"/>
  <c r="BH7" i="17"/>
  <c r="AM9" i="17"/>
  <c r="AM13" i="17"/>
  <c r="S71" i="17"/>
  <c r="M71" i="17" s="1"/>
  <c r="L7" i="17" s="1"/>
  <c r="T76" i="17"/>
  <c r="N76" i="17" s="1"/>
  <c r="M12" i="17" s="1"/>
  <c r="AQ14" i="17"/>
  <c r="AZ54" i="17"/>
  <c r="BA56" i="17"/>
  <c r="BB56" i="17"/>
  <c r="Z80" i="17"/>
  <c r="I13" i="17"/>
  <c r="AS13" i="17" s="1"/>
  <c r="BC47" i="17"/>
  <c r="AK21" i="17"/>
  <c r="X66" i="17"/>
  <c r="AZ48" i="17"/>
  <c r="CS63" i="17"/>
  <c r="CS62" i="17" s="1"/>
  <c r="AQ13" i="17"/>
  <c r="R68" i="17"/>
  <c r="L68" i="17" s="1"/>
  <c r="K4" i="17" s="1"/>
  <c r="AQ10" i="17"/>
  <c r="W69" i="17"/>
  <c r="AY55" i="17"/>
  <c r="Y69" i="17"/>
  <c r="AQ11" i="17"/>
  <c r="AQ3" i="17"/>
  <c r="Y81" i="17"/>
  <c r="AR3" i="17"/>
  <c r="AT3" i="17" s="1"/>
  <c r="I15" i="17"/>
  <c r="AS15" i="17" s="1"/>
  <c r="G21" i="1"/>
  <c r="CR63" i="17"/>
  <c r="CR62" i="17" s="1"/>
  <c r="T78" i="17"/>
  <c r="N78" i="17" s="1"/>
  <c r="M14" i="17" s="1"/>
  <c r="W79" i="17"/>
  <c r="BA79" i="17"/>
  <c r="CH63" i="17"/>
  <c r="CH62" i="17" s="1"/>
  <c r="AM8" i="17"/>
  <c r="AM12" i="17"/>
  <c r="CN63" i="17"/>
  <c r="CN62" i="17" s="1"/>
  <c r="T77" i="17"/>
  <c r="N77" i="17" s="1"/>
  <c r="M13" i="17" s="1"/>
  <c r="AR16" i="17"/>
  <c r="AT16" i="17" s="1"/>
  <c r="BC56" i="17"/>
  <c r="X77" i="17"/>
  <c r="BA49" i="17"/>
  <c r="AA80" i="17"/>
  <c r="I11" i="17"/>
  <c r="AS11" i="17" s="1"/>
  <c r="R70" i="17"/>
  <c r="L70" i="17" s="1"/>
  <c r="K6" i="17" s="1"/>
  <c r="AA73" i="17"/>
  <c r="W76" i="17"/>
  <c r="AA78" i="17"/>
  <c r="Z71" i="17"/>
  <c r="Y79" i="17"/>
  <c r="R79" i="17"/>
  <c r="L79" i="17" s="1"/>
  <c r="K15" i="17" s="1"/>
  <c r="U75" i="17"/>
  <c r="O75" i="17" s="1"/>
  <c r="N11" i="17" s="1"/>
  <c r="W67" i="17"/>
  <c r="I14" i="17"/>
  <c r="AS14" i="17" s="1"/>
  <c r="AY46" i="17"/>
  <c r="BC50" i="17"/>
  <c r="Y77" i="17"/>
  <c r="BC48" i="17"/>
  <c r="Y75" i="17"/>
  <c r="X71" i="17"/>
  <c r="BC57" i="17"/>
  <c r="Q71" i="17"/>
  <c r="K71" i="17" s="1"/>
  <c r="J7" i="17" s="1"/>
  <c r="AY51" i="17"/>
  <c r="BI5" i="17"/>
  <c r="BJ5" i="17" s="1"/>
  <c r="W80" i="17"/>
  <c r="AD21" i="17"/>
  <c r="AM7" i="17"/>
  <c r="AM11" i="17"/>
  <c r="W77" i="17"/>
  <c r="S69" i="17"/>
  <c r="M69" i="17" s="1"/>
  <c r="L5" i="17" s="1"/>
  <c r="U78" i="17"/>
  <c r="O78" i="17" s="1"/>
  <c r="N14" i="17" s="1"/>
  <c r="BI2" i="17"/>
  <c r="BJ2" i="17" s="1"/>
  <c r="AQ16" i="17"/>
  <c r="Z73" i="17"/>
  <c r="AR4" i="17"/>
  <c r="AT4" i="17" s="1"/>
  <c r="AV4" i="17" s="1"/>
  <c r="O4" i="17" s="1"/>
  <c r="T72" i="17"/>
  <c r="N72" i="17" s="1"/>
  <c r="M8" i="17" s="1"/>
  <c r="AY59" i="17"/>
  <c r="AR2" i="17"/>
  <c r="BI3" i="17"/>
  <c r="BJ3" i="17" s="1"/>
  <c r="AY47" i="17"/>
  <c r="R73" i="17"/>
  <c r="L73" i="17" s="1"/>
  <c r="K9" i="17" s="1"/>
  <c r="AM15" i="17"/>
  <c r="CQ63" i="17"/>
  <c r="CQ62" i="17" s="1"/>
  <c r="AZ53" i="17"/>
  <c r="S80" i="17"/>
  <c r="M80" i="17" s="1"/>
  <c r="L16" i="17" s="1"/>
  <c r="Q68" i="17"/>
  <c r="K68" i="17" s="1"/>
  <c r="J4" i="17" s="1"/>
  <c r="BH13" i="17"/>
  <c r="I2" i="17"/>
  <c r="AS2" i="17" s="1"/>
  <c r="CG63" i="17"/>
  <c r="CG62" i="17" s="1"/>
  <c r="X75" i="17"/>
  <c r="BA60" i="17"/>
  <c r="AY56" i="17"/>
  <c r="Y73" i="17"/>
  <c r="AA70" i="17"/>
  <c r="CJ63" i="17"/>
  <c r="CJ62" i="17" s="1"/>
  <c r="CO63" i="17"/>
  <c r="CO62" i="17" s="1"/>
  <c r="Q77" i="17"/>
  <c r="K77" i="17" s="1"/>
  <c r="J13" i="17" s="1"/>
  <c r="BA57" i="17"/>
  <c r="S76" i="17"/>
  <c r="M76" i="17" s="1"/>
  <c r="L12" i="17" s="1"/>
  <c r="BA58" i="17"/>
  <c r="Z79" i="17"/>
  <c r="R72" i="17"/>
  <c r="L72" i="17" s="1"/>
  <c r="K8" i="17" s="1"/>
  <c r="I6" i="17"/>
  <c r="AS6" i="17" s="1"/>
  <c r="BG13" i="17"/>
  <c r="BI56" i="17"/>
  <c r="L9" i="1"/>
  <c r="AV37" i="17"/>
  <c r="AN41" i="17"/>
  <c r="CM46" i="17"/>
  <c r="BI58" i="17"/>
  <c r="CU60" i="17"/>
  <c r="CG60" i="17"/>
  <c r="BI60" i="17" s="1"/>
  <c r="BI57" i="17"/>
  <c r="BI57" i="12"/>
  <c r="BT42" i="12"/>
  <c r="B73" i="12" s="1"/>
  <c r="L41" i="12"/>
  <c r="B67" i="12"/>
  <c r="Z40" i="12"/>
  <c r="B68" i="12"/>
  <c r="C41" i="12"/>
  <c r="BI49" i="12"/>
  <c r="BS42" i="12"/>
  <c r="Z41" i="12"/>
  <c r="AG40" i="12" s="1"/>
  <c r="BI47" i="12"/>
  <c r="J28" i="12" s="1"/>
  <c r="S41" i="12"/>
  <c r="B69" i="12"/>
  <c r="B69" i="10"/>
  <c r="S41" i="10"/>
  <c r="L41" i="10"/>
  <c r="J27" i="10"/>
  <c r="J29" i="10" s="1"/>
  <c r="B65" i="10" s="1"/>
  <c r="J30" i="10"/>
  <c r="C40" i="10" s="1"/>
  <c r="B67" i="10"/>
  <c r="Z40" i="10"/>
  <c r="C41" i="10"/>
  <c r="B68" i="10"/>
  <c r="Z41" i="10"/>
  <c r="BI47" i="10"/>
  <c r="J28" i="10" s="1"/>
  <c r="BI50" i="17"/>
  <c r="C41" i="17"/>
  <c r="BI54" i="2"/>
  <c r="BI55" i="2"/>
  <c r="BI49" i="2" l="1"/>
  <c r="BA81" i="2"/>
  <c r="BA88" i="2"/>
  <c r="BA87" i="2"/>
  <c r="B73" i="7"/>
  <c r="W30" i="2"/>
  <c r="BA81" i="17"/>
  <c r="BA88" i="17"/>
  <c r="BA87" i="17"/>
  <c r="BP66" i="17"/>
  <c r="L41" i="17"/>
  <c r="Z41" i="17"/>
  <c r="BI70" i="17"/>
  <c r="B73" i="15"/>
  <c r="W30" i="17"/>
  <c r="AZ65" i="2"/>
  <c r="Z40" i="2" s="1"/>
  <c r="C41" i="2"/>
  <c r="AV17" i="2"/>
  <c r="O17" i="2" s="1"/>
  <c r="AW13" i="2"/>
  <c r="BA82" i="2"/>
  <c r="AV11" i="2"/>
  <c r="O11" i="2" s="1"/>
  <c r="AV10" i="2"/>
  <c r="O10" i="2" s="1"/>
  <c r="S41" i="2"/>
  <c r="AV12" i="2"/>
  <c r="O12" i="2" s="1"/>
  <c r="AW14" i="2"/>
  <c r="L41" i="2"/>
  <c r="Z41" i="2"/>
  <c r="AW3" i="2"/>
  <c r="AS44" i="2"/>
  <c r="B70" i="2" s="1"/>
  <c r="BI56" i="2"/>
  <c r="AW7" i="2"/>
  <c r="AV7" i="2"/>
  <c r="O7" i="2" s="1"/>
  <c r="CP94" i="2"/>
  <c r="CP80" i="2"/>
  <c r="CP91" i="2"/>
  <c r="CP116" i="2"/>
  <c r="CP87" i="2"/>
  <c r="CP123" i="2"/>
  <c r="CP121" i="2"/>
  <c r="CP85" i="2"/>
  <c r="CP104" i="2"/>
  <c r="CP108" i="2"/>
  <c r="CP139" i="2"/>
  <c r="CP98" i="2"/>
  <c r="CP84" i="2"/>
  <c r="CP135" i="2"/>
  <c r="CP102" i="2"/>
  <c r="CP78" i="2"/>
  <c r="CP92" i="2"/>
  <c r="CP120" i="2"/>
  <c r="CP69" i="2"/>
  <c r="CP68" i="2"/>
  <c r="CP72" i="2"/>
  <c r="CP109" i="2"/>
  <c r="CP73" i="2"/>
  <c r="CP126" i="2"/>
  <c r="CP93" i="2"/>
  <c r="CP137" i="2"/>
  <c r="CP86" i="2"/>
  <c r="CP125" i="2"/>
  <c r="CP70" i="2"/>
  <c r="CP79" i="2"/>
  <c r="CP101" i="2"/>
  <c r="CP134" i="2"/>
  <c r="CP133" i="2"/>
  <c r="CP117" i="2"/>
  <c r="CP128" i="2"/>
  <c r="CP112" i="2"/>
  <c r="CP76" i="2"/>
  <c r="CP105" i="2"/>
  <c r="CP130" i="2"/>
  <c r="CP122" i="2"/>
  <c r="CP88" i="2"/>
  <c r="CP71" i="2"/>
  <c r="CP111" i="2"/>
  <c r="CP75" i="2"/>
  <c r="CP138" i="2"/>
  <c r="CP136" i="2"/>
  <c r="CP115" i="2"/>
  <c r="CP114" i="2"/>
  <c r="CP90" i="2"/>
  <c r="CP106" i="2"/>
  <c r="CP67" i="2"/>
  <c r="CP127" i="2"/>
  <c r="CP132" i="2"/>
  <c r="CP124" i="2"/>
  <c r="CP99" i="2"/>
  <c r="CP96" i="2"/>
  <c r="CP97" i="2"/>
  <c r="CP131" i="2"/>
  <c r="CP66" i="2"/>
  <c r="CP82" i="2"/>
  <c r="CP65" i="2"/>
  <c r="CP113" i="2"/>
  <c r="CP118" i="2"/>
  <c r="CP89" i="2"/>
  <c r="CP119" i="2"/>
  <c r="CP77" i="2"/>
  <c r="CP81" i="2"/>
  <c r="CP107" i="2"/>
  <c r="CP129" i="2"/>
  <c r="CP95" i="2"/>
  <c r="CP103" i="2"/>
  <c r="CP100" i="2"/>
  <c r="CP83" i="2"/>
  <c r="CP110" i="2"/>
  <c r="CP74" i="2"/>
  <c r="CL77" i="2"/>
  <c r="CL103" i="2"/>
  <c r="CL74" i="2"/>
  <c r="CL110" i="2"/>
  <c r="CL125" i="2"/>
  <c r="CL67" i="2"/>
  <c r="CL128" i="2"/>
  <c r="CL96" i="2"/>
  <c r="CL116" i="2"/>
  <c r="CL134" i="2"/>
  <c r="CL139" i="2"/>
  <c r="CL115" i="2"/>
  <c r="CL85" i="2"/>
  <c r="CL76" i="2"/>
  <c r="CL80" i="2"/>
  <c r="CL70" i="2"/>
  <c r="CL68" i="2"/>
  <c r="CL88" i="2"/>
  <c r="CL98" i="2"/>
  <c r="CL100" i="2"/>
  <c r="CL137" i="2"/>
  <c r="CL138" i="2"/>
  <c r="CL124" i="2"/>
  <c r="CL79" i="2"/>
  <c r="CL114" i="2"/>
  <c r="CL105" i="2"/>
  <c r="CL99" i="2"/>
  <c r="CL95" i="2"/>
  <c r="CL102" i="2"/>
  <c r="CL66" i="2"/>
  <c r="CL129" i="2"/>
  <c r="CL65" i="2"/>
  <c r="CL94" i="2"/>
  <c r="CL118" i="2"/>
  <c r="CL82" i="2"/>
  <c r="CL122" i="2"/>
  <c r="CL108" i="2"/>
  <c r="CL92" i="2"/>
  <c r="CL69" i="2"/>
  <c r="CL113" i="2"/>
  <c r="CL72" i="2"/>
  <c r="CL83" i="2"/>
  <c r="CL136" i="2"/>
  <c r="CL93" i="2"/>
  <c r="CL97" i="2"/>
  <c r="CL123" i="2"/>
  <c r="CL131" i="2"/>
  <c r="CL78" i="2"/>
  <c r="CL111" i="2"/>
  <c r="CL107" i="2"/>
  <c r="CL126" i="2"/>
  <c r="CL87" i="2"/>
  <c r="CL135" i="2"/>
  <c r="CL75" i="2"/>
  <c r="CL86" i="2"/>
  <c r="CL109" i="2"/>
  <c r="CL71" i="2"/>
  <c r="CL90" i="2"/>
  <c r="CL101" i="2"/>
  <c r="CL91" i="2"/>
  <c r="CL127" i="2"/>
  <c r="CL89" i="2"/>
  <c r="CL84" i="2"/>
  <c r="CL130" i="2"/>
  <c r="CL121" i="2"/>
  <c r="CL106" i="2"/>
  <c r="CL104" i="2"/>
  <c r="CL120" i="2"/>
  <c r="CL132" i="2"/>
  <c r="CL117" i="2"/>
  <c r="CL81" i="2"/>
  <c r="CL73" i="2"/>
  <c r="CL133" i="2"/>
  <c r="CL119" i="2"/>
  <c r="CL112" i="2"/>
  <c r="AT2" i="2"/>
  <c r="AW2" i="2" s="1"/>
  <c r="BA77" i="2"/>
  <c r="CK74" i="2"/>
  <c r="CK73" i="2"/>
  <c r="CK80" i="2"/>
  <c r="CK123" i="2"/>
  <c r="CK105" i="2"/>
  <c r="CK75" i="2"/>
  <c r="CK102" i="2"/>
  <c r="CK100" i="2"/>
  <c r="CK82" i="2"/>
  <c r="CK121" i="2"/>
  <c r="CK107" i="2"/>
  <c r="CK76" i="2"/>
  <c r="CK122" i="2"/>
  <c r="CK104" i="2"/>
  <c r="CK90" i="2"/>
  <c r="CK109" i="2"/>
  <c r="CK99" i="2"/>
  <c r="CK126" i="2"/>
  <c r="CK92" i="2"/>
  <c r="CK97" i="2"/>
  <c r="CK138" i="2"/>
  <c r="CK87" i="2"/>
  <c r="CK132" i="2"/>
  <c r="CK111" i="2"/>
  <c r="CK78" i="2"/>
  <c r="CK89" i="2"/>
  <c r="CK84" i="2"/>
  <c r="CK103" i="2"/>
  <c r="CK101" i="2"/>
  <c r="CK125" i="2"/>
  <c r="CK131" i="2"/>
  <c r="CK120" i="2"/>
  <c r="CK96" i="2"/>
  <c r="CK119" i="2"/>
  <c r="CK83" i="2"/>
  <c r="CK139" i="2"/>
  <c r="CK137" i="2"/>
  <c r="CK93" i="2"/>
  <c r="CK70" i="2"/>
  <c r="CK136" i="2"/>
  <c r="CK110" i="2"/>
  <c r="CK69" i="2"/>
  <c r="CK115" i="2"/>
  <c r="CK91" i="2"/>
  <c r="CK130" i="2"/>
  <c r="CK134" i="2"/>
  <c r="CK98" i="2"/>
  <c r="CK117" i="2"/>
  <c r="CK72" i="2"/>
  <c r="CK114" i="2"/>
  <c r="CK65" i="2"/>
  <c r="CK94" i="2"/>
  <c r="CK95" i="2"/>
  <c r="CK67" i="2"/>
  <c r="CK124" i="2"/>
  <c r="CK77" i="2"/>
  <c r="CK128" i="2"/>
  <c r="CK66" i="2"/>
  <c r="CK108" i="2"/>
  <c r="CK135" i="2"/>
  <c r="CK116" i="2"/>
  <c r="CK118" i="2"/>
  <c r="CK133" i="2"/>
  <c r="CK68" i="2"/>
  <c r="CK113" i="2"/>
  <c r="CK81" i="2"/>
  <c r="CK129" i="2"/>
  <c r="CK112" i="2"/>
  <c r="CK88" i="2"/>
  <c r="CK86" i="2"/>
  <c r="CK71" i="2"/>
  <c r="CK85" i="2"/>
  <c r="CK106" i="2"/>
  <c r="CK79" i="2"/>
  <c r="CK127" i="2"/>
  <c r="CS75" i="2"/>
  <c r="CS111" i="2"/>
  <c r="CS97" i="2"/>
  <c r="CS65" i="2"/>
  <c r="CS131" i="2"/>
  <c r="CS78" i="2"/>
  <c r="CS114" i="2"/>
  <c r="CS100" i="2"/>
  <c r="CS101" i="2"/>
  <c r="CS134" i="2"/>
  <c r="CS81" i="2"/>
  <c r="CS67" i="2"/>
  <c r="CS103" i="2"/>
  <c r="CS122" i="2"/>
  <c r="CS90" i="2"/>
  <c r="CS76" i="2"/>
  <c r="CS126" i="2"/>
  <c r="CS87" i="2"/>
  <c r="CS88" i="2"/>
  <c r="CS80" i="2"/>
  <c r="CS86" i="2"/>
  <c r="CS116" i="2"/>
  <c r="CS102" i="2"/>
  <c r="CS117" i="2"/>
  <c r="CS110" i="2"/>
  <c r="CS113" i="2"/>
  <c r="CS83" i="2"/>
  <c r="CS105" i="2"/>
  <c r="CS130" i="2"/>
  <c r="CS118" i="2"/>
  <c r="CS124" i="2"/>
  <c r="CS92" i="2"/>
  <c r="CS73" i="2"/>
  <c r="CS71" i="2"/>
  <c r="CS104" i="2"/>
  <c r="CS79" i="2"/>
  <c r="CS89" i="2"/>
  <c r="CS120" i="2"/>
  <c r="CS82" i="2"/>
  <c r="CS98" i="2"/>
  <c r="CS66" i="2"/>
  <c r="CS85" i="2"/>
  <c r="CS107" i="2"/>
  <c r="CS132" i="2"/>
  <c r="CS94" i="2"/>
  <c r="CS84" i="2"/>
  <c r="CS106" i="2"/>
  <c r="CS119" i="2"/>
  <c r="CS69" i="2"/>
  <c r="CS91" i="2"/>
  <c r="CS127" i="2"/>
  <c r="CS135" i="2"/>
  <c r="CS123" i="2"/>
  <c r="CS138" i="2"/>
  <c r="CS112" i="2"/>
  <c r="CS133" i="2"/>
  <c r="CS96" i="2"/>
  <c r="CS121" i="2"/>
  <c r="CS72" i="2"/>
  <c r="CS137" i="2"/>
  <c r="CS93" i="2"/>
  <c r="CS109" i="2"/>
  <c r="CS125" i="2"/>
  <c r="CS136" i="2"/>
  <c r="CS129" i="2"/>
  <c r="CS74" i="2"/>
  <c r="CS99" i="2"/>
  <c r="CS108" i="2"/>
  <c r="CS70" i="2"/>
  <c r="CS139" i="2"/>
  <c r="CS68" i="2"/>
  <c r="CS77" i="2"/>
  <c r="CS128" i="2"/>
  <c r="CS115" i="2"/>
  <c r="CS95" i="2"/>
  <c r="CI84" i="2"/>
  <c r="CI73" i="2"/>
  <c r="CI125" i="2"/>
  <c r="CI112" i="2"/>
  <c r="CI95" i="2"/>
  <c r="CI83" i="2"/>
  <c r="CI87" i="2"/>
  <c r="CI76" i="2"/>
  <c r="CI113" i="2"/>
  <c r="CI117" i="2"/>
  <c r="CI131" i="2"/>
  <c r="CI92" i="2"/>
  <c r="CI90" i="2"/>
  <c r="CI79" i="2"/>
  <c r="CI121" i="2"/>
  <c r="CI126" i="2"/>
  <c r="CI134" i="2"/>
  <c r="CI114" i="2"/>
  <c r="CI99" i="2"/>
  <c r="CI88" i="2"/>
  <c r="CI89" i="2"/>
  <c r="CI118" i="2"/>
  <c r="CI119" i="2"/>
  <c r="CI129" i="2"/>
  <c r="CI96" i="2"/>
  <c r="CI100" i="2"/>
  <c r="CI122" i="2"/>
  <c r="CI115" i="2"/>
  <c r="CI111" i="2"/>
  <c r="CI80" i="2"/>
  <c r="CI68" i="2"/>
  <c r="CI135" i="2"/>
  <c r="CI66" i="2"/>
  <c r="CI67" i="2"/>
  <c r="CI98" i="2"/>
  <c r="CI77" i="2"/>
  <c r="CI107" i="2"/>
  <c r="CI69" i="2"/>
  <c r="CI85" i="2"/>
  <c r="CI106" i="2"/>
  <c r="CI132" i="2"/>
  <c r="CI91" i="2"/>
  <c r="CI127" i="2"/>
  <c r="CI101" i="2"/>
  <c r="CI94" i="2"/>
  <c r="CI65" i="2"/>
  <c r="CI120" i="2"/>
  <c r="CI72" i="2"/>
  <c r="CI75" i="2"/>
  <c r="CI97" i="2"/>
  <c r="CI123" i="2"/>
  <c r="CI81" i="2"/>
  <c r="CI71" i="2"/>
  <c r="CI78" i="2"/>
  <c r="CI109" i="2"/>
  <c r="CI86" i="2"/>
  <c r="CI116" i="2"/>
  <c r="CI137" i="2"/>
  <c r="CI103" i="2"/>
  <c r="CI130" i="2"/>
  <c r="CI133" i="2"/>
  <c r="CI93" i="2"/>
  <c r="CI102" i="2"/>
  <c r="CI128" i="2"/>
  <c r="CI105" i="2"/>
  <c r="CI138" i="2"/>
  <c r="CI110" i="2"/>
  <c r="CI124" i="2"/>
  <c r="CI108" i="2"/>
  <c r="CI74" i="2"/>
  <c r="CI70" i="2"/>
  <c r="CI82" i="2"/>
  <c r="CI136" i="2"/>
  <c r="CI139" i="2"/>
  <c r="CI104" i="2"/>
  <c r="BE73" i="2"/>
  <c r="BI69" i="2"/>
  <c r="BI74" i="2"/>
  <c r="BE66" i="2"/>
  <c r="BI67" i="2"/>
  <c r="BP68" i="2"/>
  <c r="BP67" i="2"/>
  <c r="BA85" i="2"/>
  <c r="BA86" i="2"/>
  <c r="BA83" i="2"/>
  <c r="BP65" i="2"/>
  <c r="BM66" i="2"/>
  <c r="BM67" i="2"/>
  <c r="BI75" i="2"/>
  <c r="BE72" i="2"/>
  <c r="BI72" i="2"/>
  <c r="BI66" i="2"/>
  <c r="BA84" i="2"/>
  <c r="BE71" i="2"/>
  <c r="BP69" i="2"/>
  <c r="BE68" i="2"/>
  <c r="BM69" i="2"/>
  <c r="BI71" i="2"/>
  <c r="BI68" i="2"/>
  <c r="BE69" i="2"/>
  <c r="BI73" i="2"/>
  <c r="BE67" i="2"/>
  <c r="AW4" i="2"/>
  <c r="AV4" i="2"/>
  <c r="O4" i="2" s="1"/>
  <c r="AV9" i="2"/>
  <c r="O9" i="2" s="1"/>
  <c r="AW9" i="2"/>
  <c r="CM92" i="2"/>
  <c r="CM101" i="2"/>
  <c r="CM135" i="2"/>
  <c r="CM137" i="2"/>
  <c r="CM107" i="2"/>
  <c r="CM138" i="2"/>
  <c r="CM79" i="2"/>
  <c r="CM133" i="2"/>
  <c r="CM87" i="2"/>
  <c r="CM100" i="2"/>
  <c r="CM93" i="2"/>
  <c r="CM111" i="2"/>
  <c r="CM88" i="2"/>
  <c r="CM122" i="2"/>
  <c r="CM65" i="2"/>
  <c r="CM115" i="2"/>
  <c r="CM106" i="2"/>
  <c r="CM71" i="2"/>
  <c r="CM112" i="2"/>
  <c r="CM83" i="2"/>
  <c r="CM139" i="2"/>
  <c r="CM86" i="2"/>
  <c r="CM72" i="2"/>
  <c r="CM97" i="2"/>
  <c r="CM132" i="2"/>
  <c r="CM94" i="2"/>
  <c r="CM108" i="2"/>
  <c r="CM103" i="2"/>
  <c r="CM89" i="2"/>
  <c r="CM69" i="2"/>
  <c r="CM116" i="2"/>
  <c r="CM91" i="2"/>
  <c r="CM74" i="2"/>
  <c r="CM118" i="2"/>
  <c r="CM125" i="2"/>
  <c r="CM75" i="2"/>
  <c r="CM121" i="2"/>
  <c r="CM127" i="2"/>
  <c r="CM126" i="2"/>
  <c r="CM114" i="2"/>
  <c r="CM129" i="2"/>
  <c r="CM82" i="2"/>
  <c r="CM130" i="2"/>
  <c r="CM76" i="2"/>
  <c r="CM123" i="2"/>
  <c r="CM128" i="2"/>
  <c r="CM70" i="2"/>
  <c r="CM131" i="2"/>
  <c r="CM85" i="2"/>
  <c r="CM117" i="2"/>
  <c r="CM66" i="2"/>
  <c r="CM120" i="2"/>
  <c r="CM81" i="2"/>
  <c r="CM67" i="2"/>
  <c r="CM124" i="2"/>
  <c r="CM80" i="2"/>
  <c r="CM99" i="2"/>
  <c r="CM134" i="2"/>
  <c r="CM84" i="2"/>
  <c r="CM95" i="2"/>
  <c r="CM119" i="2"/>
  <c r="CM77" i="2"/>
  <c r="CM110" i="2"/>
  <c r="CM113" i="2"/>
  <c r="CM105" i="2"/>
  <c r="CM136" i="2"/>
  <c r="CM98" i="2"/>
  <c r="CM78" i="2"/>
  <c r="CM73" i="2"/>
  <c r="CM102" i="2"/>
  <c r="CM96" i="2"/>
  <c r="CM109" i="2"/>
  <c r="CM90" i="2"/>
  <c r="CM104" i="2"/>
  <c r="CM68" i="2"/>
  <c r="CU84" i="2"/>
  <c r="CU90" i="2"/>
  <c r="CU121" i="2"/>
  <c r="CU109" i="2"/>
  <c r="CU120" i="2"/>
  <c r="CU93" i="2"/>
  <c r="CU129" i="2"/>
  <c r="CU114" i="2"/>
  <c r="CU116" i="2"/>
  <c r="CU79" i="2"/>
  <c r="CU122" i="2"/>
  <c r="CU95" i="2"/>
  <c r="CU70" i="2"/>
  <c r="CU89" i="2"/>
  <c r="CU106" i="2"/>
  <c r="CU76" i="2"/>
  <c r="CU98" i="2"/>
  <c r="CU82" i="2"/>
  <c r="CU110" i="2"/>
  <c r="CU74" i="2"/>
  <c r="CU134" i="2"/>
  <c r="CU97" i="2"/>
  <c r="CU115" i="2"/>
  <c r="CU133" i="2"/>
  <c r="CU139" i="2"/>
  <c r="CU80" i="2"/>
  <c r="CU72" i="2"/>
  <c r="CU68" i="2"/>
  <c r="CU81" i="2"/>
  <c r="CU113" i="2"/>
  <c r="CU87" i="2"/>
  <c r="CU132" i="2"/>
  <c r="CU99" i="2"/>
  <c r="CU135" i="2"/>
  <c r="CU108" i="2"/>
  <c r="CU83" i="2"/>
  <c r="CU88" i="2"/>
  <c r="CU103" i="2"/>
  <c r="CU117" i="2"/>
  <c r="CU65" i="2"/>
  <c r="CU131" i="2"/>
  <c r="CU137" i="2"/>
  <c r="CU69" i="2"/>
  <c r="CU111" i="2"/>
  <c r="CU71" i="2"/>
  <c r="CU96" i="2"/>
  <c r="CU91" i="2"/>
  <c r="CU73" i="2"/>
  <c r="CU67" i="2"/>
  <c r="CU138" i="2"/>
  <c r="CU78" i="2"/>
  <c r="CU104" i="2"/>
  <c r="CU77" i="2"/>
  <c r="CU128" i="2"/>
  <c r="CU119" i="2"/>
  <c r="CU118" i="2"/>
  <c r="CU136" i="2"/>
  <c r="CU125" i="2"/>
  <c r="CU126" i="2"/>
  <c r="CU112" i="2"/>
  <c r="CU124" i="2"/>
  <c r="CU123" i="2"/>
  <c r="CU102" i="2"/>
  <c r="CU100" i="2"/>
  <c r="CU86" i="2"/>
  <c r="CU127" i="2"/>
  <c r="CU107" i="2"/>
  <c r="CU85" i="2"/>
  <c r="CU75" i="2"/>
  <c r="CU130" i="2"/>
  <c r="CU66" i="2"/>
  <c r="CU101" i="2"/>
  <c r="CU92" i="2"/>
  <c r="CU94" i="2"/>
  <c r="CU105" i="2"/>
  <c r="AW11" i="2"/>
  <c r="CR99" i="2"/>
  <c r="CR80" i="2"/>
  <c r="CR113" i="2"/>
  <c r="CR92" i="2"/>
  <c r="CR115" i="2"/>
  <c r="CR96" i="2"/>
  <c r="CR127" i="2"/>
  <c r="CR139" i="2"/>
  <c r="CR88" i="2"/>
  <c r="CR132" i="2"/>
  <c r="CR91" i="2"/>
  <c r="CR112" i="2"/>
  <c r="CR94" i="2"/>
  <c r="CR116" i="2"/>
  <c r="CR98" i="2"/>
  <c r="CR117" i="2"/>
  <c r="CR138" i="2"/>
  <c r="CR78" i="2"/>
  <c r="CR125" i="2"/>
  <c r="CR90" i="2"/>
  <c r="CR130" i="2"/>
  <c r="CR93" i="2"/>
  <c r="CR76" i="2"/>
  <c r="CR74" i="2"/>
  <c r="CR72" i="2"/>
  <c r="CR95" i="2"/>
  <c r="CR103" i="2"/>
  <c r="CR122" i="2"/>
  <c r="CR123" i="2"/>
  <c r="CR109" i="2"/>
  <c r="CR119" i="2"/>
  <c r="CR82" i="2"/>
  <c r="CR111" i="2"/>
  <c r="CR67" i="2"/>
  <c r="CR66" i="2"/>
  <c r="CR114" i="2"/>
  <c r="CR110" i="2"/>
  <c r="CR100" i="2"/>
  <c r="CR87" i="2"/>
  <c r="CR86" i="2"/>
  <c r="CR84" i="2"/>
  <c r="CR65" i="2"/>
  <c r="CR77" i="2"/>
  <c r="CR69" i="2"/>
  <c r="CR126" i="2"/>
  <c r="CR121" i="2"/>
  <c r="CR128" i="2"/>
  <c r="CR73" i="2"/>
  <c r="CR136" i="2"/>
  <c r="CR101" i="2"/>
  <c r="CR118" i="2"/>
  <c r="CR135" i="2"/>
  <c r="CR75" i="2"/>
  <c r="CR70" i="2"/>
  <c r="CR83" i="2"/>
  <c r="CR120" i="2"/>
  <c r="CR97" i="2"/>
  <c r="CR79" i="2"/>
  <c r="CR134" i="2"/>
  <c r="CR108" i="2"/>
  <c r="CR81" i="2"/>
  <c r="CR133" i="2"/>
  <c r="CR107" i="2"/>
  <c r="CR106" i="2"/>
  <c r="CR124" i="2"/>
  <c r="CR68" i="2"/>
  <c r="CR71" i="2"/>
  <c r="CR89" i="2"/>
  <c r="CR129" i="2"/>
  <c r="CR137" i="2"/>
  <c r="CR104" i="2"/>
  <c r="CR131" i="2"/>
  <c r="CR85" i="2"/>
  <c r="CR105" i="2"/>
  <c r="CR102" i="2"/>
  <c r="AV16" i="2"/>
  <c r="O16" i="2" s="1"/>
  <c r="AW16" i="2"/>
  <c r="AW6" i="2"/>
  <c r="AV6" i="2"/>
  <c r="O6" i="2" s="1"/>
  <c r="AW10" i="2"/>
  <c r="AW8" i="2"/>
  <c r="AV8" i="2"/>
  <c r="O8" i="2" s="1"/>
  <c r="CN79" i="2"/>
  <c r="CN67" i="2"/>
  <c r="CN101" i="2"/>
  <c r="CN131" i="2"/>
  <c r="CN70" i="2"/>
  <c r="CN65" i="2"/>
  <c r="CN95" i="2"/>
  <c r="CN126" i="2"/>
  <c r="CN99" i="2"/>
  <c r="CN106" i="2"/>
  <c r="CN115" i="2"/>
  <c r="CN91" i="2"/>
  <c r="CN104" i="2"/>
  <c r="CN75" i="2"/>
  <c r="CN120" i="2"/>
  <c r="CN129" i="2"/>
  <c r="CN121" i="2"/>
  <c r="CN117" i="2"/>
  <c r="CN139" i="2"/>
  <c r="CN74" i="2"/>
  <c r="CN85" i="2"/>
  <c r="CN68" i="2"/>
  <c r="CN72" i="2"/>
  <c r="CN78" i="2"/>
  <c r="CN93" i="2"/>
  <c r="CN127" i="2"/>
  <c r="CN134" i="2"/>
  <c r="CN66" i="2"/>
  <c r="CN82" i="2"/>
  <c r="CN92" i="2"/>
  <c r="CN112" i="2"/>
  <c r="CN73" i="2"/>
  <c r="CN130" i="2"/>
  <c r="CN97" i="2"/>
  <c r="CN137" i="2"/>
  <c r="CN122" i="2"/>
  <c r="CN80" i="2"/>
  <c r="CN105" i="2"/>
  <c r="CN109" i="2"/>
  <c r="CN116" i="2"/>
  <c r="CN118" i="2"/>
  <c r="CN135" i="2"/>
  <c r="CN107" i="2"/>
  <c r="CN81" i="2"/>
  <c r="CN108" i="2"/>
  <c r="CN124" i="2"/>
  <c r="CN138" i="2"/>
  <c r="CN69" i="2"/>
  <c r="CN102" i="2"/>
  <c r="CN110" i="2"/>
  <c r="CN119" i="2"/>
  <c r="CN87" i="2"/>
  <c r="CN132" i="2"/>
  <c r="CN128" i="2"/>
  <c r="CN100" i="2"/>
  <c r="CN98" i="2"/>
  <c r="CN133" i="2"/>
  <c r="CN90" i="2"/>
  <c r="CN83" i="2"/>
  <c r="CN103" i="2"/>
  <c r="CN96" i="2"/>
  <c r="CN89" i="2"/>
  <c r="CN94" i="2"/>
  <c r="CN114" i="2"/>
  <c r="CN86" i="2"/>
  <c r="CN76" i="2"/>
  <c r="CN111" i="2"/>
  <c r="CN77" i="2"/>
  <c r="CN123" i="2"/>
  <c r="CN136" i="2"/>
  <c r="CN71" i="2"/>
  <c r="CN125" i="2"/>
  <c r="CN88" i="2"/>
  <c r="CN84" i="2"/>
  <c r="CN113" i="2"/>
  <c r="AW12" i="2"/>
  <c r="AV13" i="2"/>
  <c r="O13" i="2" s="1"/>
  <c r="CQ73" i="2"/>
  <c r="CQ109" i="2"/>
  <c r="CQ98" i="2"/>
  <c r="CQ107" i="2"/>
  <c r="CQ72" i="2"/>
  <c r="CQ126" i="2"/>
  <c r="CQ122" i="2"/>
  <c r="CQ76" i="2"/>
  <c r="CQ112" i="2"/>
  <c r="CQ101" i="2"/>
  <c r="CQ123" i="2"/>
  <c r="CQ81" i="2"/>
  <c r="CQ108" i="2"/>
  <c r="CQ79" i="2"/>
  <c r="CQ68" i="2"/>
  <c r="CQ116" i="2"/>
  <c r="CQ131" i="2"/>
  <c r="CQ90" i="2"/>
  <c r="CQ121" i="2"/>
  <c r="CQ88" i="2"/>
  <c r="CQ77" i="2"/>
  <c r="CQ110" i="2"/>
  <c r="CQ119" i="2"/>
  <c r="CQ104" i="2"/>
  <c r="CQ78" i="2"/>
  <c r="CQ85" i="2"/>
  <c r="CQ89" i="2"/>
  <c r="CQ137" i="2"/>
  <c r="CQ135" i="2"/>
  <c r="CQ100" i="2"/>
  <c r="CQ105" i="2"/>
  <c r="CQ115" i="2"/>
  <c r="CQ69" i="2"/>
  <c r="CQ103" i="2"/>
  <c r="CQ118" i="2"/>
  <c r="CQ124" i="2"/>
  <c r="CQ87" i="2"/>
  <c r="CQ106" i="2"/>
  <c r="CQ127" i="2"/>
  <c r="CQ96" i="2"/>
  <c r="CQ130" i="2"/>
  <c r="CQ83" i="2"/>
  <c r="CQ113" i="2"/>
  <c r="CQ111" i="2"/>
  <c r="CQ86" i="2"/>
  <c r="CQ99" i="2"/>
  <c r="CQ92" i="2"/>
  <c r="CQ102" i="2"/>
  <c r="CQ67" i="2"/>
  <c r="CQ95" i="2"/>
  <c r="CQ120" i="2"/>
  <c r="CQ91" i="2"/>
  <c r="CQ75" i="2"/>
  <c r="CQ70" i="2"/>
  <c r="CQ125" i="2"/>
  <c r="CQ129" i="2"/>
  <c r="CQ82" i="2"/>
  <c r="CQ66" i="2"/>
  <c r="CQ138" i="2"/>
  <c r="CQ132" i="2"/>
  <c r="CQ94" i="2"/>
  <c r="CQ117" i="2"/>
  <c r="CQ84" i="2"/>
  <c r="CQ97" i="2"/>
  <c r="CQ93" i="2"/>
  <c r="CQ65" i="2"/>
  <c r="CQ133" i="2"/>
  <c r="CQ136" i="2"/>
  <c r="CQ139" i="2"/>
  <c r="CQ71" i="2"/>
  <c r="CQ74" i="2"/>
  <c r="CQ134" i="2"/>
  <c r="CQ80" i="2"/>
  <c r="CQ128" i="2"/>
  <c r="CQ114" i="2"/>
  <c r="CG90" i="2"/>
  <c r="CG76" i="2"/>
  <c r="CG113" i="2"/>
  <c r="CG104" i="2"/>
  <c r="CG123" i="2"/>
  <c r="CG83" i="2"/>
  <c r="CG93" i="2"/>
  <c r="CG79" i="2"/>
  <c r="CG121" i="2"/>
  <c r="CG112" i="2"/>
  <c r="CG65" i="2"/>
  <c r="CG92" i="2"/>
  <c r="CG72" i="2"/>
  <c r="CG108" i="2"/>
  <c r="CG94" i="2"/>
  <c r="CG71" i="2"/>
  <c r="CG134" i="2"/>
  <c r="CG124" i="2"/>
  <c r="CG116" i="2"/>
  <c r="CG102" i="2"/>
  <c r="CG100" i="2"/>
  <c r="CG126" i="2"/>
  <c r="CG110" i="2"/>
  <c r="CG105" i="2"/>
  <c r="CG103" i="2"/>
  <c r="CG122" i="2"/>
  <c r="CG115" i="2"/>
  <c r="CG111" i="2"/>
  <c r="CG106" i="2"/>
  <c r="CG118" i="2"/>
  <c r="CG132" i="2"/>
  <c r="CG75" i="2"/>
  <c r="CG70" i="2"/>
  <c r="CG133" i="2"/>
  <c r="CG137" i="2"/>
  <c r="CG125" i="2"/>
  <c r="CG67" i="2"/>
  <c r="CG89" i="2"/>
  <c r="CG138" i="2"/>
  <c r="CG69" i="2"/>
  <c r="CG88" i="2"/>
  <c r="CG131" i="2"/>
  <c r="CG101" i="2"/>
  <c r="CG78" i="2"/>
  <c r="CG91" i="2"/>
  <c r="CG68" i="2"/>
  <c r="CG107" i="2"/>
  <c r="CG81" i="2"/>
  <c r="CG77" i="2"/>
  <c r="CG97" i="2"/>
  <c r="CG85" i="2"/>
  <c r="CG128" i="2"/>
  <c r="CG109" i="2"/>
  <c r="CG135" i="2"/>
  <c r="CG130" i="2"/>
  <c r="CG74" i="2"/>
  <c r="CG136" i="2"/>
  <c r="CG120" i="2"/>
  <c r="CG87" i="2"/>
  <c r="CG66" i="2"/>
  <c r="CG139" i="2"/>
  <c r="CG129" i="2"/>
  <c r="CG84" i="2"/>
  <c r="CG80" i="2"/>
  <c r="CG98" i="2"/>
  <c r="CG117" i="2"/>
  <c r="CG96" i="2"/>
  <c r="CG99" i="2"/>
  <c r="CG127" i="2"/>
  <c r="CG86" i="2"/>
  <c r="CG95" i="2"/>
  <c r="CG119" i="2"/>
  <c r="CG114" i="2"/>
  <c r="CG73" i="2"/>
  <c r="CG82" i="2"/>
  <c r="AV14" i="2"/>
  <c r="O14" i="2" s="1"/>
  <c r="BI70" i="2"/>
  <c r="CJ74" i="2"/>
  <c r="CJ98" i="2"/>
  <c r="CJ67" i="2"/>
  <c r="CJ107" i="2"/>
  <c r="CJ112" i="2"/>
  <c r="CJ105" i="2"/>
  <c r="CJ101" i="2"/>
  <c r="CJ70" i="2"/>
  <c r="CJ120" i="2"/>
  <c r="CJ117" i="2"/>
  <c r="CJ115" i="2"/>
  <c r="CJ66" i="2"/>
  <c r="CJ76" i="2"/>
  <c r="CJ129" i="2"/>
  <c r="CJ126" i="2"/>
  <c r="CJ124" i="2"/>
  <c r="CJ71" i="2"/>
  <c r="CJ78" i="2"/>
  <c r="CJ85" i="2"/>
  <c r="CJ113" i="2"/>
  <c r="CJ108" i="2"/>
  <c r="CJ138" i="2"/>
  <c r="CJ68" i="2"/>
  <c r="CJ93" i="2"/>
  <c r="CJ116" i="2"/>
  <c r="CJ123" i="2"/>
  <c r="CJ86" i="2"/>
  <c r="CJ82" i="2"/>
  <c r="CJ133" i="2"/>
  <c r="CJ114" i="2"/>
  <c r="CJ95" i="2"/>
  <c r="CJ89" i="2"/>
  <c r="CJ88" i="2"/>
  <c r="CJ139" i="2"/>
  <c r="CJ94" i="2"/>
  <c r="CJ83" i="2"/>
  <c r="CJ106" i="2"/>
  <c r="CJ128" i="2"/>
  <c r="CJ69" i="2"/>
  <c r="CJ131" i="2"/>
  <c r="CJ132" i="2"/>
  <c r="CJ121" i="2"/>
  <c r="CJ75" i="2"/>
  <c r="CJ81" i="2"/>
  <c r="CJ102" i="2"/>
  <c r="CJ122" i="2"/>
  <c r="CJ84" i="2"/>
  <c r="CJ130" i="2"/>
  <c r="CJ104" i="2"/>
  <c r="CJ96" i="2"/>
  <c r="CJ99" i="2"/>
  <c r="CJ87" i="2"/>
  <c r="CJ137" i="2"/>
  <c r="CJ79" i="2"/>
  <c r="CJ111" i="2"/>
  <c r="CJ97" i="2"/>
  <c r="CJ100" i="2"/>
  <c r="CJ103" i="2"/>
  <c r="CJ118" i="2"/>
  <c r="CJ134" i="2"/>
  <c r="CJ119" i="2"/>
  <c r="CJ80" i="2"/>
  <c r="CJ77" i="2"/>
  <c r="CJ110" i="2"/>
  <c r="CJ136" i="2"/>
  <c r="CJ135" i="2"/>
  <c r="CJ65" i="2"/>
  <c r="CJ109" i="2"/>
  <c r="CJ72" i="2"/>
  <c r="CJ125" i="2"/>
  <c r="CJ73" i="2"/>
  <c r="CJ91" i="2"/>
  <c r="CJ90" i="2"/>
  <c r="CJ92" i="2"/>
  <c r="CJ127" i="2"/>
  <c r="AV5" i="2"/>
  <c r="O5" i="2" s="1"/>
  <c r="AW5" i="2"/>
  <c r="J28" i="2"/>
  <c r="BM68" i="2"/>
  <c r="Y26" i="2"/>
  <c r="AB26" i="2" s="1"/>
  <c r="BM65" i="2"/>
  <c r="AW15" i="2"/>
  <c r="AV15" i="2"/>
  <c r="O15" i="2" s="1"/>
  <c r="CO82" i="2"/>
  <c r="CO106" i="2"/>
  <c r="CO101" i="2"/>
  <c r="CO114" i="2"/>
  <c r="CO102" i="2"/>
  <c r="CO111" i="2"/>
  <c r="CO67" i="2"/>
  <c r="CO109" i="2"/>
  <c r="CO104" i="2"/>
  <c r="CO115" i="2"/>
  <c r="CO116" i="2"/>
  <c r="CO65" i="2"/>
  <c r="CO85" i="2"/>
  <c r="CO80" i="2"/>
  <c r="CO134" i="2"/>
  <c r="CO135" i="2"/>
  <c r="CO133" i="2"/>
  <c r="CO103" i="2"/>
  <c r="CO123" i="2"/>
  <c r="CO121" i="2"/>
  <c r="CO96" i="2"/>
  <c r="CO112" i="2"/>
  <c r="CO131" i="2"/>
  <c r="CO72" i="2"/>
  <c r="CO127" i="2"/>
  <c r="CO68" i="2"/>
  <c r="CO66" i="2"/>
  <c r="CO90" i="2"/>
  <c r="CO118" i="2"/>
  <c r="CO73" i="2"/>
  <c r="CO83" i="2"/>
  <c r="CO93" i="2"/>
  <c r="CO117" i="2"/>
  <c r="CO91" i="2"/>
  <c r="CO84" i="2"/>
  <c r="CO69" i="2"/>
  <c r="CO77" i="2"/>
  <c r="CO120" i="2"/>
  <c r="CO86" i="2"/>
  <c r="CO132" i="2"/>
  <c r="CO138" i="2"/>
  <c r="CO92" i="2"/>
  <c r="CO74" i="2"/>
  <c r="CO130" i="2"/>
  <c r="CO95" i="2"/>
  <c r="CO136" i="2"/>
  <c r="CO98" i="2"/>
  <c r="CO78" i="2"/>
  <c r="CO105" i="2"/>
  <c r="CO87" i="2"/>
  <c r="CO70" i="2"/>
  <c r="CO110" i="2"/>
  <c r="CO75" i="2"/>
  <c r="CO119" i="2"/>
  <c r="CO76" i="2"/>
  <c r="CO124" i="2"/>
  <c r="CO79" i="2"/>
  <c r="CO113" i="2"/>
  <c r="CO88" i="2"/>
  <c r="CO94" i="2"/>
  <c r="CO97" i="2"/>
  <c r="CO99" i="2"/>
  <c r="CO125" i="2"/>
  <c r="CO126" i="2"/>
  <c r="CO122" i="2"/>
  <c r="CO107" i="2"/>
  <c r="CO108" i="2"/>
  <c r="CO71" i="2"/>
  <c r="CO129" i="2"/>
  <c r="CO137" i="2"/>
  <c r="CO89" i="2"/>
  <c r="CO100" i="2"/>
  <c r="CO81" i="2"/>
  <c r="CO128" i="2"/>
  <c r="CO139" i="2"/>
  <c r="AI83" i="2"/>
  <c r="J26" i="2"/>
  <c r="AN40" i="2"/>
  <c r="B67" i="2"/>
  <c r="AK28" i="2"/>
  <c r="AN28" i="2" s="1"/>
  <c r="AN21" i="2"/>
  <c r="CV101" i="2"/>
  <c r="CV99" i="2"/>
  <c r="CV100" i="2"/>
  <c r="CV133" i="2"/>
  <c r="CV127" i="2"/>
  <c r="CV112" i="2"/>
  <c r="CV68" i="2"/>
  <c r="CV66" i="2"/>
  <c r="CV67" i="2"/>
  <c r="CV103" i="2"/>
  <c r="CV136" i="2"/>
  <c r="CV109" i="2"/>
  <c r="CV132" i="2"/>
  <c r="CV71" i="2"/>
  <c r="CV69" i="2"/>
  <c r="CV70" i="2"/>
  <c r="CV106" i="2"/>
  <c r="CV139" i="2"/>
  <c r="CV131" i="2"/>
  <c r="CV129" i="2"/>
  <c r="CV80" i="2"/>
  <c r="CV78" i="2"/>
  <c r="CV79" i="2"/>
  <c r="CV134" i="2"/>
  <c r="CV102" i="2"/>
  <c r="CV104" i="2"/>
  <c r="CV77" i="2"/>
  <c r="CV90" i="2"/>
  <c r="CV125" i="2"/>
  <c r="CV107" i="2"/>
  <c r="CV92" i="2"/>
  <c r="CV76" i="2"/>
  <c r="CV117" i="2"/>
  <c r="CV128" i="2"/>
  <c r="CV98" i="2"/>
  <c r="CV95" i="2"/>
  <c r="CV82" i="2"/>
  <c r="CV126" i="2"/>
  <c r="CV113" i="2"/>
  <c r="CV130" i="2"/>
  <c r="CV115" i="2"/>
  <c r="CV85" i="2"/>
  <c r="CV73" i="2"/>
  <c r="CV123" i="2"/>
  <c r="CV74" i="2"/>
  <c r="CV88" i="2"/>
  <c r="CV137" i="2"/>
  <c r="CV83" i="2"/>
  <c r="CV110" i="2"/>
  <c r="CV91" i="2"/>
  <c r="CV86" i="2"/>
  <c r="CV94" i="2"/>
  <c r="CV118" i="2"/>
  <c r="CV75" i="2"/>
  <c r="CV108" i="2"/>
  <c r="CV105" i="2"/>
  <c r="CV89" i="2"/>
  <c r="CV97" i="2"/>
  <c r="CV119" i="2"/>
  <c r="CV72" i="2"/>
  <c r="CV116" i="2"/>
  <c r="CV124" i="2"/>
  <c r="CV81" i="2"/>
  <c r="CV138" i="2"/>
  <c r="CV111" i="2"/>
  <c r="CV121" i="2"/>
  <c r="CV120" i="2"/>
  <c r="CV84" i="2"/>
  <c r="CV87" i="2"/>
  <c r="CV93" i="2"/>
  <c r="CV96" i="2"/>
  <c r="CV122" i="2"/>
  <c r="CV65" i="2"/>
  <c r="CV114" i="2"/>
  <c r="CV135" i="2"/>
  <c r="AV3" i="2"/>
  <c r="O3" i="2" s="1"/>
  <c r="CT99" i="2"/>
  <c r="CT114" i="2"/>
  <c r="CT110" i="2"/>
  <c r="CT79" i="2"/>
  <c r="CT130" i="2"/>
  <c r="CT115" i="2"/>
  <c r="CT120" i="2"/>
  <c r="CT78" i="2"/>
  <c r="CT104" i="2"/>
  <c r="CT90" i="2"/>
  <c r="CT133" i="2"/>
  <c r="CT93" i="2"/>
  <c r="CT136" i="2"/>
  <c r="CT94" i="2"/>
  <c r="CT129" i="2"/>
  <c r="CT68" i="2"/>
  <c r="CT137" i="2"/>
  <c r="CT125" i="2"/>
  <c r="CT72" i="2"/>
  <c r="CT131" i="2"/>
  <c r="CT96" i="2"/>
  <c r="CT82" i="2"/>
  <c r="CT100" i="2"/>
  <c r="CT112" i="2"/>
  <c r="CT118" i="2"/>
  <c r="CT74" i="2"/>
  <c r="CT89" i="2"/>
  <c r="CT132" i="2"/>
  <c r="CT70" i="2"/>
  <c r="CT107" i="2"/>
  <c r="CT69" i="2"/>
  <c r="CT126" i="2"/>
  <c r="CT85" i="2"/>
  <c r="CT86" i="2"/>
  <c r="CT84" i="2"/>
  <c r="CT71" i="2"/>
  <c r="CT135" i="2"/>
  <c r="CT102" i="2"/>
  <c r="CT108" i="2"/>
  <c r="CT97" i="2"/>
  <c r="CT139" i="2"/>
  <c r="CT113" i="2"/>
  <c r="CT101" i="2"/>
  <c r="CT67" i="2"/>
  <c r="CT81" i="2"/>
  <c r="CT111" i="2"/>
  <c r="CT75" i="2"/>
  <c r="CT83" i="2"/>
  <c r="CT128" i="2"/>
  <c r="CT91" i="2"/>
  <c r="CT66" i="2"/>
  <c r="CT138" i="2"/>
  <c r="CT123" i="2"/>
  <c r="CT98" i="2"/>
  <c r="CT87" i="2"/>
  <c r="CT106" i="2"/>
  <c r="CT134" i="2"/>
  <c r="CT105" i="2"/>
  <c r="CT65" i="2"/>
  <c r="CT119" i="2"/>
  <c r="CT116" i="2"/>
  <c r="CT122" i="2"/>
  <c r="CT95" i="2"/>
  <c r="CT80" i="2"/>
  <c r="CT76" i="2"/>
  <c r="CT121" i="2"/>
  <c r="CT77" i="2"/>
  <c r="CT124" i="2"/>
  <c r="CT109" i="2"/>
  <c r="CT117" i="2"/>
  <c r="CT103" i="2"/>
  <c r="CT127" i="2"/>
  <c r="CT88" i="2"/>
  <c r="CT92" i="2"/>
  <c r="CT73" i="2"/>
  <c r="CH78" i="2"/>
  <c r="CH114" i="2"/>
  <c r="CH100" i="2"/>
  <c r="CH93" i="2"/>
  <c r="CH79" i="2"/>
  <c r="CH115" i="2"/>
  <c r="CH84" i="2"/>
  <c r="CH76" i="2"/>
  <c r="CH121" i="2"/>
  <c r="CH95" i="2"/>
  <c r="CH139" i="2"/>
  <c r="CH138" i="2"/>
  <c r="CH87" i="2"/>
  <c r="CH82" i="2"/>
  <c r="CH124" i="2"/>
  <c r="CH98" i="2"/>
  <c r="CH117" i="2"/>
  <c r="CH120" i="2"/>
  <c r="CH90" i="2"/>
  <c r="CH85" i="2"/>
  <c r="CH127" i="2"/>
  <c r="CH101" i="2"/>
  <c r="CH126" i="2"/>
  <c r="CH125" i="2"/>
  <c r="CH102" i="2"/>
  <c r="CH94" i="2"/>
  <c r="CH74" i="2"/>
  <c r="CH110" i="2"/>
  <c r="CH134" i="2"/>
  <c r="CH99" i="2"/>
  <c r="CH109" i="2"/>
  <c r="CH107" i="2"/>
  <c r="CH129" i="2"/>
  <c r="CH67" i="2"/>
  <c r="CH71" i="2"/>
  <c r="CH130" i="2"/>
  <c r="CH80" i="2"/>
  <c r="CH70" i="2"/>
  <c r="CH77" i="2"/>
  <c r="CH133" i="2"/>
  <c r="CH66" i="2"/>
  <c r="CH136" i="2"/>
  <c r="CH73" i="2"/>
  <c r="CH111" i="2"/>
  <c r="CH92" i="2"/>
  <c r="CH116" i="2"/>
  <c r="CH88" i="2"/>
  <c r="CH104" i="2"/>
  <c r="CH91" i="2"/>
  <c r="CH113" i="2"/>
  <c r="CH97" i="2"/>
  <c r="CH119" i="2"/>
  <c r="CH72" i="2"/>
  <c r="CH103" i="2"/>
  <c r="CH128" i="2"/>
  <c r="CH69" i="2"/>
  <c r="CH106" i="2"/>
  <c r="CH122" i="2"/>
  <c r="CH131" i="2"/>
  <c r="CH75" i="2"/>
  <c r="CH137" i="2"/>
  <c r="CH112" i="2"/>
  <c r="CH118" i="2"/>
  <c r="CH81" i="2"/>
  <c r="CH68" i="2"/>
  <c r="CH123" i="2"/>
  <c r="CH83" i="2"/>
  <c r="CH86" i="2"/>
  <c r="CH89" i="2"/>
  <c r="CH65" i="2"/>
  <c r="CH132" i="2"/>
  <c r="CH135" i="2"/>
  <c r="CH96" i="2"/>
  <c r="CH105" i="2"/>
  <c r="CH108" i="2"/>
  <c r="AW17" i="2"/>
  <c r="AZ65" i="17"/>
  <c r="Z40" i="17" s="1"/>
  <c r="AV13" i="17"/>
  <c r="O13" i="17" s="1"/>
  <c r="AV17" i="17"/>
  <c r="O17" i="17" s="1"/>
  <c r="AG40" i="17"/>
  <c r="CM44" i="17"/>
  <c r="B68" i="17" s="1"/>
  <c r="BI46" i="17"/>
  <c r="J28" i="17" s="1"/>
  <c r="AW16" i="17"/>
  <c r="AV16" i="17"/>
  <c r="O16" i="17" s="1"/>
  <c r="AV60" i="17" s="1"/>
  <c r="AV62" i="17" s="1"/>
  <c r="B69" i="17" s="1"/>
  <c r="AN21" i="17"/>
  <c r="AK28" i="17"/>
  <c r="AN28" i="17" s="1"/>
  <c r="AN40" i="17"/>
  <c r="AI83" i="17"/>
  <c r="J26" i="17"/>
  <c r="CL137" i="17"/>
  <c r="CL110" i="17"/>
  <c r="CL130" i="17"/>
  <c r="CL116" i="17"/>
  <c r="CL96" i="17"/>
  <c r="CL79" i="17"/>
  <c r="CL88" i="17"/>
  <c r="CL91" i="17"/>
  <c r="CL132" i="17"/>
  <c r="CL106" i="17"/>
  <c r="CL98" i="17"/>
  <c r="CL139" i="17"/>
  <c r="CL67" i="17"/>
  <c r="CL65" i="17"/>
  <c r="CL94" i="17"/>
  <c r="CL129" i="17"/>
  <c r="CL84" i="17"/>
  <c r="CL102" i="17"/>
  <c r="CL115" i="17"/>
  <c r="CL105" i="17"/>
  <c r="CL86" i="17"/>
  <c r="CL113" i="17"/>
  <c r="CL126" i="17"/>
  <c r="CL72" i="17"/>
  <c r="CL70" i="17"/>
  <c r="CL118" i="17"/>
  <c r="CL103" i="17"/>
  <c r="CL128" i="17"/>
  <c r="CL125" i="17"/>
  <c r="CL95" i="17"/>
  <c r="CL85" i="17"/>
  <c r="CL89" i="17"/>
  <c r="CL104" i="17"/>
  <c r="CL109" i="17"/>
  <c r="CL124" i="17"/>
  <c r="CL134" i="17"/>
  <c r="CL117" i="17"/>
  <c r="CL81" i="17"/>
  <c r="CL82" i="17"/>
  <c r="CL93" i="17"/>
  <c r="CL112" i="17"/>
  <c r="CL97" i="17"/>
  <c r="CL135" i="17"/>
  <c r="CL68" i="17"/>
  <c r="CL133" i="17"/>
  <c r="CL120" i="17"/>
  <c r="CL87" i="17"/>
  <c r="CL127" i="17"/>
  <c r="CL111" i="17"/>
  <c r="CL123" i="17"/>
  <c r="CL66" i="17"/>
  <c r="CL90" i="17"/>
  <c r="CL136" i="17"/>
  <c r="CL73" i="17"/>
  <c r="CL77" i="17"/>
  <c r="CL100" i="17"/>
  <c r="CL122" i="17"/>
  <c r="CL101" i="17"/>
  <c r="CL92" i="17"/>
  <c r="CL74" i="17"/>
  <c r="CL107" i="17"/>
  <c r="CL76" i="17"/>
  <c r="CL108" i="17"/>
  <c r="CL75" i="17"/>
  <c r="CL78" i="17"/>
  <c r="CL69" i="17"/>
  <c r="CL83" i="17"/>
  <c r="CL138" i="17"/>
  <c r="CL121" i="17"/>
  <c r="CL71" i="17"/>
  <c r="CL99" i="17"/>
  <c r="CL131" i="17"/>
  <c r="CL119" i="17"/>
  <c r="CL114" i="17"/>
  <c r="CL80" i="17"/>
  <c r="AV15" i="17"/>
  <c r="O15" i="17" s="1"/>
  <c r="AW15" i="17"/>
  <c r="CN83" i="17"/>
  <c r="CN81" i="17"/>
  <c r="CN79" i="17"/>
  <c r="CN122" i="17"/>
  <c r="CN77" i="17"/>
  <c r="CN85" i="17"/>
  <c r="CN110" i="17"/>
  <c r="CN102" i="17"/>
  <c r="CN70" i="17"/>
  <c r="CN69" i="17"/>
  <c r="CN130" i="17"/>
  <c r="CN129" i="17"/>
  <c r="CN89" i="17"/>
  <c r="CN68" i="17"/>
  <c r="CN138" i="17"/>
  <c r="CN95" i="17"/>
  <c r="CN111" i="17"/>
  <c r="CN118" i="17"/>
  <c r="CN44" i="17"/>
  <c r="B67" i="17" s="1"/>
  <c r="CN96" i="17"/>
  <c r="CN116" i="17"/>
  <c r="CN135" i="17"/>
  <c r="CN123" i="17"/>
  <c r="CN100" i="17"/>
  <c r="CN84" i="17"/>
  <c r="CN124" i="17"/>
  <c r="CN114" i="17"/>
  <c r="CN125" i="17"/>
  <c r="CN121" i="17"/>
  <c r="CN136" i="17"/>
  <c r="CN98" i="17"/>
  <c r="CN128" i="17"/>
  <c r="CN137" i="17"/>
  <c r="CN86" i="17"/>
  <c r="CN92" i="17"/>
  <c r="CN78" i="17"/>
  <c r="CN127" i="17"/>
  <c r="CN66" i="17"/>
  <c r="CN133" i="17"/>
  <c r="CN71" i="17"/>
  <c r="CN126" i="17"/>
  <c r="CN119" i="17"/>
  <c r="CN94" i="17"/>
  <c r="CN72" i="17"/>
  <c r="CN120" i="17"/>
  <c r="CN90" i="17"/>
  <c r="CN93" i="17"/>
  <c r="CN117" i="17"/>
  <c r="CN108" i="17"/>
  <c r="CN87" i="17"/>
  <c r="CN75" i="17"/>
  <c r="CN107" i="17"/>
  <c r="CN105" i="17"/>
  <c r="CN106" i="17"/>
  <c r="CN109" i="17"/>
  <c r="CN115" i="17"/>
  <c r="CN139" i="17"/>
  <c r="CN91" i="17"/>
  <c r="CN65" i="17"/>
  <c r="CN132" i="17"/>
  <c r="CN80" i="17"/>
  <c r="CN88" i="17"/>
  <c r="CN82" i="17"/>
  <c r="CN134" i="17"/>
  <c r="CN67" i="17"/>
  <c r="CN112" i="17"/>
  <c r="CN103" i="17"/>
  <c r="CN73" i="17"/>
  <c r="CN74" i="17"/>
  <c r="CN131" i="17"/>
  <c r="CN99" i="17"/>
  <c r="CN104" i="17"/>
  <c r="CN113" i="17"/>
  <c r="CN76" i="17"/>
  <c r="CN97" i="17"/>
  <c r="CN101" i="17"/>
  <c r="AW3" i="17"/>
  <c r="AV3" i="17"/>
  <c r="O3" i="17" s="1"/>
  <c r="AV9" i="17"/>
  <c r="O9" i="17" s="1"/>
  <c r="AW9" i="17"/>
  <c r="AW5" i="17"/>
  <c r="AV5" i="17"/>
  <c r="O5" i="17" s="1"/>
  <c r="CV78" i="17"/>
  <c r="CV92" i="17"/>
  <c r="CV127" i="17"/>
  <c r="CV111" i="17"/>
  <c r="CV65" i="17"/>
  <c r="CV96" i="17"/>
  <c r="CV70" i="17"/>
  <c r="CV122" i="17"/>
  <c r="CV114" i="17"/>
  <c r="CV108" i="17"/>
  <c r="CV105" i="17"/>
  <c r="CV86" i="17"/>
  <c r="CV72" i="17"/>
  <c r="CV77" i="17"/>
  <c r="CV98" i="17"/>
  <c r="CV89" i="17"/>
  <c r="CV103" i="17"/>
  <c r="CV73" i="17"/>
  <c r="CV117" i="17"/>
  <c r="CV115" i="17"/>
  <c r="CV123" i="17"/>
  <c r="CV121" i="17"/>
  <c r="CV76" i="17"/>
  <c r="CV74" i="17"/>
  <c r="CV66" i="17"/>
  <c r="CV84" i="17"/>
  <c r="CV137" i="17"/>
  <c r="CV67" i="17"/>
  <c r="CV97" i="17"/>
  <c r="CV91" i="17"/>
  <c r="CV128" i="17"/>
  <c r="CV132" i="17"/>
  <c r="CV75" i="17"/>
  <c r="CV69" i="17"/>
  <c r="CV93" i="17"/>
  <c r="CV126" i="17"/>
  <c r="CV119" i="17"/>
  <c r="CV99" i="17"/>
  <c r="CV95" i="17"/>
  <c r="CV110" i="17"/>
  <c r="CV107" i="17"/>
  <c r="CV109" i="17"/>
  <c r="CV90" i="17"/>
  <c r="CV112" i="17"/>
  <c r="CV85" i="17"/>
  <c r="CV82" i="17"/>
  <c r="CV68" i="17"/>
  <c r="CV80" i="17"/>
  <c r="CV139" i="17"/>
  <c r="CV100" i="17"/>
  <c r="CV94" i="17"/>
  <c r="CV134" i="17"/>
  <c r="CV71" i="17"/>
  <c r="CV125" i="17"/>
  <c r="CV118" i="17"/>
  <c r="CV124" i="17"/>
  <c r="CV106" i="17"/>
  <c r="CV131" i="17"/>
  <c r="CV101" i="17"/>
  <c r="CV129" i="17"/>
  <c r="CV88" i="17"/>
  <c r="CV135" i="17"/>
  <c r="CV87" i="17"/>
  <c r="CV81" i="17"/>
  <c r="CV116" i="17"/>
  <c r="CV102" i="17"/>
  <c r="CV104" i="17"/>
  <c r="CV133" i="17"/>
  <c r="CV83" i="17"/>
  <c r="CV130" i="17"/>
  <c r="CV79" i="17"/>
  <c r="CV136" i="17"/>
  <c r="CV120" i="17"/>
  <c r="CV113" i="17"/>
  <c r="CV138" i="17"/>
  <c r="CO111" i="17"/>
  <c r="CO132" i="17"/>
  <c r="CO130" i="17"/>
  <c r="CO88" i="17"/>
  <c r="CO135" i="17"/>
  <c r="CO124" i="17"/>
  <c r="CO79" i="17"/>
  <c r="CO75" i="17"/>
  <c r="CO96" i="17"/>
  <c r="CO120" i="17"/>
  <c r="CO127" i="17"/>
  <c r="CO119" i="17"/>
  <c r="CO106" i="17"/>
  <c r="CO118" i="17"/>
  <c r="CO109" i="17"/>
  <c r="CO78" i="17"/>
  <c r="CO77" i="17"/>
  <c r="CO99" i="17"/>
  <c r="CO80" i="17"/>
  <c r="CO126" i="17"/>
  <c r="CO76" i="17"/>
  <c r="CO138" i="17"/>
  <c r="CO95" i="17"/>
  <c r="CO91" i="17"/>
  <c r="CO74" i="17"/>
  <c r="CO116" i="17"/>
  <c r="CO107" i="17"/>
  <c r="CO83" i="17"/>
  <c r="CO115" i="17"/>
  <c r="CO86" i="17"/>
  <c r="CO104" i="17"/>
  <c r="CO101" i="17"/>
  <c r="CO136" i="17"/>
  <c r="CO85" i="17"/>
  <c r="CO125" i="17"/>
  <c r="CO68" i="17"/>
  <c r="CO112" i="17"/>
  <c r="CO102" i="17"/>
  <c r="CO69" i="17"/>
  <c r="CO65" i="17"/>
  <c r="CO128" i="17"/>
  <c r="CO71" i="17"/>
  <c r="CO110" i="17"/>
  <c r="CO133" i="17"/>
  <c r="CO70" i="17"/>
  <c r="CO117" i="17"/>
  <c r="CO131" i="17"/>
  <c r="CO97" i="17"/>
  <c r="CO129" i="17"/>
  <c r="CO90" i="17"/>
  <c r="CO103" i="17"/>
  <c r="CO94" i="17"/>
  <c r="CO82" i="17"/>
  <c r="CO81" i="17"/>
  <c r="CO66" i="17"/>
  <c r="CO98" i="17"/>
  <c r="CO73" i="17"/>
  <c r="CO121" i="17"/>
  <c r="CO134" i="17"/>
  <c r="CO100" i="17"/>
  <c r="CO89" i="17"/>
  <c r="CO72" i="17"/>
  <c r="CO114" i="17"/>
  <c r="CO84" i="17"/>
  <c r="CO113" i="17"/>
  <c r="CO108" i="17"/>
  <c r="CO105" i="17"/>
  <c r="CO123" i="17"/>
  <c r="CO139" i="17"/>
  <c r="CO93" i="17"/>
  <c r="CO122" i="17"/>
  <c r="CO92" i="17"/>
  <c r="CO67" i="17"/>
  <c r="CO87" i="17"/>
  <c r="CO137" i="17"/>
  <c r="CP94" i="17"/>
  <c r="CP106" i="17"/>
  <c r="CP137" i="17"/>
  <c r="CP127" i="17"/>
  <c r="CP77" i="17"/>
  <c r="CP116" i="17"/>
  <c r="CP131" i="17"/>
  <c r="CP98" i="17"/>
  <c r="CP109" i="17"/>
  <c r="CP88" i="17"/>
  <c r="CP75" i="17"/>
  <c r="CP130" i="17"/>
  <c r="CP74" i="17"/>
  <c r="CP133" i="17"/>
  <c r="CP104" i="17"/>
  <c r="CP83" i="17"/>
  <c r="CP99" i="17"/>
  <c r="CP97" i="17"/>
  <c r="CP69" i="17"/>
  <c r="CP81" i="17"/>
  <c r="CP129" i="17"/>
  <c r="CP115" i="17"/>
  <c r="CP107" i="17"/>
  <c r="CP68" i="17"/>
  <c r="CP139" i="17"/>
  <c r="CP82" i="17"/>
  <c r="CP135" i="17"/>
  <c r="CP65" i="17"/>
  <c r="CP136" i="17"/>
  <c r="CP114" i="17"/>
  <c r="CP90" i="17"/>
  <c r="CP73" i="17"/>
  <c r="CP85" i="17"/>
  <c r="CP66" i="17"/>
  <c r="CP87" i="17"/>
  <c r="CP110" i="17"/>
  <c r="CP96" i="17"/>
  <c r="CP67" i="17"/>
  <c r="CP105" i="17"/>
  <c r="CP132" i="17"/>
  <c r="CP119" i="17"/>
  <c r="CP102" i="17"/>
  <c r="CP134" i="17"/>
  <c r="CP71" i="17"/>
  <c r="CP76" i="17"/>
  <c r="CP93" i="17"/>
  <c r="CP89" i="17"/>
  <c r="CP86" i="17"/>
  <c r="CP103" i="17"/>
  <c r="CP125" i="17"/>
  <c r="CP111" i="17"/>
  <c r="CP70" i="17"/>
  <c r="CP100" i="17"/>
  <c r="CP80" i="17"/>
  <c r="CP78" i="17"/>
  <c r="CP79" i="17"/>
  <c r="CP138" i="17"/>
  <c r="CP95" i="17"/>
  <c r="CP101" i="17"/>
  <c r="CP128" i="17"/>
  <c r="CP118" i="17"/>
  <c r="CP112" i="17"/>
  <c r="CP92" i="17"/>
  <c r="CP126" i="17"/>
  <c r="CP108" i="17"/>
  <c r="CP121" i="17"/>
  <c r="CP122" i="17"/>
  <c r="CP113" i="17"/>
  <c r="CP123" i="17"/>
  <c r="CP117" i="17"/>
  <c r="CP72" i="17"/>
  <c r="CP91" i="17"/>
  <c r="CP124" i="17"/>
  <c r="CP120" i="17"/>
  <c r="CP84" i="17"/>
  <c r="CM68" i="17"/>
  <c r="CM86" i="17"/>
  <c r="CM115" i="17"/>
  <c r="CM108" i="17"/>
  <c r="CM127" i="17"/>
  <c r="CM130" i="17"/>
  <c r="CM88" i="17"/>
  <c r="CM91" i="17"/>
  <c r="CM121" i="17"/>
  <c r="CM131" i="17"/>
  <c r="CM70" i="17"/>
  <c r="CM134" i="17"/>
  <c r="CM71" i="17"/>
  <c r="CM124" i="17"/>
  <c r="CM133" i="17"/>
  <c r="CM106" i="17"/>
  <c r="CM78" i="17"/>
  <c r="CM105" i="17"/>
  <c r="CM112" i="17"/>
  <c r="CM103" i="17"/>
  <c r="CM72" i="17"/>
  <c r="CM111" i="17"/>
  <c r="CM128" i="17"/>
  <c r="CM76" i="17"/>
  <c r="CM129" i="17"/>
  <c r="CM94" i="17"/>
  <c r="CM82" i="17"/>
  <c r="CM126" i="17"/>
  <c r="CM80" i="17"/>
  <c r="CM73" i="17"/>
  <c r="CM93" i="17"/>
  <c r="CM81" i="17"/>
  <c r="CM110" i="17"/>
  <c r="CM136" i="17"/>
  <c r="CM116" i="17"/>
  <c r="CM90" i="17"/>
  <c r="CM139" i="17"/>
  <c r="CM122" i="17"/>
  <c r="CM98" i="17"/>
  <c r="CM99" i="17"/>
  <c r="CM96" i="17"/>
  <c r="CM77" i="17"/>
  <c r="CM137" i="17"/>
  <c r="CM65" i="17"/>
  <c r="CM67" i="17"/>
  <c r="CM74" i="17"/>
  <c r="CM135" i="17"/>
  <c r="CM79" i="17"/>
  <c r="CM104" i="17"/>
  <c r="CM113" i="17"/>
  <c r="CM87" i="17"/>
  <c r="CM123" i="17"/>
  <c r="CM84" i="17"/>
  <c r="CM120" i="17"/>
  <c r="CM117" i="17"/>
  <c r="CM83" i="17"/>
  <c r="CM107" i="17"/>
  <c r="CM97" i="17"/>
  <c r="CM125" i="17"/>
  <c r="CM69" i="17"/>
  <c r="CM95" i="17"/>
  <c r="CM132" i="17"/>
  <c r="CM75" i="17"/>
  <c r="CM138" i="17"/>
  <c r="CM100" i="17"/>
  <c r="CM92" i="17"/>
  <c r="CM109" i="17"/>
  <c r="CM66" i="17"/>
  <c r="CM85" i="17"/>
  <c r="CM114" i="17"/>
  <c r="CM102" i="17"/>
  <c r="CM101" i="17"/>
  <c r="CM118" i="17"/>
  <c r="CM89" i="17"/>
  <c r="CM119" i="17"/>
  <c r="CJ128" i="17"/>
  <c r="CJ73" i="17"/>
  <c r="CJ82" i="17"/>
  <c r="CJ70" i="17"/>
  <c r="CJ66" i="17"/>
  <c r="CJ119" i="17"/>
  <c r="CJ116" i="17"/>
  <c r="CJ138" i="17"/>
  <c r="CJ85" i="17"/>
  <c r="CJ127" i="17"/>
  <c r="CJ115" i="17"/>
  <c r="CJ99" i="17"/>
  <c r="CJ89" i="17"/>
  <c r="CJ137" i="17"/>
  <c r="CJ76" i="17"/>
  <c r="CJ118" i="17"/>
  <c r="CJ75" i="17"/>
  <c r="CJ102" i="17"/>
  <c r="CJ96" i="17"/>
  <c r="CJ79" i="17"/>
  <c r="CJ83" i="17"/>
  <c r="CJ68" i="17"/>
  <c r="CJ112" i="17"/>
  <c r="CJ122" i="17"/>
  <c r="CJ81" i="17"/>
  <c r="CJ95" i="17"/>
  <c r="CJ80" i="17"/>
  <c r="CJ136" i="17"/>
  <c r="CJ108" i="17"/>
  <c r="CJ94" i="17"/>
  <c r="CJ65" i="17"/>
  <c r="CJ97" i="17"/>
  <c r="CJ106" i="17"/>
  <c r="CJ86" i="17"/>
  <c r="CJ74" i="17"/>
  <c r="CJ111" i="17"/>
  <c r="CJ121" i="17"/>
  <c r="CJ98" i="17"/>
  <c r="CJ131" i="17"/>
  <c r="CJ67" i="17"/>
  <c r="CJ114" i="17"/>
  <c r="CJ132" i="17"/>
  <c r="CJ78" i="17"/>
  <c r="CJ124" i="17"/>
  <c r="CJ72" i="17"/>
  <c r="CJ100" i="17"/>
  <c r="CJ109" i="17"/>
  <c r="CJ84" i="17"/>
  <c r="CJ69" i="17"/>
  <c r="CJ123" i="17"/>
  <c r="CJ135" i="17"/>
  <c r="CJ90" i="17"/>
  <c r="CJ130" i="17"/>
  <c r="CJ105" i="17"/>
  <c r="CJ129" i="17"/>
  <c r="CJ91" i="17"/>
  <c r="CJ104" i="17"/>
  <c r="CJ134" i="17"/>
  <c r="CJ92" i="17"/>
  <c r="CJ101" i="17"/>
  <c r="CJ107" i="17"/>
  <c r="CJ125" i="17"/>
  <c r="CJ110" i="17"/>
  <c r="CJ71" i="17"/>
  <c r="CJ126" i="17"/>
  <c r="CJ120" i="17"/>
  <c r="CJ103" i="17"/>
  <c r="CJ139" i="17"/>
  <c r="CJ133" i="17"/>
  <c r="CJ93" i="17"/>
  <c r="CJ77" i="17"/>
  <c r="CJ113" i="17"/>
  <c r="CJ117" i="17"/>
  <c r="CJ87" i="17"/>
  <c r="CJ88" i="17"/>
  <c r="CQ111" i="17"/>
  <c r="CQ129" i="17"/>
  <c r="CQ87" i="17"/>
  <c r="CQ138" i="17"/>
  <c r="CQ126" i="17"/>
  <c r="CQ134" i="17"/>
  <c r="CQ103" i="17"/>
  <c r="CQ127" i="17"/>
  <c r="CQ95" i="17"/>
  <c r="CQ77" i="17"/>
  <c r="CQ66" i="17"/>
  <c r="CQ119" i="17"/>
  <c r="CQ74" i="17"/>
  <c r="CQ104" i="17"/>
  <c r="CQ98" i="17"/>
  <c r="CQ125" i="17"/>
  <c r="CQ113" i="17"/>
  <c r="CQ73" i="17"/>
  <c r="CQ69" i="17"/>
  <c r="CQ121" i="17"/>
  <c r="CQ135" i="17"/>
  <c r="CQ88" i="17"/>
  <c r="CQ68" i="17"/>
  <c r="CQ116" i="17"/>
  <c r="CQ65" i="17"/>
  <c r="CQ110" i="17"/>
  <c r="CQ136" i="17"/>
  <c r="CQ80" i="17"/>
  <c r="CQ86" i="17"/>
  <c r="CQ106" i="17"/>
  <c r="CQ84" i="17"/>
  <c r="CQ124" i="17"/>
  <c r="CQ105" i="17"/>
  <c r="CQ108" i="17"/>
  <c r="CQ123" i="17"/>
  <c r="CQ101" i="17"/>
  <c r="CQ70" i="17"/>
  <c r="CQ120" i="17"/>
  <c r="CQ139" i="17"/>
  <c r="CQ132" i="17"/>
  <c r="CQ81" i="17"/>
  <c r="CQ130" i="17"/>
  <c r="CQ94" i="17"/>
  <c r="CQ82" i="17"/>
  <c r="CQ90" i="17"/>
  <c r="CQ76" i="17"/>
  <c r="CQ79" i="17"/>
  <c r="CQ133" i="17"/>
  <c r="CQ75" i="17"/>
  <c r="CQ83" i="17"/>
  <c r="CQ72" i="17"/>
  <c r="CQ91" i="17"/>
  <c r="CQ93" i="17"/>
  <c r="CQ114" i="17"/>
  <c r="CQ78" i="17"/>
  <c r="CQ85" i="17"/>
  <c r="CQ71" i="17"/>
  <c r="CQ122" i="17"/>
  <c r="CQ89" i="17"/>
  <c r="CQ100" i="17"/>
  <c r="CQ115" i="17"/>
  <c r="CQ67" i="17"/>
  <c r="CQ107" i="17"/>
  <c r="CQ118" i="17"/>
  <c r="CQ99" i="17"/>
  <c r="CQ131" i="17"/>
  <c r="CQ117" i="17"/>
  <c r="CQ137" i="17"/>
  <c r="CQ102" i="17"/>
  <c r="CQ96" i="17"/>
  <c r="CQ128" i="17"/>
  <c r="CQ112" i="17"/>
  <c r="CQ109" i="17"/>
  <c r="CQ97" i="17"/>
  <c r="CQ92" i="17"/>
  <c r="CH101" i="17"/>
  <c r="CH93" i="17"/>
  <c r="CH79" i="17"/>
  <c r="CH91" i="17"/>
  <c r="CH132" i="17"/>
  <c r="CH77" i="17"/>
  <c r="CH105" i="17"/>
  <c r="CH84" i="17"/>
  <c r="CH106" i="17"/>
  <c r="CH131" i="17"/>
  <c r="CH69" i="17"/>
  <c r="CH115" i="17"/>
  <c r="CH65" i="17"/>
  <c r="CH124" i="17"/>
  <c r="CH87" i="17"/>
  <c r="CH74" i="17"/>
  <c r="CH113" i="17"/>
  <c r="CH104" i="17"/>
  <c r="CH76" i="17"/>
  <c r="CH126" i="17"/>
  <c r="CH114" i="17"/>
  <c r="CH119" i="17"/>
  <c r="CH117" i="17"/>
  <c r="CH70" i="17"/>
  <c r="CH67" i="17"/>
  <c r="CH71" i="17"/>
  <c r="CH127" i="17"/>
  <c r="CH103" i="17"/>
  <c r="CH111" i="17"/>
  <c r="CH128" i="17"/>
  <c r="CH110" i="17"/>
  <c r="CH112" i="17"/>
  <c r="CH75" i="17"/>
  <c r="CH95" i="17"/>
  <c r="CH122" i="17"/>
  <c r="CH109" i="17"/>
  <c r="CH138" i="17"/>
  <c r="CH68" i="17"/>
  <c r="CH66" i="17"/>
  <c r="CH125" i="17"/>
  <c r="CH81" i="17"/>
  <c r="CH129" i="17"/>
  <c r="CH134" i="17"/>
  <c r="CH80" i="17"/>
  <c r="CH94" i="17"/>
  <c r="CH108" i="17"/>
  <c r="CH116" i="17"/>
  <c r="CH136" i="17"/>
  <c r="CH120" i="17"/>
  <c r="CH90" i="17"/>
  <c r="CH99" i="17"/>
  <c r="CH89" i="17"/>
  <c r="CH82" i="17"/>
  <c r="CH139" i="17"/>
  <c r="CH123" i="17"/>
  <c r="CH98" i="17"/>
  <c r="CH133" i="17"/>
  <c r="CH118" i="17"/>
  <c r="CH83" i="17"/>
  <c r="CH135" i="17"/>
  <c r="CH97" i="17"/>
  <c r="CH88" i="17"/>
  <c r="CH121" i="17"/>
  <c r="CH137" i="17"/>
  <c r="CH102" i="17"/>
  <c r="CH73" i="17"/>
  <c r="CH92" i="17"/>
  <c r="CH72" i="17"/>
  <c r="CH107" i="17"/>
  <c r="CH85" i="17"/>
  <c r="CH130" i="17"/>
  <c r="CH78" i="17"/>
  <c r="CH86" i="17"/>
  <c r="CH96" i="17"/>
  <c r="CH100" i="17"/>
  <c r="AV7" i="17"/>
  <c r="O7" i="17" s="1"/>
  <c r="AW7" i="17"/>
  <c r="AW17" i="17"/>
  <c r="CU133" i="17"/>
  <c r="CU109" i="17"/>
  <c r="CU126" i="17"/>
  <c r="CU120" i="17"/>
  <c r="CU68" i="17"/>
  <c r="CU71" i="17"/>
  <c r="CU99" i="17"/>
  <c r="CU124" i="17"/>
  <c r="CU65" i="17"/>
  <c r="CU84" i="17"/>
  <c r="CU80" i="17"/>
  <c r="CU121" i="17"/>
  <c r="CU82" i="17"/>
  <c r="CU98" i="17"/>
  <c r="CU94" i="17"/>
  <c r="CU66" i="17"/>
  <c r="CU118" i="17"/>
  <c r="CU138" i="17"/>
  <c r="CU112" i="17"/>
  <c r="CU90" i="17"/>
  <c r="CU74" i="17"/>
  <c r="CU77" i="17"/>
  <c r="CU95" i="17"/>
  <c r="CU128" i="17"/>
  <c r="CU69" i="17"/>
  <c r="CU79" i="17"/>
  <c r="CU104" i="17"/>
  <c r="CU91" i="17"/>
  <c r="CU136" i="17"/>
  <c r="CU119" i="17"/>
  <c r="CU81" i="17"/>
  <c r="CU67" i="17"/>
  <c r="CU108" i="17"/>
  <c r="CU86" i="17"/>
  <c r="CU137" i="17"/>
  <c r="CU88" i="17"/>
  <c r="CU78" i="17"/>
  <c r="CU131" i="17"/>
  <c r="CU115" i="17"/>
  <c r="CU130" i="17"/>
  <c r="CU73" i="17"/>
  <c r="CU129" i="17"/>
  <c r="CU111" i="17"/>
  <c r="CU122" i="17"/>
  <c r="CU76" i="17"/>
  <c r="CU72" i="17"/>
  <c r="CU123" i="17"/>
  <c r="CU135" i="17"/>
  <c r="CU117" i="17"/>
  <c r="CU97" i="17"/>
  <c r="CU139" i="17"/>
  <c r="CU92" i="17"/>
  <c r="CU87" i="17"/>
  <c r="CU132" i="17"/>
  <c r="CU127" i="17"/>
  <c r="CU134" i="17"/>
  <c r="CU107" i="17"/>
  <c r="CU116" i="17"/>
  <c r="CU85" i="17"/>
  <c r="CU114" i="17"/>
  <c r="CU103" i="17"/>
  <c r="CU89" i="17"/>
  <c r="CU75" i="17"/>
  <c r="CU106" i="17"/>
  <c r="CU110" i="17"/>
  <c r="CU70" i="17"/>
  <c r="CU93" i="17"/>
  <c r="CU113" i="17"/>
  <c r="CU105" i="17"/>
  <c r="CU100" i="17"/>
  <c r="CU101" i="17"/>
  <c r="CU102" i="17"/>
  <c r="CU96" i="17"/>
  <c r="CU125" i="17"/>
  <c r="CU83" i="17"/>
  <c r="CT132" i="17"/>
  <c r="CT121" i="17"/>
  <c r="CT107" i="17"/>
  <c r="CT108" i="17"/>
  <c r="CT95" i="17"/>
  <c r="CT114" i="17"/>
  <c r="CT74" i="17"/>
  <c r="CT133" i="17"/>
  <c r="CT84" i="17"/>
  <c r="CT134" i="17"/>
  <c r="CT112" i="17"/>
  <c r="CT109" i="17"/>
  <c r="CT82" i="17"/>
  <c r="CT137" i="17"/>
  <c r="CT126" i="17"/>
  <c r="CT73" i="17"/>
  <c r="CT128" i="17"/>
  <c r="CT93" i="17"/>
  <c r="CT124" i="17"/>
  <c r="CT81" i="17"/>
  <c r="CT129" i="17"/>
  <c r="CT89" i="17"/>
  <c r="CT86" i="17"/>
  <c r="CT130" i="17"/>
  <c r="CT102" i="17"/>
  <c r="CT65" i="17"/>
  <c r="CT92" i="17"/>
  <c r="CT118" i="17"/>
  <c r="CT106" i="17"/>
  <c r="CT103" i="17"/>
  <c r="CT131" i="17"/>
  <c r="CT72" i="17"/>
  <c r="CT119" i="17"/>
  <c r="CT104" i="17"/>
  <c r="CT116" i="17"/>
  <c r="CT139" i="17"/>
  <c r="CT71" i="17"/>
  <c r="CT110" i="17"/>
  <c r="CT113" i="17"/>
  <c r="CT87" i="17"/>
  <c r="CT85" i="17"/>
  <c r="CT90" i="17"/>
  <c r="CT78" i="17"/>
  <c r="CT88" i="17"/>
  <c r="CT96" i="17"/>
  <c r="CT98" i="17"/>
  <c r="CT115" i="17"/>
  <c r="CT83" i="17"/>
  <c r="CT76" i="17"/>
  <c r="CT117" i="17"/>
  <c r="CT68" i="17"/>
  <c r="CT111" i="17"/>
  <c r="CT136" i="17"/>
  <c r="CT79" i="17"/>
  <c r="CT99" i="17"/>
  <c r="CT77" i="17"/>
  <c r="CT67" i="17"/>
  <c r="CT120" i="17"/>
  <c r="CT127" i="17"/>
  <c r="CT75" i="17"/>
  <c r="CT80" i="17"/>
  <c r="CT70" i="17"/>
  <c r="CT135" i="17"/>
  <c r="CT123" i="17"/>
  <c r="CT66" i="17"/>
  <c r="CT91" i="17"/>
  <c r="CT100" i="17"/>
  <c r="CT101" i="17"/>
  <c r="CT69" i="17"/>
  <c r="CT122" i="17"/>
  <c r="CT125" i="17"/>
  <c r="CT105" i="17"/>
  <c r="CT97" i="17"/>
  <c r="CT94" i="17"/>
  <c r="CT138" i="17"/>
  <c r="AV8" i="17"/>
  <c r="O8" i="17" s="1"/>
  <c r="AW8" i="17"/>
  <c r="AV11" i="17"/>
  <c r="O11" i="17" s="1"/>
  <c r="AW11" i="17"/>
  <c r="BA86" i="17"/>
  <c r="BA84" i="17"/>
  <c r="BI75" i="17"/>
  <c r="BA83" i="17"/>
  <c r="BM66" i="17"/>
  <c r="BI74" i="17"/>
  <c r="BE66" i="17"/>
  <c r="BI72" i="17"/>
  <c r="BP67" i="17"/>
  <c r="BE69" i="17"/>
  <c r="BI66" i="17"/>
  <c r="BE71" i="17"/>
  <c r="BE68" i="17"/>
  <c r="BP65" i="17"/>
  <c r="BI69" i="17"/>
  <c r="BA85" i="17"/>
  <c r="BE73" i="17"/>
  <c r="BI67" i="17"/>
  <c r="BP69" i="17"/>
  <c r="BE67" i="17"/>
  <c r="BI71" i="17"/>
  <c r="BM69" i="17"/>
  <c r="BP68" i="17"/>
  <c r="BI68" i="17"/>
  <c r="BA82" i="17"/>
  <c r="BE72" i="17"/>
  <c r="BI73" i="17"/>
  <c r="BM67" i="17"/>
  <c r="CI102" i="17"/>
  <c r="CI92" i="17"/>
  <c r="CI86" i="17"/>
  <c r="CI137" i="17"/>
  <c r="CI122" i="17"/>
  <c r="CI109" i="17"/>
  <c r="CI71" i="17"/>
  <c r="CI101" i="17"/>
  <c r="CI117" i="17"/>
  <c r="CI81" i="17"/>
  <c r="CI132" i="17"/>
  <c r="CI124" i="17"/>
  <c r="CI70" i="17"/>
  <c r="CI136" i="17"/>
  <c r="CI107" i="17"/>
  <c r="CI123" i="17"/>
  <c r="CI134" i="17"/>
  <c r="CI100" i="17"/>
  <c r="CI131" i="17"/>
  <c r="CI85" i="17"/>
  <c r="CI65" i="17"/>
  <c r="CI139" i="17"/>
  <c r="CI111" i="17"/>
  <c r="CI66" i="17"/>
  <c r="CI129" i="17"/>
  <c r="CI89" i="17"/>
  <c r="CI95" i="17"/>
  <c r="CI93" i="17"/>
  <c r="CI98" i="17"/>
  <c r="CI74" i="17"/>
  <c r="CI104" i="17"/>
  <c r="CI94" i="17"/>
  <c r="CI79" i="17"/>
  <c r="CI73" i="17"/>
  <c r="CI76" i="17"/>
  <c r="CI128" i="17"/>
  <c r="CI80" i="17"/>
  <c r="CI69" i="17"/>
  <c r="CI138" i="17"/>
  <c r="CI106" i="17"/>
  <c r="CI125" i="17"/>
  <c r="CI67" i="17"/>
  <c r="CI72" i="17"/>
  <c r="CI126" i="17"/>
  <c r="CI78" i="17"/>
  <c r="CI99" i="17"/>
  <c r="CI112" i="17"/>
  <c r="CI68" i="17"/>
  <c r="CI88" i="17"/>
  <c r="CI75" i="17"/>
  <c r="CI105" i="17"/>
  <c r="CI77" i="17"/>
  <c r="CI113" i="17"/>
  <c r="CI83" i="17"/>
  <c r="CI110" i="17"/>
  <c r="CI103" i="17"/>
  <c r="CI108" i="17"/>
  <c r="CI114" i="17"/>
  <c r="CI118" i="17"/>
  <c r="CI96" i="17"/>
  <c r="CI121" i="17"/>
  <c r="CI127" i="17"/>
  <c r="CI115" i="17"/>
  <c r="CI116" i="17"/>
  <c r="CI119" i="17"/>
  <c r="CI90" i="17"/>
  <c r="CI87" i="17"/>
  <c r="CI135" i="17"/>
  <c r="CI120" i="17"/>
  <c r="CI84" i="17"/>
  <c r="CI133" i="17"/>
  <c r="CI91" i="17"/>
  <c r="CI82" i="17"/>
  <c r="CI130" i="17"/>
  <c r="CI97" i="17"/>
  <c r="Y26" i="17"/>
  <c r="AB26" i="17" s="1"/>
  <c r="BM68" i="17"/>
  <c r="BM65" i="17"/>
  <c r="AS44" i="17"/>
  <c r="B70" i="17" s="1"/>
  <c r="P9" i="1"/>
  <c r="P11" i="1"/>
  <c r="P10" i="1"/>
  <c r="P12" i="1"/>
  <c r="AV6" i="17"/>
  <c r="O6" i="17" s="1"/>
  <c r="AW6" i="17"/>
  <c r="AT2" i="17"/>
  <c r="AV2" i="17" s="1"/>
  <c r="O2" i="17" s="1"/>
  <c r="BA77" i="17"/>
  <c r="CR130" i="17"/>
  <c r="CR99" i="17"/>
  <c r="CR81" i="17"/>
  <c r="CR106" i="17"/>
  <c r="CR124" i="17"/>
  <c r="CR67" i="17"/>
  <c r="CR74" i="17"/>
  <c r="CR119" i="17"/>
  <c r="CR95" i="17"/>
  <c r="CR114" i="17"/>
  <c r="CR94" i="17"/>
  <c r="CR78" i="17"/>
  <c r="CR113" i="17"/>
  <c r="CR104" i="17"/>
  <c r="CR77" i="17"/>
  <c r="CR115" i="17"/>
  <c r="CR138" i="17"/>
  <c r="CR116" i="17"/>
  <c r="CR65" i="17"/>
  <c r="CR117" i="17"/>
  <c r="CR89" i="17"/>
  <c r="CR101" i="17"/>
  <c r="CR91" i="17"/>
  <c r="CR73" i="17"/>
  <c r="CR108" i="17"/>
  <c r="CR112" i="17"/>
  <c r="CR132" i="17"/>
  <c r="CR70" i="17"/>
  <c r="CR118" i="17"/>
  <c r="CR136" i="17"/>
  <c r="CR69" i="17"/>
  <c r="CR131" i="17"/>
  <c r="CR76" i="17"/>
  <c r="CR120" i="17"/>
  <c r="CR125" i="17"/>
  <c r="CR71" i="17"/>
  <c r="CR105" i="17"/>
  <c r="CR134" i="17"/>
  <c r="CR79" i="17"/>
  <c r="CR68" i="17"/>
  <c r="CR84" i="17"/>
  <c r="CR128" i="17"/>
  <c r="CR139" i="17"/>
  <c r="CR129" i="17"/>
  <c r="CR100" i="17"/>
  <c r="CR83" i="17"/>
  <c r="CR90" i="17"/>
  <c r="CR110" i="17"/>
  <c r="CR126" i="17"/>
  <c r="CR102" i="17"/>
  <c r="CR127" i="17"/>
  <c r="CR135" i="17"/>
  <c r="CR137" i="17"/>
  <c r="CR75" i="17"/>
  <c r="CR92" i="17"/>
  <c r="CR72" i="17"/>
  <c r="CR111" i="17"/>
  <c r="CR82" i="17"/>
  <c r="CR96" i="17"/>
  <c r="CR123" i="17"/>
  <c r="CR87" i="17"/>
  <c r="CR88" i="17"/>
  <c r="CR133" i="17"/>
  <c r="CR98" i="17"/>
  <c r="CR86" i="17"/>
  <c r="CR80" i="17"/>
  <c r="CR66" i="17"/>
  <c r="CR121" i="17"/>
  <c r="CR93" i="17"/>
  <c r="CR97" i="17"/>
  <c r="CR109" i="17"/>
  <c r="CR103" i="17"/>
  <c r="CR107" i="17"/>
  <c r="CR85" i="17"/>
  <c r="CR122" i="17"/>
  <c r="AW10" i="17"/>
  <c r="AV10" i="17"/>
  <c r="O10" i="17" s="1"/>
  <c r="AW4" i="17"/>
  <c r="AW14" i="17"/>
  <c r="AV14" i="17"/>
  <c r="O14" i="17" s="1"/>
  <c r="CG71" i="17"/>
  <c r="CG65" i="17"/>
  <c r="CG125" i="17"/>
  <c r="CG116" i="17"/>
  <c r="CG130" i="17"/>
  <c r="CG108" i="17"/>
  <c r="CG77" i="17"/>
  <c r="CG88" i="17"/>
  <c r="CG79" i="17"/>
  <c r="CG72" i="17"/>
  <c r="CG70" i="17"/>
  <c r="CG69" i="17"/>
  <c r="CG98" i="17"/>
  <c r="CG107" i="17"/>
  <c r="CG127" i="17"/>
  <c r="CG135" i="17"/>
  <c r="CG100" i="17"/>
  <c r="CG97" i="17"/>
  <c r="CG118" i="17"/>
  <c r="CG136" i="17"/>
  <c r="CG85" i="17"/>
  <c r="CG83" i="17"/>
  <c r="CG113" i="17"/>
  <c r="CG106" i="17"/>
  <c r="CG75" i="17"/>
  <c r="CG81" i="17"/>
  <c r="CG90" i="17"/>
  <c r="CG74" i="17"/>
  <c r="CG67" i="17"/>
  <c r="CG117" i="17"/>
  <c r="CG123" i="17"/>
  <c r="CG86" i="17"/>
  <c r="CG133" i="17"/>
  <c r="CG91" i="17"/>
  <c r="CG128" i="17"/>
  <c r="CG84" i="17"/>
  <c r="CG111" i="17"/>
  <c r="CG105" i="17"/>
  <c r="CG109" i="17"/>
  <c r="CG119" i="17"/>
  <c r="CG78" i="17"/>
  <c r="CG110" i="17"/>
  <c r="CG66" i="17"/>
  <c r="CG87" i="17"/>
  <c r="CG73" i="17"/>
  <c r="CG101" i="17"/>
  <c r="CG121" i="17"/>
  <c r="CG89" i="17"/>
  <c r="CG96" i="17"/>
  <c r="CG94" i="17"/>
  <c r="CG103" i="17"/>
  <c r="CG131" i="17"/>
  <c r="CG122" i="17"/>
  <c r="CG115" i="17"/>
  <c r="CG76" i="17"/>
  <c r="CG134" i="17"/>
  <c r="CG120" i="17"/>
  <c r="CG138" i="17"/>
  <c r="CG112" i="17"/>
  <c r="CG129" i="17"/>
  <c r="CG114" i="17"/>
  <c r="CG99" i="17"/>
  <c r="CG82" i="17"/>
  <c r="CG104" i="17"/>
  <c r="CG132" i="17"/>
  <c r="CG80" i="17"/>
  <c r="CG68" i="17"/>
  <c r="CG139" i="17"/>
  <c r="CG102" i="17"/>
  <c r="CG137" i="17"/>
  <c r="CG93" i="17"/>
  <c r="CG124" i="17"/>
  <c r="CG92" i="17"/>
  <c r="CG95" i="17"/>
  <c r="CG126" i="17"/>
  <c r="G42" i="1"/>
  <c r="G29" i="1"/>
  <c r="N28" i="1"/>
  <c r="B27" i="1"/>
  <c r="K26" i="1"/>
  <c r="H30" i="1"/>
  <c r="H31" i="1"/>
  <c r="H27" i="1"/>
  <c r="G28" i="1"/>
  <c r="H28" i="1"/>
  <c r="M28" i="1"/>
  <c r="M26" i="1"/>
  <c r="N27" i="1"/>
  <c r="J21" i="1"/>
  <c r="H32" i="1"/>
  <c r="N26" i="1"/>
  <c r="E27" i="1"/>
  <c r="H33" i="1"/>
  <c r="K27" i="1"/>
  <c r="E26" i="1"/>
  <c r="E29" i="1"/>
  <c r="B30" i="1"/>
  <c r="M29" i="1"/>
  <c r="H26" i="1"/>
  <c r="K28" i="1"/>
  <c r="G27" i="1"/>
  <c r="M27" i="1"/>
  <c r="B28" i="1"/>
  <c r="E28" i="1"/>
  <c r="B29" i="1"/>
  <c r="N29" i="1"/>
  <c r="K29" i="1"/>
  <c r="B26" i="1"/>
  <c r="G26" i="1"/>
  <c r="H29" i="1"/>
  <c r="CS116" i="17"/>
  <c r="CS134" i="17"/>
  <c r="CS113" i="17"/>
  <c r="CS139" i="17"/>
  <c r="CS91" i="17"/>
  <c r="CS111" i="17"/>
  <c r="CS92" i="17"/>
  <c r="CS89" i="17"/>
  <c r="CS126" i="17"/>
  <c r="CS69" i="17"/>
  <c r="CS101" i="17"/>
  <c r="CS67" i="17"/>
  <c r="CS96" i="17"/>
  <c r="CS107" i="17"/>
  <c r="CS106" i="17"/>
  <c r="CS104" i="17"/>
  <c r="CS121" i="17"/>
  <c r="CS112" i="17"/>
  <c r="CS73" i="17"/>
  <c r="CS102" i="17"/>
  <c r="CS65" i="17"/>
  <c r="CS95" i="17"/>
  <c r="CS128" i="17"/>
  <c r="CS77" i="17"/>
  <c r="CS76" i="17"/>
  <c r="CS133" i="17"/>
  <c r="CS117" i="17"/>
  <c r="CS109" i="17"/>
  <c r="CS120" i="17"/>
  <c r="CS103" i="17"/>
  <c r="CS99" i="17"/>
  <c r="CS75" i="17"/>
  <c r="CS118" i="17"/>
  <c r="CS82" i="17"/>
  <c r="CS66" i="17"/>
  <c r="CS108" i="17"/>
  <c r="CS131" i="17"/>
  <c r="CS119" i="17"/>
  <c r="CS98" i="17"/>
  <c r="CS100" i="17"/>
  <c r="CS127" i="17"/>
  <c r="CS87" i="17"/>
  <c r="CS122" i="17"/>
  <c r="CS135" i="17"/>
  <c r="CS68" i="17"/>
  <c r="CS90" i="17"/>
  <c r="CS94" i="17"/>
  <c r="CS78" i="17"/>
  <c r="CS114" i="17"/>
  <c r="CS97" i="17"/>
  <c r="CS136" i="17"/>
  <c r="CS137" i="17"/>
  <c r="CS88" i="17"/>
  <c r="CS85" i="17"/>
  <c r="CS72" i="17"/>
  <c r="CS83" i="17"/>
  <c r="CS130" i="17"/>
  <c r="CS110" i="17"/>
  <c r="CS79" i="17"/>
  <c r="CS123" i="17"/>
  <c r="CS105" i="17"/>
  <c r="CS71" i="17"/>
  <c r="CS86" i="17"/>
  <c r="CS132" i="17"/>
  <c r="CS81" i="17"/>
  <c r="CS93" i="17"/>
  <c r="CS125" i="17"/>
  <c r="CS129" i="17"/>
  <c r="CS115" i="17"/>
  <c r="CS84" i="17"/>
  <c r="CS70" i="17"/>
  <c r="CS124" i="17"/>
  <c r="CS80" i="17"/>
  <c r="CS74" i="17"/>
  <c r="CS138" i="17"/>
  <c r="AW12" i="17"/>
  <c r="AV12" i="17"/>
  <c r="O12" i="17" s="1"/>
  <c r="CK109" i="17"/>
  <c r="CK67" i="17"/>
  <c r="CK130" i="17"/>
  <c r="CK94" i="17"/>
  <c r="CK77" i="17"/>
  <c r="CK136" i="17"/>
  <c r="CK97" i="17"/>
  <c r="CK79" i="17"/>
  <c r="CK86" i="17"/>
  <c r="CK76" i="17"/>
  <c r="CK85" i="17"/>
  <c r="CK66" i="17"/>
  <c r="CK68" i="17"/>
  <c r="CK132" i="17"/>
  <c r="CK96" i="17"/>
  <c r="CK84" i="17"/>
  <c r="CK108" i="17"/>
  <c r="CK95" i="17"/>
  <c r="CK80" i="17"/>
  <c r="CK83" i="17"/>
  <c r="CK125" i="17"/>
  <c r="CK128" i="17"/>
  <c r="CK126" i="17"/>
  <c r="CK105" i="17"/>
  <c r="CK110" i="17"/>
  <c r="CK69" i="17"/>
  <c r="CK98" i="17"/>
  <c r="CK112" i="17"/>
  <c r="CK106" i="17"/>
  <c r="CK138" i="17"/>
  <c r="CK129" i="17"/>
  <c r="CK114" i="17"/>
  <c r="CK118" i="17"/>
  <c r="CK124" i="17"/>
  <c r="CK89" i="17"/>
  <c r="CK87" i="17"/>
  <c r="CK123" i="17"/>
  <c r="CK65" i="17"/>
  <c r="CK72" i="17"/>
  <c r="CK82" i="17"/>
  <c r="CK107" i="17"/>
  <c r="CK133" i="17"/>
  <c r="CK70" i="17"/>
  <c r="CK78" i="17"/>
  <c r="CK73" i="17"/>
  <c r="CK99" i="17"/>
  <c r="CK137" i="17"/>
  <c r="CK93" i="17"/>
  <c r="CK134" i="17"/>
  <c r="CK115" i="17"/>
  <c r="CK101" i="17"/>
  <c r="CK91" i="17"/>
  <c r="CK117" i="17"/>
  <c r="CK119" i="17"/>
  <c r="CK104" i="17"/>
  <c r="CK81" i="17"/>
  <c r="CK75" i="17"/>
  <c r="CK71" i="17"/>
  <c r="CK135" i="17"/>
  <c r="CK102" i="17"/>
  <c r="CK100" i="17"/>
  <c r="CK113" i="17"/>
  <c r="CK120" i="17"/>
  <c r="CK90" i="17"/>
  <c r="CK111" i="17"/>
  <c r="CK131" i="17"/>
  <c r="CK122" i="17"/>
  <c r="CK121" i="17"/>
  <c r="CK103" i="17"/>
  <c r="CK74" i="17"/>
  <c r="CK116" i="17"/>
  <c r="CK88" i="17"/>
  <c r="CK139" i="17"/>
  <c r="CK127" i="17"/>
  <c r="CK92" i="17"/>
  <c r="AW13" i="17"/>
  <c r="BR42" i="12"/>
  <c r="B72" i="12"/>
  <c r="D31" i="12" s="1"/>
  <c r="D31" i="10"/>
  <c r="AG40" i="10"/>
  <c r="AG40" i="2"/>
  <c r="AV2" i="2" l="1"/>
  <c r="O2" i="2" s="1"/>
  <c r="AL73" i="7"/>
  <c r="AL72" i="7" s="1"/>
  <c r="Y73" i="7"/>
  <c r="Y72" i="7" s="1"/>
  <c r="F73" i="7"/>
  <c r="F72" i="7" s="1"/>
  <c r="I73" i="7"/>
  <c r="I72" i="7" s="1"/>
  <c r="BJ73" i="7"/>
  <c r="BJ72" i="7" s="1"/>
  <c r="BT73" i="7"/>
  <c r="BT72" i="7" s="1"/>
  <c r="H73" i="7"/>
  <c r="H72" i="7" s="1"/>
  <c r="AU73" i="7"/>
  <c r="AU72" i="7" s="1"/>
  <c r="AJ73" i="7"/>
  <c r="AJ72" i="7" s="1"/>
  <c r="S73" i="7"/>
  <c r="S72" i="7" s="1"/>
  <c r="AI73" i="7"/>
  <c r="AI72" i="7" s="1"/>
  <c r="AW73" i="7"/>
  <c r="AW72" i="7" s="1"/>
  <c r="BB73" i="7"/>
  <c r="BB72" i="7" s="1"/>
  <c r="AB73" i="7"/>
  <c r="AB72" i="7" s="1"/>
  <c r="AQ73" i="7"/>
  <c r="AQ72" i="7" s="1"/>
  <c r="BQ73" i="7"/>
  <c r="BQ72" i="7" s="1"/>
  <c r="AP73" i="7"/>
  <c r="AP72" i="7" s="1"/>
  <c r="AY73" i="7"/>
  <c r="AY72" i="7" s="1"/>
  <c r="AG73" i="7"/>
  <c r="AG72" i="7" s="1"/>
  <c r="BA73" i="7"/>
  <c r="BA72" i="7" s="1"/>
  <c r="AK73" i="7"/>
  <c r="AK72" i="7" s="1"/>
  <c r="R73" i="7"/>
  <c r="R72" i="7" s="1"/>
  <c r="L73" i="7"/>
  <c r="L72" i="7" s="1"/>
  <c r="U73" i="7"/>
  <c r="U72" i="7" s="1"/>
  <c r="BC73" i="7"/>
  <c r="BC72" i="7" s="1"/>
  <c r="BD73" i="7"/>
  <c r="BD72" i="7" s="1"/>
  <c r="BP73" i="7"/>
  <c r="BP72" i="7" s="1"/>
  <c r="AR73" i="7"/>
  <c r="AR72" i="7" s="1"/>
  <c r="O73" i="7"/>
  <c r="O72" i="7" s="1"/>
  <c r="BK73" i="7"/>
  <c r="BK72" i="7" s="1"/>
  <c r="AE73" i="7"/>
  <c r="AE72" i="7" s="1"/>
  <c r="BR73" i="7"/>
  <c r="BR72" i="7" s="1"/>
  <c r="T73" i="7"/>
  <c r="T72" i="7" s="1"/>
  <c r="BG73" i="7"/>
  <c r="BG72" i="7" s="1"/>
  <c r="AX73" i="7"/>
  <c r="AX72" i="7" s="1"/>
  <c r="AZ73" i="7"/>
  <c r="AZ72" i="7" s="1"/>
  <c r="N73" i="7"/>
  <c r="N72" i="7" s="1"/>
  <c r="AT73" i="7"/>
  <c r="AT72" i="7" s="1"/>
  <c r="V73" i="7"/>
  <c r="V72" i="7" s="1"/>
  <c r="Z73" i="7"/>
  <c r="Z72" i="7" s="1"/>
  <c r="X73" i="7"/>
  <c r="X72" i="7" s="1"/>
  <c r="BE73" i="7"/>
  <c r="BE72" i="7" s="1"/>
  <c r="P73" i="7"/>
  <c r="P72" i="7" s="1"/>
  <c r="AM73" i="7"/>
  <c r="AM72" i="7" s="1"/>
  <c r="AC73" i="7"/>
  <c r="AC72" i="7" s="1"/>
  <c r="BU73" i="7"/>
  <c r="BU72" i="7" s="1"/>
  <c r="Q73" i="7"/>
  <c r="Q72" i="7" s="1"/>
  <c r="M73" i="7"/>
  <c r="M72" i="7" s="1"/>
  <c r="J73" i="7"/>
  <c r="J72" i="7" s="1"/>
  <c r="BL73" i="7"/>
  <c r="BL72" i="7" s="1"/>
  <c r="AS73" i="7"/>
  <c r="AS72" i="7" s="1"/>
  <c r="AH73" i="7"/>
  <c r="AH72" i="7" s="1"/>
  <c r="K73" i="7"/>
  <c r="K72" i="7" s="1"/>
  <c r="BO73" i="7"/>
  <c r="BO72" i="7" s="1"/>
  <c r="C73" i="7"/>
  <c r="C72" i="7" s="1"/>
  <c r="BI73" i="7"/>
  <c r="BI72" i="7" s="1"/>
  <c r="G73" i="7"/>
  <c r="G72" i="7" s="1"/>
  <c r="D73" i="7"/>
  <c r="D72" i="7" s="1"/>
  <c r="E73" i="7"/>
  <c r="E72" i="7" s="1"/>
  <c r="AD73" i="7"/>
  <c r="AD72" i="7" s="1"/>
  <c r="BS73" i="7"/>
  <c r="BS72" i="7" s="1"/>
  <c r="AN73" i="7"/>
  <c r="AN72" i="7" s="1"/>
  <c r="W73" i="7"/>
  <c r="W72" i="7" s="1"/>
  <c r="BF73" i="7"/>
  <c r="BF72" i="7" s="1"/>
  <c r="BH73" i="7"/>
  <c r="BH72" i="7" s="1"/>
  <c r="AO73" i="7"/>
  <c r="AO72" i="7" s="1"/>
  <c r="AV73" i="7"/>
  <c r="AV72" i="7" s="1"/>
  <c r="BM73" i="7"/>
  <c r="BM72" i="7" s="1"/>
  <c r="AF73" i="7"/>
  <c r="AF72" i="7" s="1"/>
  <c r="AA73" i="7"/>
  <c r="AA72" i="7" s="1"/>
  <c r="BN73" i="7"/>
  <c r="BN72" i="7" s="1"/>
  <c r="K25" i="1"/>
  <c r="N25" i="1"/>
  <c r="AW2" i="17"/>
  <c r="G43" i="1"/>
  <c r="I42" i="1"/>
  <c r="I22" i="1" s="1"/>
  <c r="H25" i="1"/>
  <c r="M25" i="1"/>
  <c r="G25" i="1"/>
  <c r="G73" i="15"/>
  <c r="G72" i="15" s="1"/>
  <c r="BP73" i="15"/>
  <c r="BP72" i="15" s="1"/>
  <c r="AM73" i="15"/>
  <c r="AM72" i="15" s="1"/>
  <c r="BC73" i="15"/>
  <c r="BC72" i="15" s="1"/>
  <c r="BQ73" i="15"/>
  <c r="BQ72" i="15" s="1"/>
  <c r="AX73" i="15"/>
  <c r="AX72" i="15" s="1"/>
  <c r="AN73" i="15"/>
  <c r="AN72" i="15" s="1"/>
  <c r="R73" i="15"/>
  <c r="R72" i="15" s="1"/>
  <c r="BE73" i="15"/>
  <c r="BE72" i="15" s="1"/>
  <c r="D73" i="15"/>
  <c r="D72" i="15" s="1"/>
  <c r="AE73" i="15"/>
  <c r="AE72" i="15" s="1"/>
  <c r="AK73" i="15"/>
  <c r="AK72" i="15" s="1"/>
  <c r="AT73" i="15"/>
  <c r="AT72" i="15" s="1"/>
  <c r="V73" i="15"/>
  <c r="V72" i="15" s="1"/>
  <c r="AV73" i="15"/>
  <c r="AV72" i="15" s="1"/>
  <c r="AP73" i="15"/>
  <c r="AP72" i="15" s="1"/>
  <c r="AR73" i="15"/>
  <c r="AR72" i="15" s="1"/>
  <c r="BJ73" i="15"/>
  <c r="BJ72" i="15" s="1"/>
  <c r="Q73" i="15"/>
  <c r="Q72" i="15" s="1"/>
  <c r="AO73" i="15"/>
  <c r="AO72" i="15" s="1"/>
  <c r="BS73" i="15"/>
  <c r="BS72" i="15" s="1"/>
  <c r="BA73" i="15"/>
  <c r="BA72" i="15" s="1"/>
  <c r="BR73" i="15"/>
  <c r="BR72" i="15" s="1"/>
  <c r="BN73" i="15"/>
  <c r="BN72" i="15" s="1"/>
  <c r="AS73" i="15"/>
  <c r="AS72" i="15" s="1"/>
  <c r="BF73" i="15"/>
  <c r="BF72" i="15" s="1"/>
  <c r="AF73" i="15"/>
  <c r="AF72" i="15" s="1"/>
  <c r="X73" i="15"/>
  <c r="X72" i="15" s="1"/>
  <c r="AB73" i="15"/>
  <c r="AB72" i="15" s="1"/>
  <c r="K73" i="15"/>
  <c r="K72" i="15" s="1"/>
  <c r="AH73" i="15"/>
  <c r="AH72" i="15" s="1"/>
  <c r="U73" i="15"/>
  <c r="U72" i="15" s="1"/>
  <c r="J73" i="15"/>
  <c r="J72" i="15" s="1"/>
  <c r="AJ73" i="15"/>
  <c r="AJ72" i="15" s="1"/>
  <c r="AC73" i="15"/>
  <c r="AC72" i="15" s="1"/>
  <c r="Z73" i="15"/>
  <c r="Z72" i="15" s="1"/>
  <c r="Y73" i="15"/>
  <c r="Y72" i="15" s="1"/>
  <c r="BD73" i="15"/>
  <c r="BD72" i="15" s="1"/>
  <c r="AG73" i="15"/>
  <c r="AG72" i="15" s="1"/>
  <c r="I73" i="15"/>
  <c r="I72" i="15" s="1"/>
  <c r="W73" i="15"/>
  <c r="W72" i="15" s="1"/>
  <c r="BO73" i="15"/>
  <c r="BO72" i="15" s="1"/>
  <c r="F73" i="15"/>
  <c r="F72" i="15" s="1"/>
  <c r="BB73" i="15"/>
  <c r="BB72" i="15" s="1"/>
  <c r="AL73" i="15"/>
  <c r="AL72" i="15" s="1"/>
  <c r="BI73" i="15"/>
  <c r="BI72" i="15" s="1"/>
  <c r="BH73" i="15"/>
  <c r="BH72" i="15" s="1"/>
  <c r="N73" i="15"/>
  <c r="N72" i="15" s="1"/>
  <c r="BM73" i="15"/>
  <c r="BM72" i="15" s="1"/>
  <c r="AW73" i="15"/>
  <c r="AW72" i="15" s="1"/>
  <c r="BL73" i="15"/>
  <c r="BL72" i="15" s="1"/>
  <c r="AU73" i="15"/>
  <c r="AU72" i="15" s="1"/>
  <c r="O73" i="15"/>
  <c r="O72" i="15" s="1"/>
  <c r="AA73" i="15"/>
  <c r="AA72" i="15" s="1"/>
  <c r="H73" i="15"/>
  <c r="H72" i="15" s="1"/>
  <c r="AQ73" i="15"/>
  <c r="AQ72" i="15" s="1"/>
  <c r="BU73" i="15"/>
  <c r="BU72" i="15" s="1"/>
  <c r="L73" i="15"/>
  <c r="L72" i="15" s="1"/>
  <c r="AI73" i="15"/>
  <c r="AI72" i="15" s="1"/>
  <c r="P73" i="15"/>
  <c r="P72" i="15" s="1"/>
  <c r="AZ73" i="15"/>
  <c r="AZ72" i="15" s="1"/>
  <c r="T73" i="15"/>
  <c r="T72" i="15" s="1"/>
  <c r="E73" i="15"/>
  <c r="E72" i="15" s="1"/>
  <c r="S73" i="15"/>
  <c r="S72" i="15" s="1"/>
  <c r="C73" i="15"/>
  <c r="C72" i="15" s="1"/>
  <c r="AD73" i="15"/>
  <c r="AD72" i="15" s="1"/>
  <c r="AY73" i="15"/>
  <c r="AY72" i="15" s="1"/>
  <c r="BG73" i="15"/>
  <c r="BG72" i="15" s="1"/>
  <c r="M73" i="15"/>
  <c r="M72" i="15" s="1"/>
  <c r="BT73" i="15"/>
  <c r="BT72" i="15" s="1"/>
  <c r="BK73" i="15"/>
  <c r="BK72" i="15" s="1"/>
  <c r="B25" i="1"/>
  <c r="E25" i="1"/>
  <c r="P13" i="1"/>
  <c r="L8" i="1" s="1"/>
  <c r="V11" i="1"/>
  <c r="I10" i="1"/>
  <c r="V10" i="1"/>
  <c r="I9" i="1"/>
  <c r="B94" i="7" l="1"/>
  <c r="B94" i="15"/>
  <c r="I21" i="1"/>
  <c r="L10" i="1" s="1"/>
  <c r="C13" i="1"/>
  <c r="L11" i="1"/>
  <c r="B103" i="7" l="1"/>
  <c r="B98" i="7"/>
  <c r="B135" i="7"/>
  <c r="C135" i="7" s="1"/>
  <c r="B115" i="7"/>
  <c r="C115" i="7" s="1"/>
  <c r="B110" i="7"/>
  <c r="B111" i="7"/>
  <c r="B116" i="7"/>
  <c r="C116" i="7" s="1"/>
  <c r="B107" i="7"/>
  <c r="B127" i="7"/>
  <c r="C127" i="7" s="1"/>
  <c r="B123" i="7"/>
  <c r="C123" i="7" s="1"/>
  <c r="B140" i="7"/>
  <c r="C140" i="7" s="1"/>
  <c r="B121" i="7"/>
  <c r="C121" i="7" s="1"/>
  <c r="B105" i="7"/>
  <c r="B138" i="7"/>
  <c r="C138" i="7" s="1"/>
  <c r="B132" i="7"/>
  <c r="C132" i="7" s="1"/>
  <c r="B96" i="7"/>
  <c r="B128" i="7"/>
  <c r="C128" i="7" s="1"/>
  <c r="B130" i="7"/>
  <c r="C130" i="7" s="1"/>
  <c r="B134" i="7"/>
  <c r="C134" i="7" s="1"/>
  <c r="B120" i="7"/>
  <c r="C120" i="7" s="1"/>
  <c r="B137" i="7"/>
  <c r="C137" i="7" s="1"/>
  <c r="B136" i="7"/>
  <c r="C136" i="7" s="1"/>
  <c r="B97" i="7"/>
  <c r="B113" i="7"/>
  <c r="C113" i="7" s="1"/>
  <c r="B118" i="7"/>
  <c r="C118" i="7" s="1"/>
  <c r="B95" i="7"/>
  <c r="B129" i="7"/>
  <c r="C129" i="7" s="1"/>
  <c r="B133" i="7"/>
  <c r="C133" i="7" s="1"/>
  <c r="B125" i="7"/>
  <c r="C125" i="7" s="1"/>
  <c r="B104" i="7"/>
  <c r="B126" i="7"/>
  <c r="C126" i="7" s="1"/>
  <c r="B139" i="7"/>
  <c r="C139" i="7" s="1"/>
  <c r="B117" i="7"/>
  <c r="C117" i="7" s="1"/>
  <c r="B119" i="7"/>
  <c r="C119" i="7" s="1"/>
  <c r="B114" i="7"/>
  <c r="C114" i="7" s="1"/>
  <c r="B102" i="7"/>
  <c r="B131" i="7"/>
  <c r="C131" i="7" s="1"/>
  <c r="B99" i="7"/>
  <c r="B100" i="7"/>
  <c r="B101" i="7"/>
  <c r="B108" i="7"/>
  <c r="B106" i="7"/>
  <c r="B109" i="7"/>
  <c r="B124" i="7"/>
  <c r="C124" i="7" s="1"/>
  <c r="B122" i="7"/>
  <c r="C122" i="7" s="1"/>
  <c r="B112" i="7"/>
  <c r="B125" i="15"/>
  <c r="C125" i="15" s="1"/>
  <c r="B127" i="15"/>
  <c r="C127" i="15" s="1"/>
  <c r="B129" i="15"/>
  <c r="C129" i="15" s="1"/>
  <c r="B103" i="15"/>
  <c r="B105" i="15"/>
  <c r="B99" i="15"/>
  <c r="B110" i="15"/>
  <c r="B113" i="15"/>
  <c r="C113" i="15" s="1"/>
  <c r="B114" i="15"/>
  <c r="C114" i="15" s="1"/>
  <c r="B139" i="15"/>
  <c r="C139" i="15" s="1"/>
  <c r="B121" i="15"/>
  <c r="C121" i="15" s="1"/>
  <c r="B136" i="15"/>
  <c r="C136" i="15" s="1"/>
  <c r="B133" i="15"/>
  <c r="C133" i="15" s="1"/>
  <c r="B95" i="15"/>
  <c r="B126" i="15"/>
  <c r="C126" i="15" s="1"/>
  <c r="B107" i="15"/>
  <c r="B117" i="15"/>
  <c r="C117" i="15" s="1"/>
  <c r="B131" i="15"/>
  <c r="C131" i="15" s="1"/>
  <c r="B123" i="15"/>
  <c r="C123" i="15" s="1"/>
  <c r="B119" i="15"/>
  <c r="C119" i="15" s="1"/>
  <c r="B116" i="15"/>
  <c r="C116" i="15" s="1"/>
  <c r="B124" i="15"/>
  <c r="C124" i="15" s="1"/>
  <c r="B138" i="15"/>
  <c r="C138" i="15" s="1"/>
  <c r="B140" i="15"/>
  <c r="C140" i="15" s="1"/>
  <c r="B104" i="15"/>
  <c r="B98" i="15"/>
  <c r="B109" i="15"/>
  <c r="B120" i="15"/>
  <c r="C120" i="15" s="1"/>
  <c r="B108" i="15"/>
  <c r="B97" i="15"/>
  <c r="B130" i="15"/>
  <c r="C130" i="15" s="1"/>
  <c r="B106" i="15"/>
  <c r="B112" i="15"/>
  <c r="B132" i="15"/>
  <c r="C132" i="15" s="1"/>
  <c r="B118" i="15"/>
  <c r="C118" i="15" s="1"/>
  <c r="B128" i="15"/>
  <c r="C128" i="15" s="1"/>
  <c r="B135" i="15"/>
  <c r="C135" i="15" s="1"/>
  <c r="B100" i="15"/>
  <c r="B137" i="15"/>
  <c r="C137" i="15" s="1"/>
  <c r="B102" i="15"/>
  <c r="B115" i="15"/>
  <c r="C115" i="15" s="1"/>
  <c r="B111" i="15"/>
  <c r="B134" i="15"/>
  <c r="C134" i="15" s="1"/>
  <c r="B101" i="15"/>
  <c r="B96" i="15"/>
  <c r="B122" i="15"/>
  <c r="C122" i="15" s="1"/>
  <c r="L20" i="2" l="1"/>
  <c r="N20" i="2"/>
  <c r="L18" i="2"/>
  <c r="I19" i="2"/>
  <c r="AR19" i="2" s="1"/>
  <c r="AV19" i="2" s="1"/>
  <c r="AN18" i="2"/>
  <c r="AQ18" i="2" s="1"/>
  <c r="C102" i="7"/>
  <c r="Z102" i="7"/>
  <c r="L19" i="2"/>
  <c r="Z112" i="7"/>
  <c r="C112" i="7"/>
  <c r="C107" i="7"/>
  <c r="Z107" i="7"/>
  <c r="Z97" i="7"/>
  <c r="C97" i="7"/>
  <c r="AN19" i="2"/>
  <c r="AQ19" i="2" s="1"/>
  <c r="N19" i="2"/>
  <c r="K18" i="2"/>
  <c r="J19" i="2"/>
  <c r="N18" i="2"/>
  <c r="C106" i="7"/>
  <c r="Z106" i="7"/>
  <c r="C104" i="7"/>
  <c r="Z104" i="7"/>
  <c r="Z111" i="7"/>
  <c r="C111" i="7"/>
  <c r="C109" i="7"/>
  <c r="Z109" i="7"/>
  <c r="K20" i="2"/>
  <c r="J20" i="2"/>
  <c r="C108" i="7"/>
  <c r="Z108" i="7"/>
  <c r="Z110" i="7"/>
  <c r="C110" i="7"/>
  <c r="AN20" i="2"/>
  <c r="AQ20" i="2" s="1"/>
  <c r="M18" i="2"/>
  <c r="C101" i="7"/>
  <c r="Z101" i="7"/>
  <c r="C96" i="7"/>
  <c r="Z96" i="7"/>
  <c r="J18" i="2"/>
  <c r="M19" i="2"/>
  <c r="C99" i="7"/>
  <c r="Z99" i="7"/>
  <c r="K12" i="7"/>
  <c r="K16" i="7"/>
  <c r="K70" i="7"/>
  <c r="K8" i="7"/>
  <c r="K32" i="7"/>
  <c r="K56" i="7"/>
  <c r="K26" i="7"/>
  <c r="K36" i="7"/>
  <c r="K14" i="7"/>
  <c r="K30" i="7"/>
  <c r="K38" i="7"/>
  <c r="K53" i="7"/>
  <c r="K60" i="7"/>
  <c r="K57" i="7"/>
  <c r="K27" i="7"/>
  <c r="K10" i="7"/>
  <c r="K37" i="7"/>
  <c r="K5" i="7"/>
  <c r="K22" i="7"/>
  <c r="K54" i="7"/>
  <c r="Z95" i="7"/>
  <c r="K31" i="7"/>
  <c r="K52" i="7"/>
  <c r="K23" i="7"/>
  <c r="K47" i="7"/>
  <c r="K28" i="7"/>
  <c r="K61" i="7"/>
  <c r="K51" i="7"/>
  <c r="K9" i="7"/>
  <c r="K45" i="7"/>
  <c r="K41" i="7"/>
  <c r="K66" i="7"/>
  <c r="K11" i="7"/>
  <c r="K49" i="7"/>
  <c r="C95" i="7"/>
  <c r="K6" i="7"/>
  <c r="K4" i="7"/>
  <c r="K58" i="7"/>
  <c r="K63" i="7"/>
  <c r="K46" i="7"/>
  <c r="K24" i="7"/>
  <c r="K65" i="7"/>
  <c r="K35" i="7"/>
  <c r="K67" i="7"/>
  <c r="K19" i="7"/>
  <c r="K48" i="7"/>
  <c r="K55" i="7"/>
  <c r="K62" i="7"/>
  <c r="K42" i="7"/>
  <c r="K29" i="7"/>
  <c r="K15" i="7"/>
  <c r="K33" i="7"/>
  <c r="K18" i="7"/>
  <c r="K44" i="7"/>
  <c r="K7" i="7"/>
  <c r="K40" i="7"/>
  <c r="K39" i="7"/>
  <c r="K20" i="7"/>
  <c r="K64" i="7"/>
  <c r="K68" i="7"/>
  <c r="K43" i="7"/>
  <c r="K17" i="7"/>
  <c r="K34" i="7"/>
  <c r="K25" i="7"/>
  <c r="K13" i="7"/>
  <c r="K69" i="7"/>
  <c r="K59" i="7"/>
  <c r="K50" i="7"/>
  <c r="K21" i="7"/>
  <c r="Z98" i="7"/>
  <c r="C98" i="7"/>
  <c r="I20" i="2"/>
  <c r="C100" i="7"/>
  <c r="Z100" i="7"/>
  <c r="K19" i="2"/>
  <c r="I18" i="2"/>
  <c r="M20" i="2"/>
  <c r="C105" i="7"/>
  <c r="Z105" i="7"/>
  <c r="Z103" i="7"/>
  <c r="C103" i="7"/>
  <c r="C101" i="15"/>
  <c r="Z101" i="15"/>
  <c r="Z110" i="15"/>
  <c r="C110" i="15"/>
  <c r="N19" i="17"/>
  <c r="C96" i="15"/>
  <c r="Z96" i="15"/>
  <c r="C106" i="15"/>
  <c r="Z106" i="15"/>
  <c r="C111" i="15"/>
  <c r="Z111" i="15"/>
  <c r="C97" i="15"/>
  <c r="Z97" i="15"/>
  <c r="C99" i="15"/>
  <c r="Z99" i="15"/>
  <c r="C108" i="15"/>
  <c r="Z108" i="15"/>
  <c r="C105" i="15"/>
  <c r="Z105" i="15"/>
  <c r="Z102" i="15"/>
  <c r="C102" i="15"/>
  <c r="Z107" i="15"/>
  <c r="C107" i="15"/>
  <c r="Z103" i="15"/>
  <c r="C103" i="15"/>
  <c r="Z109" i="15"/>
  <c r="C109" i="15"/>
  <c r="Z112" i="15"/>
  <c r="C112" i="15"/>
  <c r="C100" i="15"/>
  <c r="Z100" i="15"/>
  <c r="C98" i="15"/>
  <c r="Z98" i="15"/>
  <c r="M18" i="17"/>
  <c r="K15" i="15"/>
  <c r="K46" i="15"/>
  <c r="K9" i="15"/>
  <c r="K65" i="15"/>
  <c r="K13" i="15"/>
  <c r="K32" i="15"/>
  <c r="K63" i="15"/>
  <c r="K24" i="15"/>
  <c r="K70" i="15"/>
  <c r="K43" i="15"/>
  <c r="K40" i="15"/>
  <c r="K69" i="15"/>
  <c r="AN19" i="17"/>
  <c r="AQ19" i="17" s="1"/>
  <c r="K31" i="15"/>
  <c r="K18" i="15"/>
  <c r="K47" i="15"/>
  <c r="K68" i="15"/>
  <c r="K5" i="15"/>
  <c r="K14" i="15"/>
  <c r="K48" i="15"/>
  <c r="K33" i="15"/>
  <c r="K30" i="15"/>
  <c r="K10" i="15"/>
  <c r="I19" i="17"/>
  <c r="AR19" i="17" s="1"/>
  <c r="K12" i="15"/>
  <c r="K66" i="15"/>
  <c r="K35" i="15"/>
  <c r="K38" i="15"/>
  <c r="K11" i="15"/>
  <c r="K20" i="15"/>
  <c r="K4" i="15"/>
  <c r="J19" i="17"/>
  <c r="K28" i="15"/>
  <c r="K55" i="15"/>
  <c r="K23" i="15"/>
  <c r="K56" i="15"/>
  <c r="K29" i="15"/>
  <c r="K67" i="15"/>
  <c r="K51" i="15"/>
  <c r="K64" i="15"/>
  <c r="K37" i="15"/>
  <c r="L18" i="17"/>
  <c r="K58" i="15"/>
  <c r="K8" i="15"/>
  <c r="K34" i="15"/>
  <c r="K7" i="15"/>
  <c r="K53" i="15"/>
  <c r="K62" i="15"/>
  <c r="K59" i="15"/>
  <c r="N18" i="17"/>
  <c r="C95" i="15"/>
  <c r="K49" i="15"/>
  <c r="K21" i="15"/>
  <c r="K61" i="15"/>
  <c r="K60" i="15"/>
  <c r="K22" i="15"/>
  <c r="J18" i="17"/>
  <c r="AN18" i="17"/>
  <c r="M19" i="17"/>
  <c r="K52" i="15"/>
  <c r="K6" i="15"/>
  <c r="K26" i="15"/>
  <c r="K57" i="15"/>
  <c r="K19" i="17"/>
  <c r="Z95" i="15"/>
  <c r="K25" i="15"/>
  <c r="K36" i="15"/>
  <c r="K27" i="15"/>
  <c r="K16" i="15"/>
  <c r="K19" i="15"/>
  <c r="K18" i="17"/>
  <c r="K54" i="15"/>
  <c r="K17" i="15"/>
  <c r="I18" i="17"/>
  <c r="K44" i="15"/>
  <c r="K39" i="15"/>
  <c r="K41" i="15"/>
  <c r="K50" i="15"/>
  <c r="K45" i="15"/>
  <c r="K42" i="15"/>
  <c r="L19" i="17"/>
  <c r="Z104" i="15"/>
  <c r="C104" i="15"/>
  <c r="AW19" i="2" l="1"/>
  <c r="AR18" i="2"/>
  <c r="BB65" i="2"/>
  <c r="B66" i="2" s="1"/>
  <c r="AA19" i="2"/>
  <c r="O19" i="2"/>
  <c r="AS20" i="2"/>
  <c r="O20" i="2"/>
  <c r="AA20" i="2"/>
  <c r="AR44" i="2"/>
  <c r="B77" i="2" s="1"/>
  <c r="AR47" i="2"/>
  <c r="J25" i="2"/>
  <c r="AV19" i="17"/>
  <c r="AW19" i="17"/>
  <c r="AR18" i="17"/>
  <c r="BB65" i="17"/>
  <c r="B66" i="17" s="1"/>
  <c r="J25" i="17"/>
  <c r="AQ18" i="17"/>
  <c r="AR44" i="17"/>
  <c r="B72" i="17" s="1"/>
  <c r="AR47" i="17"/>
  <c r="J30" i="2" l="1"/>
  <c r="C40" i="2" s="1"/>
  <c r="J27" i="2"/>
  <c r="J29" i="2" s="1"/>
  <c r="B65" i="2" s="1"/>
  <c r="D31" i="2" s="1"/>
  <c r="AV18" i="2"/>
  <c r="AW18" i="2"/>
  <c r="J27" i="17"/>
  <c r="J30" i="17"/>
  <c r="C40" i="17" s="1"/>
  <c r="AV18" i="17"/>
  <c r="AW18" i="17"/>
  <c r="AA19" i="17"/>
  <c r="O19" i="17"/>
  <c r="AA18" i="2" l="1"/>
  <c r="O18" i="2"/>
  <c r="V9" i="1"/>
  <c r="I11" i="1"/>
  <c r="AA18" i="17"/>
  <c r="O18" i="17"/>
  <c r="B65" i="17"/>
  <c r="D31" i="17" s="1"/>
  <c r="J29" i="17"/>
  <c r="I12" i="1" l="1"/>
  <c r="V12"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<sst xmlns="http://schemas.openxmlformats.org/spreadsheetml/2006/main" count="12660" uniqueCount="1708">
  <si>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</si>
  <si>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</si>
  <si>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</si>
  <si>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</si>
  <si>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</si>
  <si>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</si>
  <si>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</si>
  <si>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</si>
  <si>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</si>
  <si>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
  </si>
  <si>
    <t>VALUE</t>
  </si>
  <si>
    <t>BIG GUY</t>
  </si>
  <si>
    <t>UPGRADES</t>
  </si>
  <si>
    <t>/</t>
  </si>
  <si>
    <t>RACES COMBO</t>
  </si>
  <si>
    <t>REROLL</t>
  </si>
  <si>
    <t>APO</t>
  </si>
  <si>
    <t>BIG GUYS</t>
  </si>
  <si>
    <t>SPECIAL RULES</t>
  </si>
  <si>
    <t>COMBO STAR PLAYERS</t>
  </si>
  <si>
    <t>Amazon</t>
  </si>
  <si>
    <t>LustrianSuperleague</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</si>
  <si>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</si>
  <si>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</si>
  <si>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</si>
  <si>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</si>
  <si>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</si>
  <si>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</si>
  <si>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</si>
  <si>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</si>
  <si>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</si>
  <si>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</si>
  <si>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</si>
  <si>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</si>
  <si>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</si>
  <si>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</si>
  <si>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</si>
  <si>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</si>
  <si>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</si>
  <si>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</si>
  <si>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</si>
  <si>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</si>
  <si>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</si>
  <si>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</si>
  <si>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</si>
  <si>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</si>
  <si>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</si>
  <si>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</si>
  <si>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</si>
  <si>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</si>
  <si>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</si>
  <si>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</si>
  <si>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</si>
  <si>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</si>
  <si>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</si>
  <si>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</si>
  <si>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</si>
  <si>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</si>
  <si>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</si>
  <si>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</si>
  <si>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</si>
  <si>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</si>
  <si>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</si>
  <si>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</si>
  <si>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</si>
  <si>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</si>
  <si>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</si>
  <si>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</si>
  <si>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</si>
  <si>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</si>
  <si>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</si>
  <si>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</si>
  <si>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</si>
  <si>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</si>
  <si>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</si>
  <si>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</si>
  <si>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</si>
  <si>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</si>
  <si>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</si>
  <si>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</si>
  <si>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</si>
  <si>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</si>
  <si>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</si>
  <si>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</si>
  <si>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</si>
  <si>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</si>
  <si>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</si>
  <si>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</si>
  <si>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</si>
  <si>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</si>
  <si>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</si>
  <si>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</si>
  <si>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</si>
  <si>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</si>
  <si>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</si>
  <si>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</si>
  <si>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</si>
  <si>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</si>
  <si>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</si>
  <si>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</si>
  <si>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</si>
  <si>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</si>
  <si>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 xml:space="preserve">x </t>
  </si>
  <si>
    <t>Norse</t>
  </si>
  <si>
    <t>LustrianSuperleagueOldWorldClassic</t>
  </si>
  <si>
    <t>Nurgle</t>
  </si>
  <si>
    <t xml:space="preserve">Nurgle </t>
  </si>
  <si>
    <t xml:space="preserve">Nurgle  </t>
  </si>
  <si>
    <t xml:space="preserve">Nurgle   </t>
  </si>
  <si>
    <t>WIZARDS</t>
  </si>
  <si>
    <t>Ogre</t>
  </si>
  <si>
    <t>BadlandsBrawlOldWorldClassic</t>
  </si>
  <si>
    <t>LowCost</t>
  </si>
  <si>
    <t>Ogros</t>
  </si>
  <si>
    <t>Oger</t>
  </si>
  <si>
    <t>Ogres</t>
  </si>
  <si>
    <t>English</t>
  </si>
  <si>
    <t>(IN)FAMOUS COACHES</t>
  </si>
  <si>
    <t>Old World Alliance</t>
  </si>
  <si>
    <t>OldWorldAlliance</t>
  </si>
  <si>
    <t>Alianza del Viejo Mundo</t>
  </si>
  <si>
    <t xml:space="preserve">Old World Alliance </t>
  </si>
  <si>
    <t>Alliance du Vieux Monde</t>
  </si>
  <si>
    <t>Orc</t>
  </si>
  <si>
    <t>Orcos</t>
  </si>
  <si>
    <t>Orks</t>
  </si>
  <si>
    <t>Orques</t>
  </si>
  <si>
    <t>BIASED REFEREE</t>
  </si>
  <si>
    <t>Shambling Undead</t>
  </si>
  <si>
    <t>ShamblingUndead</t>
  </si>
  <si>
    <t>No Muertos</t>
  </si>
  <si>
    <t xml:space="preserve">Shambling Undead </t>
  </si>
  <si>
    <t>Morts-Vivants</t>
  </si>
  <si>
    <t>OTHER INDUCEMENTS</t>
  </si>
  <si>
    <t>Slann</t>
  </si>
  <si>
    <t xml:space="preserve">Slann </t>
  </si>
  <si>
    <t xml:space="preserve">Slann  </t>
  </si>
  <si>
    <t>Slans</t>
  </si>
  <si>
    <t>Skaven</t>
  </si>
  <si>
    <t>UnderworldChallenge</t>
  </si>
  <si>
    <t xml:space="preserve">Skaven </t>
  </si>
  <si>
    <t xml:space="preserve">Skaven  </t>
  </si>
  <si>
    <t xml:space="preserve">Skaven   </t>
  </si>
  <si>
    <t>SPONSORS</t>
  </si>
  <si>
    <t>Snotling</t>
  </si>
  <si>
    <t xml:space="preserve">Snotling </t>
  </si>
  <si>
    <t>Snotlinge</t>
  </si>
  <si>
    <t>Snotlings</t>
  </si>
  <si>
    <t/>
  </si>
  <si>
    <t>Tomb King</t>
  </si>
  <si>
    <t>TombKing</t>
  </si>
  <si>
    <t>Khemri</t>
  </si>
  <si>
    <t xml:space="preserve">Tomb King </t>
  </si>
  <si>
    <t>Roi des Tombes Kehmri</t>
  </si>
  <si>
    <t>Underworld Denizens</t>
  </si>
  <si>
    <t>UnderworldDenizens</t>
  </si>
  <si>
    <t>Inframundo</t>
  </si>
  <si>
    <t xml:space="preserve">Underworld Denizen </t>
  </si>
  <si>
    <t>Bas-Fonds</t>
  </si>
  <si>
    <t>Vampire</t>
  </si>
  <si>
    <t>Wood Elf</t>
  </si>
  <si>
    <t>WoodElf</t>
  </si>
  <si>
    <t>Elfos Silvanos</t>
  </si>
  <si>
    <t>Waldelfen</t>
  </si>
  <si>
    <t>Elfes Sylvains</t>
  </si>
  <si>
    <t>NO</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</si>
  <si>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</si>
  <si>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</si>
  <si>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</si>
  <si>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</si>
  <si>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</si>
  <si>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</si>
  <si>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</si>
  <si>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</si>
  <si>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</si>
  <si>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</si>
  <si>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</si>
  <si>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</si>
  <si>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</si>
  <si>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</si>
  <si>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</si>
  <si>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</si>
  <si>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</si>
  <si>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</si>
  <si>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</si>
  <si>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</si>
  <si>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</si>
  <si>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</si>
  <si>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</si>
  <si>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</si>
  <si>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</si>
  <si>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</si>
  <si>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</si>
  <si>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</si>
  <si>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</si>
  <si>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</si>
  <si>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#1</t>
  </si>
  <si>
    <t>#2</t>
  </si>
  <si>
    <t>#3</t>
  </si>
  <si>
    <t>#4</t>
  </si>
  <si>
    <t>#5</t>
  </si>
  <si>
    <t>#6</t>
  </si>
  <si>
    <t>#7</t>
  </si>
  <si>
    <t>#8</t>
  </si>
  <si>
    <t>#9</t>
  </si>
  <si>
    <t>#10</t>
  </si>
  <si>
    <t>#11</t>
  </si>
  <si>
    <t>#12</t>
  </si>
  <si>
    <t>#13</t>
  </si>
  <si>
    <t>#14</t>
  </si>
  <si>
    <t>#15</t>
  </si>
  <si>
    <t>#16</t>
  </si>
  <si>
    <t>JOSEF BUGMAN</t>
  </si>
  <si>
    <t>FULL</t>
  </si>
  <si>
    <t>PM</t>
  </si>
  <si>
    <t>Español</t>
  </si>
  <si>
    <t xml:space="preserve"> </t>
  </si>
  <si>
    <t>Deutsch</t>
  </si>
  <si>
    <t>Français</t>
  </si>
  <si>
    <t>SÍ</t>
  </si>
  <si>
    <t>Total BG</t>
  </si>
  <si>
    <t>Limit BG</t>
  </si>
  <si>
    <t>Favoured of…</t>
  </si>
  <si>
    <t>-</t>
  </si>
  <si>
    <t>RACE</t>
  </si>
  <si>
    <t>HELPER</t>
  </si>
  <si>
    <t>TYPE</t>
  </si>
  <si>
    <t>Combo</t>
  </si>
  <si>
    <t>SKILLS</t>
  </si>
  <si>
    <t>PRIZE</t>
  </si>
  <si>
    <t>QTY</t>
  </si>
  <si>
    <t>BG</t>
  </si>
  <si>
    <t>S. ENGLISH</t>
  </si>
  <si>
    <t>S. SPANISH</t>
  </si>
  <si>
    <t>S. DEUTCH</t>
  </si>
  <si>
    <t>S. FRENCH</t>
  </si>
  <si>
    <t>S. ITALIAN</t>
  </si>
  <si>
    <t>Dodge</t>
  </si>
  <si>
    <t>Esquivar</t>
  </si>
  <si>
    <t>Ausweichen</t>
  </si>
  <si>
    <t>Esquive</t>
  </si>
  <si>
    <t>Thrower</t>
  </si>
  <si>
    <t>Catcher</t>
  </si>
  <si>
    <t>Blitzer</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</si>
  <si>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</si>
  <si>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</si>
  <si>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</si>
  <si>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</si>
  <si>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</si>
  <si>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</si>
  <si>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</si>
  <si>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</si>
  <si>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</si>
  <si>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</si>
  <si>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</si>
  <si>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</si>
  <si>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</si>
  <si>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</si>
  <si>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</si>
  <si>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</si>
  <si>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</si>
  <si>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</si>
  <si>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</si>
  <si>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</si>
  <si>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</si>
  <si>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</si>
  <si>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</si>
  <si>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</si>
  <si>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</si>
  <si>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</si>
  <si>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</si>
  <si>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</si>
  <si>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</si>
  <si>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</si>
  <si>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</si>
  <si>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</si>
  <si>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</si>
  <si>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</si>
  <si>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</si>
  <si>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Blocker</t>
  </si>
  <si>
    <t>Block, Tackle, Thick Skull</t>
  </si>
  <si>
    <t>Placar, Placaje defensivo, Cabeza dura</t>
  </si>
  <si>
    <t>Block, Tackle, Robust</t>
  </si>
  <si>
    <t>Blocage, Tacle, Crâne épais</t>
  </si>
  <si>
    <t>Sprint, Sure Feet, Thick Skull</t>
  </si>
  <si>
    <t>Esprintar, Pies firmes, Cabeza dura</t>
  </si>
  <si>
    <t>Sprinten, Sprintensicher, Robust</t>
  </si>
  <si>
    <t>Sprint, Équilibre, Crâne épais</t>
  </si>
  <si>
    <t>Einzelgänger (4+), Rasend, Hörner, Knochenbrecher (+1), Robust, Animalische Brutalität</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</si>
  <si>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</si>
  <si>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</si>
  <si>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</si>
  <si>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</si>
  <si>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</si>
  <si>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</si>
  <si>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</si>
  <si>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</si>
  <si>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</si>
  <si>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</si>
  <si>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</si>
  <si>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</si>
  <si>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</si>
  <si>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</si>
  <si>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</si>
  <si>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</si>
  <si>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</si>
  <si>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</si>
  <si>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</si>
  <si>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</si>
  <si>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</si>
  <si>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</si>
  <si>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</si>
  <si>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</si>
  <si>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</si>
  <si>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</si>
  <si>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Frenzy</t>
  </si>
  <si>
    <t>Furia</t>
  </si>
  <si>
    <t>Rasend</t>
  </si>
  <si>
    <t>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</si>
  <si>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</si>
  <si>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</si>
  <si>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</si>
  <si>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</si>
  <si>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</si>
  <si>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</si>
  <si>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</si>
  <si>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</si>
  <si>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</si>
  <si>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</si>
  <si>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</si>
  <si>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</si>
  <si>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</si>
  <si>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</si>
  <si>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</si>
  <si>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</si>
  <si>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</si>
  <si>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</si>
  <si>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</si>
  <si>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</si>
  <si>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</si>
  <si>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</si>
  <si>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</si>
  <si>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</si>
  <si>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</si>
  <si>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</si>
  <si>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</si>
  <si>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</si>
  <si>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</si>
  <si>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</si>
  <si>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</si>
  <si>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</si>
  <si>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</si>
  <si>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</si>
  <si>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</si>
  <si>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</si>
  <si>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</si>
  <si>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</si>
  <si>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</si>
  <si>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</si>
  <si>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</si>
  <si>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</si>
  <si>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</si>
  <si>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</si>
  <si>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</si>
  <si>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</si>
  <si>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</si>
  <si>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</si>
  <si>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</si>
  <si>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</si>
  <si>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</si>
  <si>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</si>
  <si>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</si>
  <si>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</si>
  <si>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</si>
  <si>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</si>
  <si>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</si>
  <si>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</si>
  <si>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</si>
  <si>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</si>
  <si>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</si>
  <si>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</si>
  <si>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</si>
  <si>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</si>
  <si>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</si>
  <si>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</si>
  <si>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</si>
  <si>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</si>
  <si>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</si>
  <si>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</si>
  <si>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</si>
  <si>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</si>
  <si>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</si>
  <si>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</si>
  <si>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</si>
  <si>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</si>
  <si>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</si>
  <si>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</si>
  <si>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</si>
  <si>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</si>
  <si>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</si>
  <si>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</si>
  <si>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</si>
  <si>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</si>
  <si>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</si>
  <si>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</si>
  <si>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</si>
  <si>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</si>
  <si>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</si>
  <si>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</si>
  <si>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</si>
  <si>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</si>
  <si>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</si>
  <si>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</si>
  <si>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</si>
  <si>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</si>
  <si>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</si>
  <si>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</si>
  <si>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</si>
  <si>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</si>
  <si>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</si>
  <si>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</si>
  <si>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</si>
  <si>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</si>
  <si>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</si>
  <si>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</si>
  <si>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</si>
  <si>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</si>
  <si>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</si>
  <si>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</si>
  <si>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</si>
  <si>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</si>
  <si>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</si>
  <si>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</si>
  <si>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</si>
  <si>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</si>
  <si>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</si>
  <si>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</si>
  <si>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</si>
  <si>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</si>
  <si>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</si>
  <si>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</si>
  <si>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</si>
  <si>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</si>
  <si>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</si>
  <si>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</si>
  <si>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</si>
  <si>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</si>
  <si>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</si>
  <si>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</si>
  <si>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</si>
  <si>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</si>
  <si>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</si>
  <si>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</si>
  <si>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</si>
  <si>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</si>
  <si>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</si>
  <si>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</si>
  <si>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</si>
  <si>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</si>
  <si>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</si>
  <si>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</si>
  <si>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</si>
  <si>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</si>
  <si>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</si>
  <si>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</si>
  <si>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</si>
  <si>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</si>
  <si>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</si>
  <si>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</si>
  <si>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</si>
  <si>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</si>
  <si>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</si>
  <si>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</si>
  <si>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</si>
  <si>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</si>
  <si>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</si>
  <si>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</si>
  <si>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</si>
  <si>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</si>
  <si>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</si>
  <si>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</si>
  <si>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</si>
  <si>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</si>
  <si>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</si>
  <si>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</si>
  <si>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</si>
  <si>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</si>
  <si>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</si>
  <si>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</si>
  <si>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</si>
  <si>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</si>
  <si>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</si>
  <si>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</si>
  <si>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</si>
  <si>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</si>
  <si>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</si>
  <si>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</si>
  <si>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</si>
  <si>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</si>
  <si>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Berserker</t>
  </si>
  <si>
    <t>Block, Frenzy, Jump Up</t>
  </si>
  <si>
    <t>Placar, Furia, En pie de un salto</t>
  </si>
  <si>
    <t>Block, Rasend, Aufspringen</t>
  </si>
  <si>
    <t>Blocage, Frénésie, Rétablissement</t>
  </si>
  <si>
    <t>Ulfwerener</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</si>
  <si>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</si>
  <si>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</si>
  <si>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</si>
  <si>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</si>
  <si>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</si>
  <si>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</si>
  <si>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</si>
  <si>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</si>
  <si>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</si>
  <si>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</si>
  <si>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</si>
  <si>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</si>
  <si>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</si>
  <si>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</si>
  <si>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</si>
  <si>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</si>
  <si>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</si>
  <si>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</si>
  <si>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</si>
  <si>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</si>
  <si>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</si>
  <si>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</si>
  <si>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</si>
  <si>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</si>
  <si>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</si>
  <si>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</si>
  <si>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</si>
  <si>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</si>
  <si>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</si>
  <si>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</si>
  <si>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</si>
  <si>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</si>
  <si>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</si>
  <si>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</si>
  <si>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</si>
  <si>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</si>
  <si>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</si>
  <si>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</si>
  <si>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</si>
  <si>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</si>
  <si>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</si>
  <si>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</si>
  <si>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</si>
  <si>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</si>
  <si>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</si>
  <si>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</si>
  <si>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</si>
  <si>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</si>
  <si>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</si>
  <si>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</si>
  <si>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</si>
  <si>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</si>
  <si>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</si>
  <si>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</si>
  <si>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</si>
  <si>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</si>
  <si>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</si>
  <si>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</si>
  <si>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</si>
  <si>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</si>
  <si>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</si>
  <si>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</si>
  <si>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</si>
  <si>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</si>
  <si>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</si>
  <si>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</si>
  <si>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</si>
  <si>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</si>
  <si>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</si>
  <si>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</si>
  <si>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</si>
  <si>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</si>
  <si>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</si>
  <si>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</si>
  <si>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</si>
  <si>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</si>
  <si>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</si>
  <si>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</si>
  <si>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</si>
  <si>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</si>
  <si>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</si>
  <si>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</si>
  <si>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</si>
  <si>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</si>
  <si>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</si>
  <si>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</si>
  <si>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</si>
  <si>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</si>
  <si>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</si>
  <si>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</si>
  <si>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</si>
  <si>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</si>
  <si>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</si>
  <si>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</si>
  <si>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</si>
  <si>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</si>
  <si>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</si>
  <si>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</si>
  <si>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</si>
  <si>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</si>
  <si>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</si>
  <si>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</si>
  <si>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</si>
  <si>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</si>
  <si>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</si>
  <si>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</si>
  <si>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</si>
  <si>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</si>
  <si>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</si>
  <si>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</si>
  <si>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</si>
  <si>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</si>
  <si>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</si>
  <si>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</si>
  <si>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</si>
  <si>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</si>
  <si>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</si>
  <si>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</si>
  <si>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</si>
  <si>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</si>
  <si>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</si>
  <si>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</si>
  <si>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</si>
  <si>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</si>
  <si>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Gutter Runner</t>
  </si>
  <si>
    <t>Rat Ogre</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</si>
  <si>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</si>
  <si>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</si>
  <si>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</si>
  <si>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</si>
  <si>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</si>
  <si>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</si>
  <si>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</si>
  <si>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</si>
  <si>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</si>
  <si>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</si>
  <si>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</si>
  <si>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</si>
  <si>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</si>
  <si>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</si>
  <si>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</si>
  <si>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</si>
  <si>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</si>
  <si>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</si>
  <si>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</si>
  <si>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</si>
  <si>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</si>
  <si>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</si>
  <si>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</si>
  <si>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</si>
  <si>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</si>
  <si>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</si>
  <si>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</si>
  <si>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</si>
  <si>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</si>
  <si>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</si>
  <si>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</si>
  <si>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</si>
  <si>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</si>
  <si>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</si>
  <si>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</si>
  <si>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</si>
  <si>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</si>
  <si>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</si>
  <si>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</si>
  <si>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</si>
  <si>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</si>
  <si>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</si>
  <si>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</si>
  <si>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</si>
  <si>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</si>
  <si>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</si>
  <si>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</si>
  <si>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</si>
  <si>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</si>
  <si>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</si>
  <si>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</si>
  <si>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</si>
  <si>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</si>
  <si>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</si>
  <si>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</si>
  <si>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</si>
  <si>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</si>
  <si>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</si>
  <si>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</si>
  <si>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</si>
  <si>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</si>
  <si>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</si>
  <si>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</si>
  <si>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</si>
  <si>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</si>
  <si>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</si>
  <si>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</si>
  <si>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</si>
  <si>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</si>
  <si>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</si>
  <si>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</si>
  <si>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</si>
  <si>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</si>
  <si>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</si>
  <si>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</si>
  <si>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</si>
  <si>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</si>
  <si>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</si>
  <si>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</si>
  <si>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</si>
  <si>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</si>
  <si>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</si>
  <si>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</si>
  <si>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</si>
  <si>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</si>
  <si>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</si>
  <si>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</si>
  <si>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</si>
  <si>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</si>
  <si>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</si>
  <si>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</si>
  <si>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</si>
  <si>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</si>
  <si>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</si>
  <si>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</si>
  <si>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</si>
  <si>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</si>
  <si>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</si>
  <si>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</si>
  <si>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</si>
  <si>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</si>
  <si>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</si>
  <si>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</si>
  <si>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</si>
  <si>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</si>
  <si>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</si>
  <si>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</si>
  <si>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</si>
  <si>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</si>
  <si>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</si>
  <si>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</si>
  <si>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</si>
  <si>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</si>
  <si>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</si>
  <si>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</si>
  <si>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</si>
  <si>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</si>
  <si>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</si>
  <si>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</si>
  <si>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</si>
  <si>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</si>
  <si>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</si>
  <si>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</si>
  <si>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</si>
  <si>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</si>
  <si>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</si>
  <si>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</si>
  <si>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</si>
  <si>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</si>
  <si>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</si>
  <si>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</si>
  <si>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</si>
  <si>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</si>
  <si>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</si>
  <si>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</si>
  <si>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</si>
  <si>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</si>
  <si>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</si>
  <si>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</si>
  <si>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</si>
  <si>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</si>
  <si>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</si>
  <si>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</si>
  <si>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</si>
  <si>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</si>
  <si>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</si>
  <si>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</si>
  <si>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</si>
  <si>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</si>
  <si>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</si>
  <si>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</si>
  <si>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</si>
  <si>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</si>
  <si>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</si>
  <si>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</si>
  <si>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</si>
  <si>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</si>
  <si>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</si>
  <si>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</si>
  <si>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</si>
  <si>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</si>
  <si>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</si>
  <si>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</si>
  <si>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</si>
  <si>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</si>
  <si>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</si>
  <si>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</si>
  <si>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</si>
  <si>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</si>
  <si>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</si>
  <si>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</si>
  <si>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</si>
  <si>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</si>
  <si>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</si>
  <si>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</si>
  <si>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</si>
  <si>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</si>
  <si>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</si>
  <si>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</si>
  <si>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</si>
  <si>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</si>
  <si>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</si>
  <si>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</si>
  <si>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</si>
  <si>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</si>
  <si>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</si>
  <si>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</si>
  <si>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</si>
  <si>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</si>
  <si>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</si>
  <si>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</si>
  <si>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</si>
  <si>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</si>
  <si>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</si>
  <si>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</si>
  <si>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</si>
  <si>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</si>
  <si>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</si>
  <si>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</si>
  <si>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</si>
  <si>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</si>
  <si>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</si>
  <si>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</si>
  <si>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</si>
  <si>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</si>
  <si>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</si>
  <si>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</si>
  <si>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</si>
  <si>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</si>
  <si>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</si>
  <si>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</si>
  <si>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</si>
  <si>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</si>
  <si>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</si>
  <si>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</si>
  <si>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</si>
  <si>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</si>
  <si>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</si>
  <si>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</si>
  <si>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</si>
  <si>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</si>
  <si>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</si>
  <si>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</si>
  <si>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</si>
  <si>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</si>
  <si>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</si>
  <si>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</si>
  <si>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</si>
  <si>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</si>
  <si>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</si>
  <si>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</si>
  <si>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</si>
  <si>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</si>
  <si>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</si>
  <si>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</si>
  <si>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</si>
  <si>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</si>
  <si>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</si>
  <si>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</si>
  <si>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</si>
  <si>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</si>
  <si>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</si>
  <si>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</si>
  <si>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</si>
  <si>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</si>
  <si>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</si>
  <si>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</si>
  <si>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</si>
  <si>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</si>
  <si>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</si>
  <si>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</si>
  <si>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</si>
  <si>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</si>
  <si>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</si>
  <si>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</si>
  <si>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</si>
  <si>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</si>
  <si>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</si>
  <si>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</si>
  <si>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</si>
  <si>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</si>
  <si>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</si>
  <si>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</si>
  <si>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</si>
  <si>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</si>
  <si>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</si>
  <si>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</si>
  <si>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</si>
  <si>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</si>
  <si>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</si>
  <si>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</si>
  <si>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</si>
  <si>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</si>
  <si>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</si>
  <si>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</si>
  <si>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</si>
  <si>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</si>
  <si>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</si>
  <si>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</si>
  <si>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</si>
  <si>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</si>
  <si>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</si>
  <si>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</si>
  <si>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</si>
  <si>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</si>
  <si>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</si>
  <si>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</si>
  <si>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</si>
  <si>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</si>
  <si>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</si>
  <si>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</si>
  <si>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</si>
  <si>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</si>
  <si>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</si>
  <si>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</si>
  <si>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</si>
  <si>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</si>
  <si>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</si>
  <si>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</si>
  <si>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</si>
  <si>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</si>
  <si>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</si>
  <si>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</si>
  <si>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</si>
  <si>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</si>
  <si>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</si>
  <si>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</si>
  <si>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</si>
  <si>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</si>
  <si>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</si>
  <si>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</si>
  <si>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</si>
  <si>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</si>
  <si>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</si>
  <si>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</si>
  <si>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</si>
  <si>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</si>
  <si>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</si>
  <si>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</si>
  <si>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</si>
  <si>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</si>
  <si>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</si>
  <si>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</si>
  <si>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</si>
  <si>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</si>
  <si>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</si>
  <si>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</si>
  <si>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</si>
  <si>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</si>
  <si>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</si>
  <si>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</si>
  <si>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</si>
  <si>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</si>
  <si>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</si>
  <si>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</si>
  <si>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</si>
  <si>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</si>
  <si>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</si>
  <si>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</si>
  <si>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</si>
  <si>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</si>
  <si>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</si>
  <si>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</si>
  <si>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</si>
  <si>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</si>
  <si>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</si>
  <si>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</si>
  <si>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</si>
  <si>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</si>
  <si>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</si>
  <si>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</si>
  <si>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</si>
  <si>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</si>
  <si>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</si>
  <si>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</si>
  <si>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</si>
  <si>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</si>
  <si>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</si>
  <si>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</si>
  <si>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</si>
  <si>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</si>
  <si>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</si>
  <si>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</si>
  <si>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</si>
  <si>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</si>
  <si>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</si>
  <si>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</si>
  <si>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</si>
  <si>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</si>
  <si>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</si>
  <si>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</si>
  <si>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</si>
  <si>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</si>
  <si>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</si>
  <si>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</si>
  <si>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</si>
  <si>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</si>
  <si>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</si>
  <si>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</si>
  <si>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</si>
  <si>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</si>
  <si>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</si>
  <si>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</si>
  <si>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</si>
  <si>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</si>
  <si>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</si>
  <si>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</si>
  <si>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</si>
  <si>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</si>
  <si>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</si>
  <si>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</si>
  <si>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</si>
  <si>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</si>
  <si>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</si>
  <si>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</si>
  <si>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</si>
  <si>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</si>
  <si>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</si>
  <si>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</si>
  <si>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</si>
  <si>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</si>
  <si>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</si>
  <si>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</si>
  <si>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</si>
  <si>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</si>
  <si>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</si>
  <si>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</si>
  <si>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</si>
  <si>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</si>
  <si>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</si>
  <si>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</si>
  <si>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</si>
  <si>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</si>
  <si>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</si>
  <si>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</si>
  <si>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</si>
  <si>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</si>
  <si>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</si>
  <si>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</si>
  <si>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</si>
  <si>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</si>
  <si>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</si>
  <si>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</si>
  <si>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</si>
  <si>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</si>
  <si>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</si>
  <si>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</si>
  <si>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</si>
  <si>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</si>
  <si>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</si>
  <si>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</si>
  <si>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</si>
  <si>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</si>
  <si>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</si>
  <si>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</si>
  <si>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</si>
  <si>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</si>
  <si>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</si>
  <si>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</si>
  <si>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</si>
  <si>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</si>
  <si>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</si>
  <si>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</si>
  <si>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</si>
  <si>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</si>
  <si>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</si>
  <si>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</si>
  <si>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</si>
  <si>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</si>
  <si>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</si>
  <si>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</si>
  <si>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</si>
  <si>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EN</t>
  </si>
  <si>
    <t>ES</t>
  </si>
  <si>
    <t>DE</t>
  </si>
  <si>
    <t>FR</t>
  </si>
  <si>
    <t>CCC</t>
  </si>
  <si>
    <t>DDD</t>
  </si>
  <si>
    <t>EEE</t>
  </si>
  <si>
    <t>Knochenbrecher (+1), Standfest, Thick Skull, Wurzeln schlagen, Robust, Mitspieler werfen, Baum fällt!</t>
  </si>
  <si>
    <t>Einzelgänger (4+), Knochenbrecher (+1), Standfest, Thick Skull, Wurzeln schlagen, Robust, Mitspieler werfen</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</si>
  <si>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</si>
  <si>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</si>
  <si>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</si>
  <si>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</si>
  <si>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</si>
  <si>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</si>
  <si>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</si>
  <si>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</si>
  <si>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</si>
  <si>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</si>
  <si>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</si>
  <si>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</si>
  <si>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</si>
  <si>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</si>
  <si>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ABL</t>
  </si>
  <si>
    <t>ABM</t>
  </si>
  <si>
    <t>Fungus the Loon</t>
  </si>
  <si>
    <t>Ball &amp; Chain, Mighty Blow (+1), Loner (4+), No Hands, Secret Weapon, Stunty</t>
  </si>
  <si>
    <t>Whirling Dervish: Once per activation, Fungus may re-roll the D6 when determining which direction he moves in.</t>
  </si>
  <si>
    <t>Bomber Dribblesnot</t>
  </si>
  <si>
    <t>Kaboom!: Once per game, if an opposition player catches a Bomb thrown by Bomber, you can choose to have it explode immediately rather than rolling to see if the player can throw it again.</t>
  </si>
  <si>
    <t>Accurate, Bombardier, Dodge, Loner (4+), Right Stuff, Secret Weapon, Stunty</t>
  </si>
  <si>
    <t>Kaboom!: Une fois par partie, si un joueur adverse attrape une bombe lancée par Bomber, vous pouvez choisir de la faire exploser immédiatement plutôt que de lancer un dé pour voir si le joueur peut la relancer.</t>
  </si>
  <si>
    <t>Kabumm!: Wenn ein gegnerischer Spieler eine von Bomber geworfene Bombe fängt, kannst du einmal pro Spiel wählen, ob sie sofort explodieren soll, anstatt zu würfeln, um zu sehen, ob der Spieler sie erneut werfen kann.</t>
  </si>
  <si>
    <t>Kaboom!: Una volta per partita, se un giocatore avversario prende una Bomba lanciata da Bomber, puoi scegliere di farla esplodere immediatamente piuttosto che tirare per vedere se il giocatore può lanciarla di nuovo.</t>
  </si>
  <si>
    <t>¡Kaboom!: Una vez por partida, si un jugador rival atrapa una bomba lanzada por el Bomber, puedes elegir que explote inmediatamente en lugar de tirar para ver si el jugador puede volver a lanzarla.</t>
  </si>
  <si>
    <t>Derviscio vorticoso: una volta per attivazione, Fungus può rilanciare il D6 per determinare in quale direzione si muove.</t>
  </si>
  <si>
    <t>Derviche tourneur : une fois par activation, Fungus peut relancer le D6 pour déterminer dans quelle direction il se déplace.</t>
  </si>
  <si>
    <t>Wirbelnder Derwisch: Einmal pro Aktivierung darf Fungus einen D6-Wurf wiederholen, um zu bestimmen, in welche Richtung er sich bewegt.</t>
  </si>
  <si>
    <t>Derviche giratorio: Una vez por activación, Fungus puede volver a tirar el D6 al determinar en qué dirección se mueve.</t>
  </si>
  <si>
    <t>Bola y cadena, Golpe Mortífero (+1), Solitario (4+), Sin manos, Arma secreta, Escurridizo</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</si>
  <si>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</si>
  <si>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</si>
  <si>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</si>
  <si>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Morgenstern, Einzelgänger (4+), Knochenbrecher (+1), Versteckte Waffe, Keine Hände, Kleinwüchsig</t>
  </si>
  <si>
    <t>Chaîne et Boulet, Solitaire (4+), Châtaigne (+1), Sans les Mains, Arme Secrète, Minus</t>
  </si>
  <si>
    <t>Chaîne et Boulet, Solitaire (4+), Châtaigne (+1), Sans les Mains, Queue préhensile, Arme Secrète</t>
  </si>
  <si>
    <t>Morgenstern, Einzelgänger (4+), Knochenbrecher (+1), Versteckte Waffe, Klammerschwanz, Versteckte Waffe</t>
  </si>
  <si>
    <t>Bombardero, Presencia perturbadora, Esquivar, Solitario (3+), Echarse a un lado, Furtivo, Puñal, Escurridizo</t>
  </si>
  <si>
    <t>Animosity (all team), Pass, Sure Hands</t>
  </si>
  <si>
    <t>Animosity (all team), Block</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</si>
  <si>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</si>
  <si>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</si>
  <si>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</si>
  <si>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</si>
  <si>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</si>
  <si>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</si>
  <si>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</si>
  <si>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</si>
  <si>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</si>
  <si>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</si>
  <si>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</si>
  <si>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</si>
  <si>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</si>
  <si>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</si>
  <si>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</si>
  <si>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Valkyrie</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</si>
  <si>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</si>
  <si>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</si>
  <si>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</si>
  <si>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</si>
  <si>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</si>
  <si>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</si>
  <si>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</si>
  <si>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</si>
  <si>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</si>
  <si>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</si>
  <si>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</si>
  <si>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</si>
  <si>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</si>
  <si>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</si>
  <si>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</si>
  <si>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</si>
  <si>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</si>
  <si>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</si>
  <si>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</si>
  <si>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</si>
  <si>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</si>
  <si>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</si>
  <si>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</si>
  <si>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</si>
  <si>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</si>
  <si>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</si>
  <si>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</si>
  <si>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</si>
  <si>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</si>
  <si>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</si>
  <si>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</si>
  <si>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</si>
  <si>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</si>
  <si>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OldWorldClassicFavouredof</t>
  </si>
  <si>
    <t>NORSCAN SEER</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</si>
  <si>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</si>
  <si>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</si>
  <si>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</si>
  <si>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</si>
  <si>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</si>
  <si>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</si>
  <si>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</si>
  <si>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</si>
  <si>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</si>
  <si>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</si>
  <si>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</si>
  <si>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</si>
  <si>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</si>
  <si>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</si>
  <si>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</si>
  <si>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</si>
  <si>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</si>
  <si>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</si>
  <si>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</si>
  <si>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</si>
  <si>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</si>
  <si>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</si>
  <si>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</si>
  <si>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</si>
  <si>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</si>
  <si>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</si>
  <si>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</si>
  <si>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</si>
  <si>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</si>
  <si>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</si>
  <si>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</si>
  <si>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</si>
  <si>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</si>
  <si>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</si>
  <si>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</si>
  <si>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</si>
  <si>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</si>
  <si>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</si>
  <si>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</si>
  <si>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</si>
  <si>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</si>
  <si>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</si>
  <si>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</si>
  <si>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</si>
  <si>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</si>
  <si>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</si>
  <si>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</si>
  <si>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</si>
  <si>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</si>
  <si>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</si>
  <si>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BBB</t>
  </si>
  <si>
    <t>Giant</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</si>
  <si>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</si>
  <si>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</si>
  <si>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</si>
  <si>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</si>
  <si>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</si>
  <si>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</si>
  <si>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</si>
  <si>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</si>
  <si>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</si>
  <si>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</si>
  <si>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</si>
  <si>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</si>
  <si>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ABY</t>
  </si>
  <si>
    <t>Drull</t>
  </si>
  <si>
    <t>Dodge, Loner (4+), Sidestep, Stab, Stunty</t>
  </si>
  <si>
    <t>ABZ</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</si>
  <si>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</si>
  <si>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</si>
  <si>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</si>
  <si>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</si>
  <si>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</si>
  <si>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</si>
  <si>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</si>
  <si>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</si>
  <si>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</si>
  <si>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</si>
  <si>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</si>
  <si>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</si>
  <si>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</si>
  <si>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</si>
  <si>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</si>
  <si>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</si>
  <si>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</si>
  <si>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</si>
  <si>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</si>
  <si>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</si>
  <si>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</si>
  <si>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</si>
  <si>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</si>
  <si>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Placar, Esquivar, Solitario (3+), Nervios de acero, Humanoide bala, Escurridizo</t>
  </si>
  <si>
    <t>Block, Ausweichen, Einzelgänger (3+), Nerven aus Stahl, Lebensmüde, Kleinwüchsig</t>
  </si>
  <si>
    <t>Blocage, Esquive, Solitaire (3+), Nerfs d’acier, Poids Plume, Minus</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</si>
  <si>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</si>
  <si>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</si>
  <si>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</si>
  <si>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</si>
  <si>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Precisión, Bombardero, Esquivar, Solitario (4+), Arma secreta, Escurridizo</t>
  </si>
  <si>
    <t>Zielsicher, Bombardier, Ausweichen, Einzelgänger (4+), Versteckte Waffe, Kleinwüchsig</t>
  </si>
  <si>
    <t>Précision,  Bombardier, Esquive, Solitaire (4+), Arme Secrète, Minus</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</si>
  <si>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</si>
  <si>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</si>
  <si>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</si>
  <si>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</si>
  <si>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Juego sucio (+1), Esquivar, Solitario (4+), Echarse a un lado, Furtivo, Escurridizo</t>
  </si>
  <si>
    <t>Brutal (+1), Ausweichen, Einzelgänger (4+), Gewandt, Heimtückisch, Kleinwüchsig</t>
  </si>
  <si>
    <t>Joueur Déloyal (+1), Esquive, Solitaire (4+), Glissade Contrôlée, Sournois, Minus</t>
  </si>
  <si>
    <t>Esquivar, Solitario (4+), Echarse a un lado, Apuñalar, Escurridizo</t>
  </si>
  <si>
    <t>Ausweichen, Einzelgänger (4+), Gewandt, Niederstechen, Kleinwüchsig</t>
  </si>
  <si>
    <t>Esquive, Solitaire (4+), Glissade Contrôlée, Poignard, Minus</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</si>
  <si>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</si>
  <si>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</si>
  <si>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</si>
  <si>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</si>
  <si>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Juego sucio (+1), Presencia perturbadora, Apariencia asquerosa, Solitario (4+)</t>
  </si>
  <si>
    <t>Brutal (+1), Verstörende Präsenz, Abstoßendes Aussehen, Einzelgänger (4+)</t>
  </si>
  <si>
    <t>Joueur Déloyal (+1), Présence Perturbante, Répulsion, Solitaire (4+)</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</si>
  <si>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</si>
  <si>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</si>
  <si>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</si>
  <si>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</si>
  <si>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Apartar, Solitario (4+), Golpe mortífero (+1), Regeneración, Lanzar compañero</t>
  </si>
  <si>
    <t>Greifer, Einzelgänger (4+), Knochenbrecher (+1), Regeneration, Mitspieler werfen</t>
  </si>
  <si>
    <t>Projection, Solitaire (4+), Châtaigne (+1), Régénération, Lancer de Coéquipier</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</si>
  <si>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</si>
  <si>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</si>
  <si>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</si>
  <si>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</si>
  <si>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Placar, Sierra mecánica, Esquivar, Solitario (4+), Arma secreta, Escurridizo</t>
  </si>
  <si>
    <t>Block, Kettensäge, Ausweichen, Einzelgänger (4+), Versteckte Waffe, Kleinwüchsig</t>
  </si>
  <si>
    <t>Blocage, Tronçonneuse, Esquive, Solitaire (4+), Arme Secrète, Minus</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</si>
  <si>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</si>
  <si>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</si>
  <si>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</si>
  <si>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</si>
  <si>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</si>
  <si>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</si>
  <si>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</si>
  <si>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</si>
  <si>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</si>
  <si>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</si>
  <si>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</si>
  <si>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Solitario (4+), Cola prensil, Placaje defensivo, Tentáculos, Dos cabezas, Forcejeo</t>
  </si>
  <si>
    <t>Einzelgänger (4+), Klammerschwanz, Tackle, Tentakel, Zwei Köpfe, Wrestling</t>
  </si>
  <si>
    <t>Solitaire (4+), Queue préhensile, Tacle, Tentacule, Deux têtes, Lutte</t>
  </si>
  <si>
    <t>Vampire Runner</t>
  </si>
  <si>
    <t>Vampire Thrower</t>
  </si>
  <si>
    <t>Vampire Blitzer</t>
  </si>
  <si>
    <t>Vargheist</t>
  </si>
  <si>
    <t>Mirada hipnótica, Regeneración, Sed de sangre (2+)</t>
  </si>
  <si>
    <t>Pasar, Mirada hipnótica, Regeneración, Sed de sangre (2+)</t>
  </si>
  <si>
    <t>Hypnotic Gaze, Regeneration, Bloodlust (2+)</t>
  </si>
  <si>
    <t>Pass, Hypnotic Gaze, Regeneration, Bloodlust (2+)</t>
  </si>
  <si>
    <t>Claws, Frenzy, Bloodlust (3+), Regeneration, Loner (4+)</t>
  </si>
  <si>
    <t>Juggernaut, Hypnotic Gaze, Regeneration, Bloodlust (3+)</t>
  </si>
  <si>
    <t>Imparable, Mirada hipnótica, Regeneración, Sed de sangre (3+)</t>
  </si>
  <si>
    <t>Garras, Furia, Sed de sangre (3+), Regeneración, Solitario (4+)</t>
  </si>
  <si>
    <t>Schweres Gerät, Hypnotischer Blick, Regeneration, Blutrausch (3+)</t>
  </si>
  <si>
    <t>Wurfsicher, Hypnotischer Blick, Regeneration, Blutrausch (2+)</t>
  </si>
  <si>
    <t>Hypnotischer Blick, Regeneration, Blutrausch (2+)</t>
  </si>
  <si>
    <t>Juggernaut, Regard Hypnotique, Régénération, Soif de sang (3+)</t>
  </si>
  <si>
    <t>Regard Hypnotique, Régénération, Soif de sang (2+)</t>
  </si>
  <si>
    <t>Passe, Regard Hypnotique, Régénération, Soif de sang (2+)</t>
  </si>
  <si>
    <t>Klauen, Rasend, Blutrausch (3+), Regeneration, Einzelgänger (4+)</t>
  </si>
  <si>
    <t>Griffes, Frénésie, Soif de sang (3+), Régénération, Solitaire (4+)</t>
  </si>
  <si>
    <t>ACE</t>
  </si>
  <si>
    <t>Count Luthor Von Drakenborg</t>
  </si>
  <si>
    <t>Star of the Show: Once per game, when Count Luthor scores a touchdown his controlling coach may gain one team re-roll. If this re-roll has not been used by the end of the drive, it is lost.</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</si>
  <si>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</si>
  <si>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</si>
  <si>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</si>
  <si>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Estrella del Show: Una vez por partido, cuando el Count Luthor anote un Touchdown, su entrenador puede ganar una Reroll de Equipo, si no se usa en la siguiente entrada, se pierde.</t>
  </si>
  <si>
    <t>Placar, Echarse a un lado, Mirada hipnótica, Regeneración, Solitario (4+)</t>
  </si>
  <si>
    <t>Block, Hypnotic Gaze, Loner (4+), Regeneration, Sidestep</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</si>
  <si>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</si>
  <si>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</si>
  <si>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</si>
  <si>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</si>
  <si>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</si>
  <si>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Bloodlust (2+), Dodge, Hypnotic Gaze, Jump Up, Loner (4+), Regeneration</t>
  </si>
  <si>
    <t>Bocadito Sabroso: Una vez por partido, cuando Karina falle una tirada de Sed de Sangre, puede elegir morder a un jugador oponente con Fuerza 3 o inferior como si fuera un Siervo de su propio equipo. Karina no puede morder a un Jugador Estrella.</t>
  </si>
  <si>
    <t>Esquivar, En pie de un salto, Sed de sangre (2+), Mirada hipnótica, Regeneración, Solitario (4+)</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</si>
  <si>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</si>
  <si>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</si>
  <si>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</si>
  <si>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Esplodere!: Una volta per partita, quando Barik effettua un Passaggio dell'Ave Maria, può ripetere il tiro per determinare il punto in cui la palla atterra, e qualsiasi giocatore amico che tenta di prendere la palla guadagna un ulteriore modificatore di +1 al tiro.</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</si>
  <si>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</si>
  <si>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</si>
  <si>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</si>
  <si>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</si>
  <si>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</si>
  <si>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</si>
  <si>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</si>
  <si>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</si>
  <si>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</si>
  <si>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</si>
  <si>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</si>
  <si>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</si>
  <si>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</si>
  <si>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</si>
  <si>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</si>
  <si>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Placaje brutal: Una vez por partido, cuando Frank'n'Stein efectúe una tirada de Herida contra un oponente como resultado de un placaje, puede añadir un +1 adicional a la tirada, este modificador puede aplicarse después de hacer la tirada.</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</si>
  <si>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</si>
  <si>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</si>
  <si>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</si>
  <si>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</si>
  <si>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</si>
  <si>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</si>
  <si>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</si>
  <si>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</si>
  <si>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</si>
  <si>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</si>
  <si>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</si>
  <si>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</si>
  <si>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</si>
  <si>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</si>
  <si>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</si>
  <si>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</si>
  <si>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Blutrausch (2+), Ausweichen, Hypnotischer Blick, Aufspringen, Einzelgänger (4+), Regeneration</t>
  </si>
  <si>
    <t>Soif de sang (3+), Esquive, Regard Hypnotique, Rétablissement, Solitaire (4+), Régénération</t>
  </si>
  <si>
    <t>WANDERING HAEMOMANCER</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</si>
  <si>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</si>
  <si>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</si>
  <si>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</si>
  <si>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</si>
  <si>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</si>
  <si>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</si>
  <si>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</si>
  <si>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</si>
  <si>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</si>
  <si>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</si>
  <si>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</si>
  <si>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Hail Mary Pass, Loner (4+), Pass, Secret Weapon, Cannoneer, Sure Hands, Thick Skull</t>
  </si>
  <si>
    <t>Pase a lo loco, Solitario (4+), Pasar, Arma secreta, Cañonero, Manos seguras, Cabeza dura</t>
  </si>
  <si>
    <t>Passe désespérée, Solitaire (4+), Arme Secrète, Canonnier, Prise Sûre, Crâne épais</t>
  </si>
  <si>
    <t>Skitter Stab-Stab</t>
  </si>
  <si>
    <t>ACH</t>
  </si>
  <si>
    <t>Master Assasin: Once per game, when Skitter succesfully breaks an opposition player's armour as a result of a Stab Special action, he may choose to re-roll the Injury roll.</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</si>
  <si>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</si>
  <si>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</si>
  <si>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</si>
  <si>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</si>
  <si>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Dodge, Loner (4+), Prehensile Tail, Shadowing, Stab</t>
  </si>
  <si>
    <t>Esquivar, Solitario (4+), Cola prensil, Perseguir, Apuñalar</t>
  </si>
  <si>
    <t>Ausweichen, Einzelgänger (4+), Klammerschwanz, Manndeckung, Niederstechen</t>
  </si>
  <si>
    <t>Esquive, Solitaire (4+), Queue préhensile, Poursuite, Poignard</t>
  </si>
  <si>
    <t>Gnome</t>
  </si>
  <si>
    <t>Linemen</t>
  </si>
  <si>
    <t>Illusionist</t>
  </si>
  <si>
    <t>Woodland Fox</t>
  </si>
  <si>
    <t>Beastmaster</t>
  </si>
  <si>
    <t>Altern Forest Treeman</t>
  </si>
  <si>
    <t>Jump Up, Right Stuff, Stunty, Wrestle</t>
  </si>
  <si>
    <t>Jump Up, Stunty, Trickster, Wrestle</t>
  </si>
  <si>
    <t>Dodge, My Ball, Side Step, Stunty</t>
  </si>
  <si>
    <t>Guard, Jump Up, Stunty, Wrestle</t>
  </si>
  <si>
    <t>En pie de un salto, Humanoide bala, Escurridizo, Forcejear</t>
  </si>
  <si>
    <t>Aufspringen, Lebensmüde, Kleinwüchsig, Wrestling</t>
  </si>
  <si>
    <t>Rétablissement, Poids Plume, Minus, Lutte</t>
  </si>
  <si>
    <t>Esquivar, Mi balón, Echarse a un lado, Escurridizo</t>
  </si>
  <si>
    <t>Ausweichen, Mein Ball, Gewandt, Kleinwüchsig</t>
  </si>
  <si>
    <t>Esquive, Mon ballon, Glissade contrôlée, Minus</t>
  </si>
  <si>
    <t>Defensa, En pie de un salto, Escurridizo, Forcejear</t>
  </si>
  <si>
    <t>Unterstützen, Aufspringen, Kleinwüchsig, Wrestling</t>
  </si>
  <si>
    <t>Garde, Rétablissement, Minus, Lutte</t>
  </si>
  <si>
    <t>Gnomos</t>
  </si>
  <si>
    <t>Gnomes</t>
  </si>
  <si>
    <t>ACI</t>
  </si>
  <si>
    <t>Rodney Roachbait</t>
  </si>
  <si>
    <t>Catch of the Day: Once per half, if Rodney is Standing and begins his activation within 3 squares of a ball which is on the ground he may roll a D6. on a 1-2, nothing happens. On a 3+, Rodney inmmediately gains possession of the ball.</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</si>
  <si>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</si>
  <si>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</si>
  <si>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</si>
  <si>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</si>
  <si>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Catch, Diving Catch, Jump Up, Loner (4+), On the Ball, Sidestep, Stunty, Wrestle</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</si>
  <si>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</si>
  <si>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</si>
  <si>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</si>
  <si>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ACJ</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</si>
  <si>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</si>
  <si>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</si>
  <si>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</si>
  <si>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</si>
  <si>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</si>
  <si>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</si>
  <si>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Dodge, Dump-off, Guard, Horns, Jump Up, Leap, Loner (4+)</t>
  </si>
  <si>
    <t>Esquivar, Pase precipitado, Defensa, Cuernos, En pie de un salto, Saltar, Solitario (4+)</t>
  </si>
  <si>
    <t>Ausweichen, Abspiel, Unterstützen, Hörner, Springen, Aufspringen, Einzelgänger (4+)</t>
  </si>
  <si>
    <t>Esquive, Délestage, Garde, Cornes, Saut, Rétablissement, Solitaire (4+)</t>
  </si>
  <si>
    <t>GPSM</t>
  </si>
  <si>
    <t>Bretonnian</t>
  </si>
  <si>
    <t>Yeomen</t>
  </si>
  <si>
    <t>Knights</t>
  </si>
  <si>
    <t>Wrestle</t>
  </si>
  <si>
    <t>Forcejear</t>
  </si>
  <si>
    <t>Block, Catch, Dauntless</t>
  </si>
  <si>
    <t>Placar, Atrapar, Agallas</t>
  </si>
  <si>
    <t>Wrestling</t>
  </si>
  <si>
    <t>Lutte</t>
  </si>
  <si>
    <t>Block, Fangsicher, Unerschrocken</t>
  </si>
  <si>
    <t>Blocage, Réception, Intrépide</t>
  </si>
  <si>
    <t>Bretonianos</t>
  </si>
  <si>
    <t>Bretons</t>
  </si>
  <si>
    <t>Bretonisch</t>
  </si>
  <si>
    <t>HEALING SPITES</t>
  </si>
  <si>
    <t>Gnom</t>
  </si>
  <si>
    <t>En pie de un salto, Escurridizo, Embaucador, Forcejear</t>
  </si>
  <si>
    <t>Aufspringen, Kleinwüchsig, Betrüger, Wrestling</t>
  </si>
  <si>
    <t>Rétablissement, Minus, Filou, Lutte</t>
  </si>
  <si>
    <t>Hobgoblin Lineman</t>
  </si>
  <si>
    <t>Hobgoblin Sneaky Stabba</t>
  </si>
  <si>
    <t>Chaos Dwarf Blocker</t>
  </si>
  <si>
    <t>Chaos Dwarf Flamesmith</t>
  </si>
  <si>
    <t>Bull Centaur Blitzer</t>
  </si>
  <si>
    <t>Block, Iron Hard Skin, Thick Skull</t>
  </si>
  <si>
    <t>Brawler, Breathe Fire, Disturbing Presence, Thick Skull</t>
  </si>
  <si>
    <t>Frenzy, Horns, Mighty Blow (+1), Thick Skull, Unchannelled Fury</t>
  </si>
  <si>
    <t>Placar, Piel ferrea, Cabeza dura</t>
  </si>
  <si>
    <t>Block, Eiserne Haut, Robust</t>
  </si>
  <si>
    <t>Blocage, Peau de fer, Crâne épais</t>
  </si>
  <si>
    <t>Luchador, Aliento de fuego, Presencia perturbadora Cabeza dura</t>
  </si>
  <si>
    <t>Raufbold, Feuer atmen, Verstörende Präsenz, Robust</t>
  </si>
  <si>
    <t>Bagarreur, Respirez le feu, Présence Perturbante, Crâne épais</t>
  </si>
  <si>
    <t>BadlandsBrawlFavouredofHashut</t>
  </si>
  <si>
    <t>ACK</t>
  </si>
  <si>
    <t>ACL</t>
  </si>
  <si>
    <t>ACM</t>
  </si>
  <si>
    <t>H'Thark the Unstoppable</t>
  </si>
  <si>
    <t>Unstoppable Momentum: Whenever H'Thark performs a Blitz action, he may re-roll a single block dice.</t>
  </si>
  <si>
    <t>Block, Break Tackle, Defensive, Juggernaut, Loner (4+), Sprint, Sure Feet, Thick Skull</t>
  </si>
  <si>
    <t>Rashnak Backstabber</t>
  </si>
  <si>
    <t>Toxin Connoisseur: Once per game, when Rashnak successfully breaks an opposition player's armour as a result of a Stab Special action, you may apply an additional +1 modifier to the Injury roll. This modifier may be applied after the roll has been made.</t>
  </si>
  <si>
    <t>Loner (4+), Shadowing, Sidestep, Sneaky Git, Stab</t>
  </si>
  <si>
    <t>Zzharg Madeye</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</si>
  <si>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</si>
  <si>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Cannoneer, Hail Mary Pass, Loner (4+), Nerves of Steel, Secret Weapon, Sure Hands, Thick Skull</t>
  </si>
  <si>
    <t>CHAOS DWARF SORCERER</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</si>
  <si>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</si>
  <si>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</si>
  <si>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</si>
  <si>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</si>
  <si>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</si>
  <si>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</si>
  <si>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</si>
  <si>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</si>
  <si>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</si>
  <si>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</si>
  <si>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</si>
  <si>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</si>
  <si>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</si>
  <si>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Solitario (4+), Perseguir, Echarse a un lado, Furtivo, Apuñalar</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</si>
  <si>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</si>
  <si>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</si>
  <si>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</si>
  <si>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Einzelgänger (4+), Manndeckung, Niederstechen, Gewandt, Heimtückisch</t>
  </si>
  <si>
    <t>Solitaire (4+), Poursuite, Poignard, Glissade Contrôlée, Sournois</t>
  </si>
  <si>
    <t>Immer am Ball, Einzelgänger (4+), Versteckte Waffe, Kanonier, Ballgefühl, Robust</t>
  </si>
  <si>
    <t>Kanonier, Immer am Ball, Einzelgänger (4+), Nerven aus Stahl, Versteckte Waffe, Ballgefühl, Robust</t>
  </si>
  <si>
    <t>Canonnier, Passe désespérée, Solitaire (4+), Nerfs d’acier, Arme Secrète, Prise Sûre, Crâne épais</t>
  </si>
  <si>
    <t>Presencia perturbadora, Apariencia asquerosa, Solitario (4+), Golpe mortífero (+1), Infectado, Realmente estúpido, Regeneración, Tentáculos</t>
  </si>
  <si>
    <t>Guffle Pusmaw</t>
  </si>
  <si>
    <t>Jeremiah Kool</t>
  </si>
  <si>
    <t>Jordell Freshbreeze</t>
  </si>
  <si>
    <t>Kiroth Krakeneye</t>
  </si>
  <si>
    <t>Swiftyne Glimmershard</t>
  </si>
  <si>
    <t>Maple Highgroye</t>
  </si>
  <si>
    <t>Anqi Panqi</t>
  </si>
  <si>
    <t>Quick Bite: Once per game, if Guffle is marking an opposing player who catches the ball, he may inmmediately make an unmodified Armour roll, and subsequent injury roll if necessary, against that player. If the target's Armour is broken, Guffle immediately gains possession of the ball. No Turnover is caused as a result of using this special rule.</t>
  </si>
  <si>
    <t>Foul Appearance, Loner (4+), Monstrous Mouth, Nerves of Steel, On the Ball, Plague Ribbon</t>
  </si>
  <si>
    <t>The Flashing Blade: Once per game, at the starts of his activation, Jeremiah may declare a Stab Action against an opposition player he is Marking. After performing the Stab Special Action, Jeremiah may then perform a Move Action before his activation ends.</t>
  </si>
  <si>
    <t>Block, Diving Catch, Dodge, Dump-off, Loner (4+), Nerves of Steel, On the Ball, Pass, Sidestep</t>
  </si>
  <si>
    <t>Swift as the Breeze: Once per game, Jordell can choose to pass a single Dodge, Leap or Rush test on a 2+, regardless of any modifiers.</t>
  </si>
  <si>
    <t>Block, Diving Catch, Dodge, Leap, Loner (4+), Sidestep</t>
  </si>
  <si>
    <t>Black Ink: Once per game, at the start of any of his activations, Kiroth can choose an opposition player he is marking. The chosen player loses their Tackle Zone until they are next reactivated.</t>
  </si>
  <si>
    <t>Disturbing Presence, Foul Appearance, Loner (4+), On the Ball, Tackle, Tentacles</t>
  </si>
  <si>
    <t>Furious Outburst: Once per half, so long as she is standing at the start of the activation, Swiftvine can place herself adjacent to a standing opposition player within 3 squares of her and immediately make a Stab Special action against them. She may then replace herself in an unoccupied square within 3 squares of her new position. Her activation then immediately ends. This counts as the team's Blitz action for the turn.</t>
  </si>
  <si>
    <t>Disturbing Presence, Fend, Loner (4+), Side Step, Stab, Stunty</t>
  </si>
  <si>
    <t>Vicious Vines: Once per half, when Maple declares a Block action he may do so against an opposition player who is 2 squares away following all the normal rules for making a Block, though he may not follow up. This Block action cannot be as part of a Blitz action.</t>
  </si>
  <si>
    <t>Brawler, Grab, Loner (4+), Mighty Blow (+1), Stand Firm, Tentacles, Thick Skull</t>
  </si>
  <si>
    <t>Savage Blow: Once per game, when Arqi performs a Block action against an opposition player, he may choose to re-roll any number of the Block dice.</t>
  </si>
  <si>
    <t>Block, Grab, Loner (4+), Stand Firm</t>
  </si>
  <si>
    <t>Mordisco rápido: Una vez por partido, si Guffle está marcando a un jugador contrario que atrapa el balón, puede hacer inmediatamente una tirada de Armadura sin modificadores, y la subsiguiente tirada de herida si es necesario, contra ese jugador. Si supera la armadura del objetivo, Guffle obtiene inmediatamente la posesión del balón. El uso de esta regla especial no provoca ninguna pérdida de turno.</t>
  </si>
  <si>
    <t>Schneller Biss: Einmal pro Spiel kann Guffle, wenn er einen gegnerischen Spieler markiert, der den Ball fängt, sofort einen unmodifizierten Rüstungswurf und, falls nötig, einen anschließenden Verletzungswurf gegen diesen Spieler durchführen. Wenn die Rüstung des Ziels zerstört wird, kommt Guffle sofort in Ballbesitz. Durch die Anwendung dieser Sonderregel wird kein Turnover verursacht.</t>
  </si>
  <si>
    <t>Morsure rapide : Une fois par partie, si Guffle marque un joueur adverse qui attrape le ballon, il peut immédiatement faire un jet d'armure non modifié, et un jet de blessure si nécessaire, contre ce joueur. Si l'armure de la cible est brisée, Guffle prend immédiatement possession du ballon. L'utilisation de cette règle spéciale n'entraîne pas de turnover.</t>
  </si>
  <si>
    <t>Morso rapido: una volta per partita, se Guffle sta marcando un giocatore avversario che prende la palla, può effettuare immediatamente un tiro Armatura non modificato e un successivo tiro Ferita, se necessario, contro quel giocatore. Se l'Armatura del bersaglio viene infranta, il Gufo entra immediatamente in possesso della palla. L'uso di questa regola speciale non provoca alcun Turnover.</t>
  </si>
  <si>
    <t>La Lama Lampeggiante: Una volta per partita, all'inizio della sua attivazione, Jeremiah può dichiarare un'Azione Pugnalare contro un giocatore avversario che sta marcando. Dopo aver eseguito l'Azione Speciale Pugnalare, Jeremiah può eseguire un'Azione di Movimento prima della fine della sua attivazione.</t>
  </si>
  <si>
    <t>La lame étincelante : Une fois par partie, au début de son activation, Jeremiah peut déclarer une action de poignardage contre un joueur adverse qu'il marque. Après avoir effectué l'action spéciale de poignardage, Jeremiah peut effectuer une action de mouvement avant la fin de son activation.</t>
  </si>
  <si>
    <t>Die blitzende Klinge: Einmal pro Spiel kann Jeremiah zu Beginn seiner Aktivierung eine Stichaktion gegen einen gegnerischen Spieler ausführen, den er markiert. Nachdem er die Stich-Aktion ausgeführt hat, kann Jeremiah eine Bewegungsaktion ausführen, bevor seine Aktivierung endet.</t>
  </si>
  <si>
    <t>La Hoja Destellante: Una vez por partida, al comienzo de su activación, Jeremiah puede declarar una Acción de Puñalada contra un jugador contrario al que esté Marcando. Después de realizar la Acción Especial de Puñalada, Jeremiah puede realizar una Acción de Movimiento antes de que termine su activación.</t>
  </si>
  <si>
    <t>Veloz como la brisa: Una vez por partida, Jordell puede elegir superar una única tirada de Esquivar, Saltar o A por ellos con un 2+, independientemente de cualquier modificador.</t>
  </si>
  <si>
    <t>Flink wie ein Windhauch: Einmal pro Spiel kann Jordell einen Ausweichen-, Springen- oder Stürmen-Test mit 2+ bestehen, unabhängig von allen Modifikatoren.</t>
  </si>
  <si>
    <t>Rapide comme la brise : Une fois par partie, Jordell peut choisir de réussir un test d'Esquive, de Bond ou de Ruée sur un 2+, sans tenir compte des modificateurs.</t>
  </si>
  <si>
    <t>Rapido come la brezza: Una volta per partita, Jordell può scegliere di superare una singola prova di Schivare, Saltare o Affrettare con un 2+, indipendentemente da eventuali modificatori.</t>
  </si>
  <si>
    <t>Tinta negra: Una vez por partida, al inicio de cualquiera de sus activaciones, Kiroth puede elegir a un jugador rival al que esté marcando. El jugador elegido pierde su Zona hasta su siguiente reactivación.</t>
  </si>
  <si>
    <t>Schwarze Tinte: Einmal pro Spiel, zu Beginn einer seiner Aktivierungen, kann Kiroth einen gegnerischen Spieler wählen, den er markiert. Der gewählte Spieler verliert seine Angriffszone, bis er das nächste Mal reaktiviert wird.</t>
  </si>
  <si>
    <t>Encre noire : Une fois par partie, au début de l'une de ses activations, Kiroth peut choisir un joueur adverse qu'il marque. Le joueur choisi perd sa zone de tacle jusqu'à sa prochaine réactivation.</t>
  </si>
  <si>
    <t>Inchiostro nero: Una volta per partita, all'inizio di una qualsiasi delle sue attivazioni, Kiroth può scegliere un giocatore avversario che sta marcando. Il giocatore scelto perde la sua Zona di Placcaggio fino alla prossima riattivazione.</t>
  </si>
  <si>
    <t>Wütender Ausbruch: Solange sie zu Beginn der Aktivierung steht, kann sich Swiftvine einmal pro Spielhälfte neben einen stehenden gegnerischen Spieler im Umkreis von 3 Feldern von ihr stellen und sofort eine Stich-Spezialaktion gegen diesen durchführen. Danach kann sie sich auf ein unbesetztes Feld innerhalb von 3 Feldern um ihre neue Position stellen. Ihre Aktivierung endet dann sofort. Dies zählt als Blitzaktion des Teams für diese Runde.</t>
  </si>
  <si>
    <t>Déchaînement furieux : Une fois par semestre, tant qu'elle est debout au début de l'activation, Swiftvine peut se placer adjacente à un joueur adverse debout dans un rayon de 3 cases autour d'elle et faire immédiatement une action spéciale Stab contre lui. Elle peut ensuite se replacer dans une case inoccupée à moins de 3 cases de sa nouvelle position. Son activation se termine alors immédiatement. Cette action compte comme l'action Blitz de l'équipe pour le tour.</t>
  </si>
  <si>
    <t>Sfogo furioso: Una volta per ogni tempo, finché è in piedi all'inizio dell'attivazione, Swiftvine può posizionarsi adiacente a un giocatore avversario in piedi entro 3 caselle da lei ed effettuare immediatamente un'azione speciale Pugnalare contro di lui. Può quindi riposizionarsi in una casella non occupata entro 3 caselle dalla sua nuova posizione. La sua attivazione termina immediatamente. Questa azione conta come azione Blitz della squadra per il turno.</t>
  </si>
  <si>
    <t>Enredaderas Viciosas: Una vez por mitad, cuando Maple declara una acción de Bloqueo puede hacerlo contra un jugador contrario que esté a 2 casillas de distancia siguiendo todas las reglas normales para hacer un Placaje, aunque no puede seguirlo. Esta acción de Placaje no puede formar parte de una acción Penetración.</t>
  </si>
  <si>
    <t>Estallido Furioso: Una vez por mitad, siempre que esté de pie al inicio de la activación, Swiftvine puede colocarse adyacente a un jugador rival de pie en un radio de 3 casillas e inmediatamente realizar una acción especial de puñalada contra él. A continuación, puede volver a colocarse en una casilla desocupada en un radio de 3 casillas desde su nueva posición. Su activación finaliza inmediatamente. Esto cuenta como la acción Penetración del equipo para el turno.</t>
  </si>
  <si>
    <t>Bösartige Ranken: Wenn Ahorn einmal pro Spielhälfte eine Block-Aktion ausführt, kann er dies gegen einen gegnerischen Spieler tun, der 2 Felder entfernt ist, wobei er alle normalen Regeln für einen Block befolgt, aber nicht nachsetzen darf. Diese Block-Aktion kann nicht als Teil einer Blitz-Aktion durchgeführt werden.</t>
  </si>
  <si>
    <t>Vignes vicieuses : Une fois par semestre, lorsque Maple déclare une action de Blocage, il peut le faire contre un joueur adverse qui se trouve à 2 cases en suivant toutes les règles normales pour faire un Blocage, bien qu'il ne puisse pas suivre. Cette action de blocage ne peut pas faire partie d'une action de blitz.</t>
  </si>
  <si>
    <t>Vite Viziose: Una volta per ogni tempo, quando Maple dichiara un'azione di Blocco, può farlo contro un giocatore avversario che si trova a 2 caselle di distanza, seguendo tutte le normali regole per effettuare un Blocco, anche se non può seguirlo. Questa azione di Blocco non può essere parte di un'azione di Blitz.</t>
  </si>
  <si>
    <t>Golpe Salvaje: Una vez por partida, cuando Arqi realiza una acción de Placaje contra un jugador rival, puede elegir volver a tirar cualquier número de dados de Placaje.</t>
  </si>
  <si>
    <t>Wilder Hieb: Einmal pro Spiel, wenn Arqi eine Block-Aktion gegen einen gegnerischen Spieler durchführt, darf er eine beliebige Anzahl der Block-Würfel neu werfen.</t>
  </si>
  <si>
    <t>Coup Sauvage : Une fois par partie, lorsque Arqi effectue une action de blocage contre un joueur adverse, il peut choisir de relancer n'importe quel nombre de dés de blocage.</t>
  </si>
  <si>
    <t>Colpo Selvaggio: Una volta per partita, quando Arqi esegue un'azione di Blocco contro un giocatore avversario, può scegliere di rilanciare un numero qualsiasi di dadi Blocco.</t>
  </si>
  <si>
    <t>Presencia perturbadora, Apariencia asquerosa, Solitario (4+), Atento al balón, Placaje defensivo, Tentaculos</t>
  </si>
  <si>
    <t>Luchador, Apartar, Solitario (4+), Golpe mortífero (+1), Mantenerse firme, Tentáculos, Cabeza dura</t>
  </si>
  <si>
    <t>Placar, Apartar, Solitario (4+), Mantenerse firme</t>
  </si>
  <si>
    <t>Apariencia asquerosa, Solitario (4+), Boca monstruosa, Nervios de acero, Atento al balón, Descomposición</t>
  </si>
  <si>
    <t>Placar, Recepción heroica, Esquivar, Pase precipitado, Solitario (4+), Nervios de acero, Atento al balón, Pasar, Echarse a un lado</t>
  </si>
  <si>
    <t>Placar, Recepción heroica, Esquivar, Saltar, Solitario (4+), Echarse a un lado</t>
  </si>
  <si>
    <t>Presencia perturbadora, Zafarse, Solitario (4+), Echarse a un lado, Apuñalar, Escurridizo</t>
  </si>
  <si>
    <t>Abstoßendes Aussehen, Einzelgänger (4+), Monströses Maul, Nerven aus Stahl, Immer am Ball, Verweseung</t>
  </si>
  <si>
    <t>Block, Hechtsprung, Ausweichen, Springen, Einzelgänger (4+), Gewandt</t>
  </si>
  <si>
    <t>Verstörende Präsenz, Abstoßendes Aussehen, Einzelgänger (4+), Immer am Ball, Tackle, Tentakel</t>
  </si>
  <si>
    <t>Verstörende Präsenz, Abwehren, Einzelgänger (4+), Gewandt, Niederstechen, Kleinwüchsig</t>
  </si>
  <si>
    <t>Block, Greifer, Einzelgänger (4+), Standfest</t>
  </si>
  <si>
    <t>Répulsion, Solitaire (4+), Main démesurée, Nerfs d’acier, Sur le ballon, Contagieux</t>
  </si>
  <si>
    <t>Présence Perturbante, Répulsion, Solitaire (4+), Sur le ballon, Tacle, Tentacule</t>
  </si>
  <si>
    <t>Blocage, Projection, Solitaire (4+), Stabilité</t>
  </si>
  <si>
    <t>Raufbold, Greifer, Einzelgänger (4+), Knochenbrecher (+1), Standfest, Tentakel, Robust</t>
  </si>
  <si>
    <t>Bagarreur, Projection, Solitaire (4+), Châtaigne (+1), Stabilité, Tentacule, Crâne épais</t>
  </si>
  <si>
    <t>Présence Perturbante, Parade, Solitaire (4+), Glissade contrôlée, Poignard, Minus</t>
  </si>
  <si>
    <t>Block, Hechtsprung, Ausweichen, Abspiel, Einzelgänger (4+), Nerven aus Stahl, Immer am Ball, Wurfsicher, Gewandt</t>
  </si>
  <si>
    <t>Blocage, Réception plongeante, Esquive, Délestage, Solitaire (4+), Nerfs d’acier, Sur le ballon, Passe, Glissade contrôlée</t>
  </si>
  <si>
    <t>Blocage, Réception plongeante, Esquive, Saut, Solitaire (4+), Glissade contrôlée</t>
  </si>
  <si>
    <t>ACN</t>
  </si>
  <si>
    <t>ACO</t>
  </si>
  <si>
    <t>ACP</t>
  </si>
  <si>
    <t>https://www.bilbaliteamscup.com/</t>
  </si>
  <si>
    <t>Each tab takes into account the rules of each tournament pack. The excel itself will indicate whether or not the skills or TV allowed are exceeded.</t>
  </si>
  <si>
    <t>En cada pestaña se tienen en cuenta las reglas de cada pack del torneo. El propio excel indicará si se excede o no de las habilidades o el TV permitido.</t>
  </si>
  <si>
    <t>Auf jeder Registerkarte werden die Regeln des jeweiligen Turnierpakets berücksichtigt. Das Excel selbst zeigt an, ob die erlaubten Fertigkeiten oder das erlaubte TV überschritten wurden oder nicht.</t>
  </si>
  <si>
    <t>Chaque onglet tient compte des règles de chaque pack de tournoi. L'excel lui-même indiquera si les compétences ou la TV autorisées sont dépassées ou non.</t>
  </si>
  <si>
    <t>Ogni scheda tiene conto delle regole di ciascun pacchetto di tornei. L'excel stesso indicherà se le abilità o la TV consentite sono state superate o meno.</t>
  </si>
  <si>
    <t>Der Auszug kann Einschränkungen bei der Überprüfung haben, ob Paschs gegen Vorwahlen getauscht wurden, und der Spieler muss überprüfen und sicherstellen, dass er nicht gegen die Regeln des jeweiligen Spiels verstößt.</t>
  </si>
  <si>
    <t>L'excel peut avoir des limites pour vérifier si des doubles ont été échangés contre des primaires et le joueur doit vérifier et s'assurer qu'il n'enfreint pas les règles de chaque paquet.</t>
  </si>
  <si>
    <t>L'excel può avere delle limitazioni nel controllare se i doppi sono stati scambiati con i primari e il giocatore deve controllare e assicurarsi di non violare le regole di ogni mazzo.</t>
  </si>
  <si>
    <t>https://bloodbowlhelp.wordpress.com</t>
  </si>
  <si>
    <t>All good!</t>
  </si>
  <si>
    <t>¡Todo bien!</t>
  </si>
  <si>
    <t>Alles gut!</t>
  </si>
  <si>
    <t>Tout est bon!</t>
  </si>
  <si>
    <t>Tutto bene!</t>
  </si>
  <si>
    <t>MEGAESTRELLAS</t>
  </si>
  <si>
    <t>REGLAS</t>
  </si>
  <si>
    <t>Nº JUGADORES</t>
  </si>
  <si>
    <t>Nº SP</t>
  </si>
  <si>
    <t>¡Hay algún error en el roster!</t>
  </si>
  <si>
    <t>C'è un errore nel roster!</t>
  </si>
  <si>
    <t>Il y a une erreur dans la liste!</t>
  </si>
  <si>
    <t>Es gibt einen Fehler im Dienstplan!</t>
  </si>
  <si>
    <t>There is a mistake in the roster!</t>
  </si>
  <si>
    <t>BB2020</t>
  </si>
  <si>
    <t>Pack</t>
  </si>
  <si>
    <t>Pro-Player</t>
  </si>
  <si>
    <t>Vieja Gloria</t>
  </si>
  <si>
    <t>Protajer</t>
  </si>
  <si>
    <t>ACQ</t>
  </si>
  <si>
    <t>ACR</t>
  </si>
  <si>
    <t>ACW</t>
  </si>
  <si>
    <t>ACT</t>
  </si>
  <si>
    <t>Too many Megastars</t>
  </si>
  <si>
    <t>Zu viele Megastars</t>
  </si>
  <si>
    <t>Trop de mégastars</t>
  </si>
  <si>
    <t>Troppe Megastar</t>
  </si>
  <si>
    <t>Demasiadas Megaestrellas</t>
  </si>
  <si>
    <t>YES</t>
  </si>
  <si>
    <t>SÌ</t>
  </si>
  <si>
    <t>JA</t>
  </si>
  <si>
    <t>OUI</t>
  </si>
  <si>
    <t>NON</t>
  </si>
  <si>
    <t>Badlands Brawl</t>
  </si>
  <si>
    <t>League of Elven Kingdom</t>
  </si>
  <si>
    <t>Lustrian Superleague</t>
  </si>
  <si>
    <t>Old World Classic</t>
  </si>
  <si>
    <t>Underworld Challenge</t>
  </si>
  <si>
    <t>Sylvanian Selective</t>
  </si>
  <si>
    <t>Elegidos de…</t>
  </si>
  <si>
    <t>REPEATED RACES</t>
  </si>
  <si>
    <t>RAZAS REPETIDAS</t>
  </si>
  <si>
    <t>WIEDERHOLTE RENNEN</t>
  </si>
  <si>
    <t>RACES RÉPÉTÉES</t>
  </si>
  <si>
    <t>RAZZE RIPETUTE</t>
  </si>
  <si>
    <t>Numero</t>
  </si>
  <si>
    <t>BILBALI XX - BILBALI TEAMS CUP - MEMORIAL AITOR</t>
  </si>
  <si>
    <t>The excel may have limitations in checking whether secondaries have been exchanged for primaries and the player must check and ensure that he does not breach the rules of each pack.</t>
  </si>
  <si>
    <t>El excel puede tener limitaciones a la hora de revisar si se han cambiado secundarias por primarias y el jugador debe revisar y asegurarse que no incumple las reglas de cada pack.</t>
  </si>
  <si>
    <t>Skills rep</t>
  </si>
  <si>
    <t>NºJUG</t>
  </si>
  <si>
    <t>NºJUG SIN SP</t>
  </si>
  <si>
    <t>Amazonas</t>
  </si>
  <si>
    <t>Amazonen</t>
  </si>
  <si>
    <t>Amazones</t>
  </si>
  <si>
    <t>Nórdicos</t>
  </si>
  <si>
    <t>Nordiques</t>
  </si>
  <si>
    <t>Vampiros</t>
  </si>
  <si>
    <t xml:space="preserve">Vampire </t>
  </si>
  <si>
    <t>Vampires</t>
  </si>
  <si>
    <t>1.090.000GC + 6 Habilidades Primarias + 1 Habilidad Secundaria (se pueden elegir Habilidad Primaria en lugar de la Habilidades Secundaria).
Se permite apilar 2 Habilidades Primarias en un único jugador teniendo que gastar para ello la Habilidad Secundaria.</t>
  </si>
  <si>
    <t>1,090,000GC + 6 Primary Abilities + 1 Secondary Ability (Primary Ability may be chosen instead of Secondary Ability).
It is allowed to stack 2 Primary Abilities on a single player by spending the Secondary Ability.</t>
  </si>
  <si>
    <t>1.090.000GC + 6 primäre Fähigkeiten + 1 sekundäre Fähigkeit (die primäre Fähigkeit kann anstelle der sekundären Fähigkeit gewählt werden).
Es ist erlaubt, 2 primäre Fähigkeiten auf einen Spieler zu stapeln, indem man die sekundäre Fähigkeit ausgibt.</t>
  </si>
  <si>
    <t>1 090 000GC + 6 capacités primaires + 1 capacité secondaire (la capacité primaire peut être choisie à la place de la capacité secondaire).
Il est possible d'empiler 2 capacités primaires sur un seul joueur en dépensant la capacité secondaire.</t>
  </si>
  <si>
    <t>1.090.000GC + 6 Abilità primarie + 1 Abilità secondaria (l'Abilità primaria può essere scelta al posto dell'Abilità secondaria).
È possibile impilare 2 Abilità primarie su un singolo giocatore spendendo l'Abilità secondaria.</t>
  </si>
  <si>
    <t>1.105.000GC + 3 Habilidades Primarias el Día 1 + 2 Habilidades Primarias y 1 Habilidad Secundaria (se pueden elegir Habilidad Primaria en lugar de Habilidad Secundaria) el Día 2 + 2 Habilidades Primarias el Día 3.
No se permite apilar habilidades.</t>
  </si>
  <si>
    <t>1.105.000GC + 3 Abilità primarie il 1° giorno + 2 Abilità primarie e 1 Abilità secondaria (può scegliere l'Abilità primaria invece dell'Abilità secondaria) il 2° giorno + 2 Abilità primarie il 3° giorno.
L'impilamento non è consentito.</t>
  </si>
  <si>
    <t>1 105 000GC + 3 capacités primaires le jour 1 + 2 capacités primaires et 1 capacité secondaire (peut choisir la capacité primaire au lieu de la capacité secondaire) le jour 2 + 2 capacités primaires le jour 3.
L'empilement n'est pas autorisé.</t>
  </si>
  <si>
    <t>1.105.000GC + 3 primäre Fähigkeiten an Tag 1 + 2 primäre Fähigkeiten und 1 sekundäre Fähigkeit (kann anstelle der sekundären Fähigkeit die primäre Fähigkeit wählen) an Tag 2 + 2 primäre Fähigkeiten an Tag 3.
Stapeln ist nicht erlaubt.</t>
  </si>
  <si>
    <t>1,105,000GC + 3 Primary Abilities on Day 1 + 2 Primary Abilities and 1 Secondary Ability (can choose Primary Ability instead of Secondary Ability) on Day 2 + 2 Primary Abilities on Day 3.
Stacking is not allowed.</t>
  </si>
  <si>
    <t>1.200.000GC + 3 Habilidades Primarias + 3 Habilidades Secundarias (se pueden elegir Habilidades Primarias en lugar de Habilidades Secundarias).
Se permite apilar 2 Habilidades Primarias y/o Secundarias en un único jugador.
Star Player: 1-2. Es decir, obligatorio meter 1 Star Player en el equipo (mínimo 11 jugadores de roster antes de meter el SP), pero se pueden meter hasta 2.
Las Megastarplayers tienen una serie de reglas especiales que sólo se les aplican a ellas:
⮚ Si metes alguna de las Megastarplayers, pierdes las 3 Habilidades Secundarias.
⮚ No puedes poner la Habilidad Líder a nadie del equipo.</t>
  </si>
  <si>
    <t>1.200.000GC + 3 Primary Skills + 3 Secondary Skills (Primary Skills can be chosen instead of Secondary Skills).
It is allowed to stack 2 Primary and/or Secondary Skills on a single player.
Star Player: 1-2. I.e. 1 Star Player must be in the team (minimum 11 roster players before SP), but you can put up to 2.
Megastarplayers have a special set of rules that only apply to them:
⮚ If you put any of the Megastarplayers, you lose the 3 Secondary Abilities.
⮚ You cannot put the Leader Ability on anyone on the team.</t>
  </si>
  <si>
    <t>1.200.000GC + 3 Primärfertigkeiten + 3 Sekundärfertigkeiten (Primärfertigkeiten können anstelle von Sekundärfertigkeiten gewählt werden).
Es ist erlaubt, 2 primäre und/oder sekundäre Fertigkeiten auf einen einzelnen Spieler zu stapeln.
Starspieler: 1-2. D.h. 1 Starspieler muss im Team sein (mindestens 11 Spieler auf der Liste vor SP), aber du kannst bis zu 2 aufstellen.
Megastarspieler haben spezielle Regeln, die nur für sie gelten:
⮚ Wenn du einen der Megastarspieler aufstellst, verlierst du die 3 Sekundärfähigkeiten.
⮚ Du kannst die Anführer-Fähigkeit auf niemanden im Team anwenden.</t>
  </si>
  <si>
    <t>1.200.000GC + 3 compétences primaires + 3 compétences secondaires (les compétences primaires peuvent être choisies à la place des compétences secondaires).
Il est possible d'empiler 2 compétences primaires et/ou secondaires sur un même joueur.
Joueur étoile : 1-2. C'est-à-dire qu'un joueur vedette doit faire partie de l'équipe (minimum 11 joueurs avant les SP), mais vous pouvez en mettre jusqu'à 2.
Les Megastarplayers ont un ensemble de règles spéciales qui ne s'appliquent qu'à eux :
⮚ Si vous mettez l'un des Megastarplayers, vous perdez les 3 capacités secondaires.
⮚ Vous ne pouvez pas mettre la capacité de leader sur n'importe quel membre de l'équipe.</t>
  </si>
  <si>
    <t>1.200.000GC + 3 Abilità primarie + 3 Abilità secondarie (le Abilità primarie possono essere scelte al posto delle Abilità secondarie).
È consentito impilare 2 Abilità primarie e/o secondarie su un singolo giocatore.
Fuoriclasse: 1-2. Cioè, 1 Fuoriclasse deve essere presente in squadra (minimo 11 giocatori a roster prima della SP), ma se ne possono mettere fino a 2.
I Megastarplayers hanno una serie speciale di regole che si applicano solo a loro:
⮚ Se si mette uno dei Megastarplayers, si perdono le 3 Abilità Secondarie.
⮚ Non è possibile assegnare l'Abilità Leader a nessuno della squadra.</t>
  </si>
  <si>
    <t>1.230.000GC -&gt; Hasta 1.050.000GC a gastar en todo lo que no sea habilidades y atributos -&gt; Hasta 180.000GC para gastar en lo que quieras
Se permite apilar hasta 2 subidas en cualquier jugador con un coste máximo de 80.000GC.
Mínimo 11 jugadores antes de fichar Jugadores Estrella.
Costes de las subidas:
⮚ 10.000GC -&gt; +1 AR
⮚ 20.000GC -&gt; +1 MV ó -1 PS ó 1 habilidad simple
⮚ 30.000GC -&gt; 1 habilidad doble
⮚ 40.000GC -&gt; -1 AG
⮚ 80.000GC -&gt; +1 FU</t>
  </si>
  <si>
    <t>1.230.000GC -&gt; Up to 1.050.000GC to spend on everything other than skills and attributes -&gt; Up to 180.000GC to spend on whatever you want
Up to 2 upgrades are allowed to be stacked on any player at a maximum cost of 80,000GC.
Minimum 11 players before signing Star Players.
Upgrade costs:
⮚ 10.000GC -&gt; +1 AR
⮚ 20.000GC -&gt; +1 MV or -1 PS or 1 single skill
⮚ 30.000GC -&gt; 1 double skill
⮚ 40.000GC -&gt; -1 AG
⮚ 80.000GC -&gt; +1 ST</t>
  </si>
  <si>
    <t>1.230.000GC -&gt; Jusqu'à 1.050.000GC à dépenser sur tout ce qui n'est pas compétences et attributs -&gt; Jusqu'à 180.000GC à dépenser sur tout ce que vous voulez
Il est possible d'empiler jusqu'à 2 améliorations sur n'importe quel joueur pour un coût maximum de 80 000GC.
Minimum 11 joueurs avant de signer des Star Players.
Coût des améliorations :
⮚ 10.000GC -&gt; +1 AR
⮚ 20.000GC -&gt; +1 M ou -1 CP ou 1 capacité unique
⮚ 30.000GC -&gt; 1 capacité double
⮚ 40.000GC -&gt; -1 AG
⮚ 80.000GC -&gt; +1 F</t>
  </si>
  <si>
    <t>1.230.000GC -&gt; Bis zu 1.050.000GC für alles außer Fertigkeiten und Attribute -&gt; Bis zu 180.000GC für alles, was du willst
Bis zu 2 Upgrades können für einen Spieler gestapelt werden, wobei die maximalen Kosten 80.000GC betragen.
Mindestens 11 Spieler, bevor du einen Starspieler unterschreiben kannst.
Upgrade-Kosten:
⮚ 10.000GC -&gt; +1 RW
⮚ 20.000GC -&gt; +1 BE oder -1 WG oder 1 einzelne Fähigkeit
⮚ 30.000GC -&gt; 1 Doppelfähigkeit
⮚ 40.000GC -&gt; -1 GE
⮚ 80.000GC -&gt; +1 ST</t>
  </si>
  <si>
    <t>1.230.000GC -&gt; Fino a 1.050.000GC da spendere per tutto ciò che non è abilità e attributi -&gt; Fino a 180.000GC da spendere per ciò che si vuole
È possibile impilare fino a 2 potenziamenti su qualsiasi giocatore al costo massimo di 80.000GC.
Minimo 11 giocatori prima di ingaggiare i Fuoriclasse.
Costi dei potenziamenti:
⮚ 10.000GC -&gt; +1 AV
⮚ 20.000GC -&gt; +1 MA o -1 PA o 1 singola abilità
⮚ 30.000GC -&gt; 1 abilità doppia
⮚ 40.000GC -&gt; -1 AG
⮚ 80.000GC -&gt; +1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</si>
</sst>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color theme="1"/>
      <name val="Arial"/>
    </font>
    <font>
      <sz val="10"/>
      <name val="Arial"/>
      <family val="2"/>
    </font>
    <font>
      <sz val="11"/>
      <color rgb="FF000000"/>
      <name val="Inconsolata"/>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0"/>
      <color theme="1"/>
      <name val="Calibri"/>
      <family val="2"/>
    </font>
    <font>
      <sz val="10"/>
      <color theme="0"/>
      <name val="Tahoma"/>
      <family val="2"/>
    </font>
    <font>
      <sz val="10"/>
      <color rgb="FFFFFFFF"/>
      <name val="Tahoma"/>
      <family val="2"/>
    </font>
    <font>
      <b/>
      <sz val="12"/>
      <color rgb="FFFF0000"/>
      <name val="Tahoma"/>
      <family val="2"/>
    </font>
    <font>
      <sz val="11"/>
      <color theme="1"/>
      <name val="Tahoma"/>
      <family val="2"/>
    </font>
    <font>
      <sz val="10"/>
      <color theme="1"/>
      <name val="Calibri"/>
      <family val="2"/>
    </font>
    <font>
      <b/>
      <sz val="8"/>
      <color rgb="FFFFFFFF"/>
      <name val="Arial"/>
      <family val="2"/>
    </font>
    <font>
      <sz val="8"/>
      <color theme="1"/>
      <name val="Arial"/>
      <family val="2"/>
    </font>
    <font>
      <b/>
      <sz val="7"/>
      <color theme="1"/>
      <name val="Arial"/>
      <family val="2"/>
    </font>
    <font>
      <sz val="7"/>
      <color theme="1"/>
      <name val="Arial"/>
      <family val="2"/>
    </font>
    <font>
      <sz val="8"/>
      <color rgb="FFFF0000"/>
      <name val="Tahoma"/>
      <family val="2"/>
    </font>
    <font>
      <b/>
      <sz val="8"/>
      <color theme="1"/>
      <name val="Arial"/>
      <family val="2"/>
    </font>
    <font>
      <sz val="10"/>
      <color theme="1"/>
      <name val="Arial"/>
      <family val="2"/>
    </font>
    <font>
      <sz val="10"/>
      <color theme="1"/>
      <name val="Arial"/>
      <family val="2"/>
    </font>
    <font>
      <sz val="10"/>
      <color theme="0"/>
      <name val="Tahoma"/>
      <family val="2"/>
    </font>
    <font>
      <sz val="8"/>
      <color theme="1"/>
      <name val="Tahoma"/>
      <family val="2"/>
    </font>
    <font>
      <sz val="10"/>
      <color theme="1"/>
      <name val="Tahoma"/>
      <family val="2"/>
    </font>
    <font>
      <b/>
      <sz val="11"/>
      <color rgb="FFFFFFFF"/>
      <name val="Arial"/>
      <family val="2"/>
    </font>
    <font>
      <sz val="10"/>
      <name val="Arial"/>
      <family val="2"/>
    </font>
    <font>
      <b/>
      <sz val="11"/>
      <color theme="0"/>
      <name val="Tahoma"/>
      <family val="2"/>
    </font>
    <font>
      <b/>
      <sz val="8"/>
      <color theme="0"/>
      <name val="Tahoma"/>
      <family val="2"/>
    </font>
    <font>
      <sz val="7"/>
      <color theme="1"/>
      <name val="Arial"/>
      <family val="2"/>
    </font>
    <font>
      <sz val="8"/>
      <color theme="1"/>
      <name val="Arial"/>
      <family val="2"/>
    </font>
    <font>
      <u/>
      <sz val="10"/>
      <color theme="10"/>
      <name val="Arial"/>
      <family val="2"/>
    </font>
    <font>
      <b/>
      <sz val="8"/>
      <color theme="1"/>
      <name val="Tahoma"/>
      <family val="2"/>
    </font>
    <font>
      <sz val="8"/>
      <color theme="1"/>
      <name val="Tahoma"/>
      <family val="2"/>
    </font>
    <font>
      <b/>
      <sz val="8"/>
      <color theme="1"/>
      <name val="Tahoma"/>
      <family val="2"/>
    </font>
    <font>
      <b/>
      <sz val="12"/>
      <color theme="1"/>
      <name val="Tahoma"/>
      <family val="2"/>
    </font>
    <font>
      <b/>
      <sz val="9"/>
      <color rgb="FFFF0000"/>
      <name val="Arial"/>
      <family val="2"/>
    </font>
    <font>
      <sz val="9"/>
      <color theme="1"/>
      <name val="Arial"/>
      <family val="2"/>
    </font>
    <font>
      <b/>
      <sz val="10"/>
      <color theme="1"/>
      <name val="Arial"/>
      <family val="2"/>
    </font>
    <font>
      <sz val="9"/>
      <name val="Arial"/>
      <family val="2"/>
    </font>
    <font>
      <b/>
      <u/>
      <sz val="10"/>
      <color theme="1"/>
      <name val="Arial"/>
      <family val="2"/>
    </font>
    <font>
      <b/>
      <sz val="9"/>
      <name val="Arial"/>
      <family val="2"/>
    </font>
  </fonts>
  <fills count="8">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theme="0"/>
        <bgColor indexed="64"/>
      </patternFill>
    </fill>
    <fill>
      <patternFill patternType="solid">
        <fgColor theme="0" tint="-0.14999847407452621"/>
        <bgColor theme="0"/>
      </patternFill>
    </fill>
  </fills>
  <borders count="31">
    <border>
      <left/>
      <right/>
      <top/>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rgb="FF000000"/>
      </left>
      <right/>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rgb="FF000000"/>
      </right>
      <top/>
      <bottom style="thin">
        <color rgb="FF000000"/>
      </bottom>
      <diagonal/>
    </border>
  </borders>
  <cellStyleXfs count="2">
    <xf numFmtId="0" fontId="0" fillId="0" borderId="0"/>
    <xf numFmtId="0" fontId="32" fillId="0" borderId="0" applyNumberFormat="0" applyFill="0" applyBorder="0" applyAlignment="0" applyProtection="0"/>
  </cellStyleXfs>
  <cellXfs count="226">
    <xf numFmtId="0" fontId="0" fillId="0" borderId="0" xfId="0"/>
    <xf numFmtId="3"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9" fillId="0" borderId="0" xfId="0" applyFont="1"/>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shrinkToFit="1"/>
    </xf>
    <xf numFmtId="0" fontId="14" fillId="0" borderId="0" xfId="0" applyFont="1"/>
    <xf numFmtId="0" fontId="5" fillId="0" borderId="0" xfId="0" applyFont="1" applyAlignment="1">
      <alignment horizontal="center"/>
    </xf>
    <xf numFmtId="0" fontId="5" fillId="0" borderId="0" xfId="0" applyFont="1" applyAlignment="1">
      <alignment vertical="center"/>
    </xf>
    <xf numFmtId="0" fontId="0" fillId="0" borderId="0" xfId="0" applyAlignment="1">
      <alignment horizontal="center"/>
    </xf>
    <xf numFmtId="3" fontId="16" fillId="0" borderId="0" xfId="0" applyNumberFormat="1"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xf>
    <xf numFmtId="0" fontId="0" fillId="0" borderId="0" xfId="0" applyAlignment="1">
      <alignment horizontal="center" vertical="center"/>
    </xf>
    <xf numFmtId="3" fontId="5" fillId="0" borderId="0" xfId="0" applyNumberFormat="1" applyFont="1" applyAlignment="1">
      <alignment horizontal="center"/>
    </xf>
    <xf numFmtId="3" fontId="14" fillId="0" borderId="0" xfId="0" applyNumberFormat="1" applyFont="1"/>
    <xf numFmtId="0" fontId="0" fillId="0" borderId="3" xfId="0" applyBorder="1" applyAlignment="1">
      <alignment horizontal="center"/>
    </xf>
    <xf numFmtId="0" fontId="0" fillId="0" borderId="0" xfId="0" applyAlignment="1">
      <alignment horizontal="left"/>
    </xf>
    <xf numFmtId="0" fontId="21" fillId="0" borderId="0" xfId="0" applyFont="1"/>
    <xf numFmtId="0" fontId="24" fillId="0" borderId="0" xfId="0" applyFont="1" applyAlignment="1">
      <alignment horizontal="center" vertical="center"/>
    </xf>
    <xf numFmtId="0" fontId="0" fillId="0" borderId="0" xfId="0" applyAlignment="1">
      <alignment horizontal="left" vertical="center"/>
    </xf>
    <xf numFmtId="0" fontId="34" fillId="0" borderId="0" xfId="0" applyFont="1" applyAlignment="1">
      <alignment horizontal="center" vertical="center"/>
    </xf>
    <xf numFmtId="0" fontId="34" fillId="0" borderId="0" xfId="0" applyFont="1" applyAlignment="1">
      <alignment horizontal="left" vertical="center"/>
    </xf>
    <xf numFmtId="3" fontId="34" fillId="0" borderId="0" xfId="0" applyNumberFormat="1" applyFont="1" applyAlignment="1">
      <alignment horizontal="center" vertical="center"/>
    </xf>
    <xf numFmtId="0" fontId="5" fillId="0" borderId="0" xfId="0" quotePrefix="1" applyFont="1" applyAlignment="1">
      <alignment horizontal="center"/>
    </xf>
    <xf numFmtId="0" fontId="35" fillId="0" borderId="0" xfId="0" applyFont="1" applyAlignment="1">
      <alignment horizontal="center" vertical="center"/>
    </xf>
    <xf numFmtId="0" fontId="25" fillId="0" borderId="3"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1" fontId="7" fillId="0" borderId="3" xfId="0" applyNumberFormat="1" applyFont="1" applyBorder="1" applyAlignment="1" applyProtection="1">
      <alignment horizontal="center" vertical="center"/>
      <protection locked="0"/>
    </xf>
    <xf numFmtId="1" fontId="11" fillId="0" borderId="3" xfId="0" applyNumberFormat="1" applyFont="1" applyBorder="1" applyAlignment="1" applyProtection="1">
      <alignment horizontal="center" vertical="center"/>
      <protection locked="0"/>
    </xf>
    <xf numFmtId="1" fontId="0" fillId="0" borderId="3" xfId="0" applyNumberFormat="1" applyBorder="1" applyAlignment="1" applyProtection="1">
      <alignment horizontal="center" vertical="center"/>
      <protection locked="0"/>
    </xf>
    <xf numFmtId="0" fontId="4" fillId="3" borderId="3" xfId="0" applyFont="1" applyFill="1" applyBorder="1" applyAlignment="1">
      <alignment horizontal="center" vertical="center"/>
    </xf>
    <xf numFmtId="0" fontId="29" fillId="3" borderId="3" xfId="0" applyFont="1" applyFill="1" applyBorder="1" applyAlignment="1">
      <alignment horizontal="center" vertical="center"/>
    </xf>
    <xf numFmtId="0" fontId="8" fillId="2" borderId="11" xfId="0" applyFont="1" applyFill="1" applyBorder="1" applyAlignment="1">
      <alignment horizontal="right" vertical="center"/>
    </xf>
    <xf numFmtId="0" fontId="8" fillId="2" borderId="12" xfId="0" applyFont="1" applyFill="1" applyBorder="1" applyAlignment="1">
      <alignment horizontal="center" vertical="center"/>
    </xf>
    <xf numFmtId="0" fontId="8" fillId="2" borderId="13" xfId="0" applyFont="1" applyFill="1" applyBorder="1" applyAlignment="1">
      <alignment horizontal="left" vertical="center"/>
    </xf>
    <xf numFmtId="0" fontId="25" fillId="2" borderId="3" xfId="0" applyFont="1" applyFill="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33" fillId="0" borderId="0" xfId="0" applyFont="1" applyAlignment="1">
      <alignment horizontal="center" vertical="center"/>
    </xf>
    <xf numFmtId="0" fontId="24" fillId="0" borderId="0" xfId="0" applyFont="1" applyAlignment="1">
      <alignment horizontal="left" vertical="center"/>
    </xf>
    <xf numFmtId="0" fontId="34" fillId="0" borderId="0" xfId="0" applyFont="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center" vertical="center" shrinkToFit="1"/>
    </xf>
    <xf numFmtId="0" fontId="5" fillId="0" borderId="0" xfId="0" applyFont="1" applyAlignment="1">
      <alignment horizontal="center" vertical="center" wrapText="1"/>
    </xf>
    <xf numFmtId="0" fontId="4" fillId="3" borderId="4" xfId="0" applyFont="1" applyFill="1" applyBorder="1" applyAlignment="1">
      <alignment horizontal="center" vertical="center"/>
    </xf>
    <xf numFmtId="0" fontId="8" fillId="2" borderId="14" xfId="0" applyFont="1" applyFill="1" applyBorder="1" applyAlignment="1">
      <alignment horizontal="right" vertical="center"/>
    </xf>
    <xf numFmtId="0" fontId="8" fillId="2" borderId="5" xfId="0" applyFont="1" applyFill="1" applyBorder="1" applyAlignment="1">
      <alignment horizontal="center" vertical="center"/>
    </xf>
    <xf numFmtId="0" fontId="8" fillId="2" borderId="6" xfId="0" applyFont="1" applyFill="1" applyBorder="1" applyAlignment="1">
      <alignment horizontal="left" vertical="center"/>
    </xf>
    <xf numFmtId="0" fontId="25" fillId="2" borderId="4" xfId="0" applyFont="1" applyFill="1" applyBorder="1" applyAlignment="1">
      <alignment horizontal="center" vertical="center"/>
    </xf>
    <xf numFmtId="0" fontId="10" fillId="3" borderId="11" xfId="0" applyFont="1" applyFill="1" applyBorder="1" applyAlignment="1">
      <alignment horizontal="right" vertical="center"/>
    </xf>
    <xf numFmtId="0" fontId="10" fillId="3" borderId="13" xfId="0" applyFont="1" applyFill="1" applyBorder="1" applyAlignment="1">
      <alignment vertical="center"/>
    </xf>
    <xf numFmtId="3" fontId="5" fillId="2" borderId="2" xfId="0" applyNumberFormat="1" applyFont="1" applyFill="1" applyBorder="1" applyAlignment="1">
      <alignment horizontal="center" vertical="center"/>
    </xf>
    <xf numFmtId="3" fontId="5" fillId="0" borderId="0" xfId="0" applyNumberFormat="1" applyFont="1" applyAlignment="1">
      <alignment horizontal="center" vertical="center" shrinkToFit="1"/>
    </xf>
    <xf numFmtId="0" fontId="10" fillId="3" borderId="13" xfId="0" applyFont="1" applyFill="1" applyBorder="1" applyAlignment="1">
      <alignment horizontal="left" vertical="center"/>
    </xf>
    <xf numFmtId="0" fontId="5" fillId="2" borderId="2" xfId="0" applyFont="1" applyFill="1" applyBorder="1" applyAlignment="1">
      <alignment horizontal="left"/>
    </xf>
    <xf numFmtId="0" fontId="21" fillId="0" borderId="0" xfId="0" applyFont="1" applyAlignment="1">
      <alignment wrapText="1"/>
    </xf>
    <xf numFmtId="0" fontId="4" fillId="3" borderId="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0" borderId="3" xfId="0" applyBorder="1" applyAlignment="1">
      <alignment horizontal="center" vertical="center"/>
    </xf>
    <xf numFmtId="0" fontId="7" fillId="0" borderId="27" xfId="0" applyFont="1" applyBorder="1" applyAlignment="1">
      <alignment horizontal="center" vertical="center"/>
    </xf>
    <xf numFmtId="0" fontId="7" fillId="0" borderId="3" xfId="0" applyFont="1" applyBorder="1" applyAlignment="1">
      <alignment horizontal="center" vertical="center"/>
    </xf>
    <xf numFmtId="0" fontId="15" fillId="3" borderId="11" xfId="0" applyFont="1" applyFill="1" applyBorder="1" applyAlignment="1">
      <alignment horizontal="center" vertical="center" wrapText="1"/>
    </xf>
    <xf numFmtId="0" fontId="5" fillId="6" borderId="0" xfId="0" applyFont="1" applyFill="1" applyAlignment="1">
      <alignment horizontal="center" vertical="center"/>
    </xf>
    <xf numFmtId="0" fontId="4" fillId="3" borderId="27" xfId="0"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wrapText="1"/>
    </xf>
    <xf numFmtId="0" fontId="9" fillId="0" borderId="0" xfId="0" applyFont="1" applyAlignment="1">
      <alignment horizontal="center" vertical="center"/>
    </xf>
    <xf numFmtId="0" fontId="9" fillId="0" borderId="3" xfId="0" applyFont="1" applyBorder="1"/>
    <xf numFmtId="3" fontId="17" fillId="0" borderId="0" xfId="0" applyNumberFormat="1" applyFont="1" applyAlignment="1">
      <alignment horizontal="center" vertical="center"/>
    </xf>
    <xf numFmtId="3" fontId="30" fillId="0" borderId="0" xfId="0" applyNumberFormat="1" applyFont="1" applyAlignment="1">
      <alignment horizontal="right" vertical="center"/>
    </xf>
    <xf numFmtId="3" fontId="18" fillId="0" borderId="0" xfId="0" applyNumberFormat="1" applyFont="1" applyAlignment="1">
      <alignment horizontal="center" vertical="center"/>
    </xf>
    <xf numFmtId="3" fontId="18" fillId="0" borderId="0" xfId="0" applyNumberFormat="1" applyFont="1" applyAlignment="1">
      <alignment horizontal="right" vertical="center"/>
    </xf>
    <xf numFmtId="0" fontId="31" fillId="0" borderId="0" xfId="0" applyFont="1" applyAlignment="1">
      <alignment horizontal="center" vertical="center"/>
    </xf>
    <xf numFmtId="49" fontId="16" fillId="0" borderId="0" xfId="0" applyNumberFormat="1" applyFont="1" applyAlignment="1">
      <alignment vertical="center"/>
    </xf>
    <xf numFmtId="1" fontId="16" fillId="0" borderId="0" xfId="0" applyNumberFormat="1" applyFont="1" applyAlignment="1">
      <alignment horizontal="center" vertical="center"/>
    </xf>
    <xf numFmtId="1"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horizontal="center" vertical="center" wrapText="1"/>
    </xf>
    <xf numFmtId="0" fontId="31" fillId="0" borderId="0" xfId="0" applyFont="1" applyAlignment="1">
      <alignment horizontal="center"/>
    </xf>
    <xf numFmtId="0" fontId="19" fillId="0" borderId="0" xfId="0" applyFont="1" applyAlignment="1">
      <alignment vertical="center"/>
    </xf>
    <xf numFmtId="3" fontId="5" fillId="0" borderId="0" xfId="0" applyNumberFormat="1" applyFont="1" applyAlignment="1">
      <alignment vertical="center"/>
    </xf>
    <xf numFmtId="0" fontId="16" fillId="0" borderId="0" xfId="0" applyFont="1"/>
    <xf numFmtId="0" fontId="20" fillId="0" borderId="0" xfId="0" applyFont="1" applyAlignment="1">
      <alignment horizontal="center" vertical="center"/>
    </xf>
    <xf numFmtId="49" fontId="21" fillId="0" borderId="0" xfId="0" applyNumberFormat="1" applyFont="1"/>
    <xf numFmtId="0" fontId="21" fillId="0" borderId="0" xfId="0" applyFont="1" applyAlignment="1">
      <alignment horizontal="center" vertical="center" wrapText="1"/>
    </xf>
    <xf numFmtId="0" fontId="0" fillId="2" borderId="21" xfId="0" applyFill="1" applyBorder="1" applyAlignment="1">
      <alignment horizontal="center" vertical="center" wrapText="1"/>
    </xf>
    <xf numFmtId="0" fontId="21" fillId="2" borderId="21" xfId="0" applyFont="1" applyFill="1" applyBorder="1" applyAlignment="1">
      <alignment horizontal="center" vertical="center" wrapText="1"/>
    </xf>
    <xf numFmtId="0" fontId="2" fillId="4" borderId="21" xfId="0" applyFont="1" applyFill="1" applyBorder="1"/>
    <xf numFmtId="0" fontId="38" fillId="2" borderId="21" xfId="0" applyFont="1" applyFill="1" applyBorder="1" applyAlignment="1">
      <alignment horizontal="center" vertical="center" wrapText="1"/>
    </xf>
    <xf numFmtId="0" fontId="39" fillId="7" borderId="27" xfId="0" applyFont="1" applyFill="1" applyBorder="1" applyAlignment="1">
      <alignment horizontal="center" vertical="center" wrapText="1"/>
    </xf>
    <xf numFmtId="0" fontId="37" fillId="2" borderId="21" xfId="0" applyFont="1" applyFill="1" applyBorder="1" applyAlignment="1">
      <alignment vertical="center" wrapText="1"/>
    </xf>
    <xf numFmtId="3" fontId="40" fillId="2" borderId="27" xfId="0" applyNumberFormat="1" applyFont="1" applyFill="1" applyBorder="1" applyAlignment="1">
      <alignment horizontal="center" vertical="center" wrapText="1"/>
    </xf>
    <xf numFmtId="0" fontId="42" fillId="2" borderId="27" xfId="0" applyFont="1" applyFill="1" applyBorder="1" applyAlignment="1">
      <alignment horizontal="center" vertical="center" wrapText="1"/>
    </xf>
    <xf numFmtId="0" fontId="40" fillId="2" borderId="27"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0" borderId="7" xfId="0" applyBorder="1" applyAlignment="1">
      <alignment horizontal="center" vertical="center" wrapText="1"/>
    </xf>
    <xf numFmtId="0" fontId="41" fillId="0" borderId="0" xfId="0" applyFont="1"/>
    <xf numFmtId="0" fontId="41" fillId="0" borderId="0" xfId="0" applyFont="1" applyAlignment="1">
      <alignment horizontal="right"/>
    </xf>
    <xf numFmtId="0" fontId="41" fillId="0" borderId="0" xfId="0" applyFont="1" applyAlignment="1">
      <alignment horizontal="left"/>
    </xf>
    <xf numFmtId="0" fontId="0" fillId="0" borderId="0" xfId="0" applyAlignment="1">
      <alignment horizontal="right"/>
    </xf>
    <xf numFmtId="0" fontId="21" fillId="0" borderId="0" xfId="0" applyFont="1" applyAlignment="1">
      <alignment horizontal="right"/>
    </xf>
    <xf numFmtId="0" fontId="40" fillId="2" borderId="27" xfId="0" applyFont="1" applyFill="1" applyBorder="1" applyAlignment="1" applyProtection="1">
      <alignment horizontal="center" vertical="center" wrapText="1"/>
      <protection locked="0"/>
    </xf>
    <xf numFmtId="0" fontId="0" fillId="0" borderId="0" xfId="0" applyAlignment="1">
      <alignment wrapText="1"/>
    </xf>
    <xf numFmtId="0" fontId="0" fillId="2" borderId="28" xfId="0"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29" xfId="0" applyFont="1" applyFill="1" applyBorder="1" applyAlignment="1">
      <alignment horizontal="center" vertical="center" wrapText="1"/>
    </xf>
    <xf numFmtId="0" fontId="0" fillId="6" borderId="29" xfId="0" applyFill="1" applyBorder="1" applyAlignment="1">
      <alignment horizontal="center" wrapText="1"/>
    </xf>
    <xf numFmtId="0" fontId="0" fillId="6" borderId="21" xfId="0" applyFill="1" applyBorder="1" applyAlignment="1">
      <alignment horizontal="center"/>
    </xf>
    <xf numFmtId="0" fontId="0" fillId="6" borderId="29" xfId="0" applyFill="1" applyBorder="1" applyAlignment="1">
      <alignment horizontal="center"/>
    </xf>
    <xf numFmtId="0" fontId="0" fillId="0" borderId="21" xfId="0" applyBorder="1" applyAlignment="1">
      <alignment horizontal="center"/>
    </xf>
    <xf numFmtId="0" fontId="28" fillId="3" borderId="27" xfId="0" applyFont="1" applyFill="1" applyBorder="1" applyAlignment="1">
      <alignment horizontal="center" vertical="center" wrapText="1"/>
    </xf>
    <xf numFmtId="0" fontId="0" fillId="0" borderId="27" xfId="0" applyBorder="1" applyAlignment="1">
      <alignment horizontal="center" vertical="center" wrapText="1"/>
    </xf>
    <xf numFmtId="0" fontId="0" fillId="2" borderId="21" xfId="0" applyFill="1" applyBorder="1" applyAlignment="1">
      <alignment horizontal="center" wrapText="1"/>
    </xf>
    <xf numFmtId="0" fontId="32" fillId="2" borderId="21" xfId="1" applyFill="1" applyBorder="1" applyAlignment="1" applyProtection="1">
      <alignment horizontal="center" wrapText="1"/>
    </xf>
    <xf numFmtId="0" fontId="32" fillId="2" borderId="21" xfId="1" applyFill="1" applyBorder="1" applyAlignment="1" applyProtection="1">
      <alignment horizontal="center" vertical="center" wrapText="1"/>
    </xf>
    <xf numFmtId="0" fontId="0" fillId="2" borderId="21" xfId="0" applyFill="1" applyBorder="1" applyAlignment="1">
      <alignment horizontal="center" vertical="center" wrapText="1"/>
    </xf>
    <xf numFmtId="0" fontId="26" fillId="3" borderId="27" xfId="0" applyFont="1" applyFill="1" applyBorder="1" applyAlignment="1">
      <alignment horizontal="center" vertical="center" wrapText="1"/>
    </xf>
    <xf numFmtId="0" fontId="5" fillId="0" borderId="0" xfId="0" applyFont="1" applyAlignment="1">
      <alignment horizontal="center" vertical="center"/>
    </xf>
    <xf numFmtId="0" fontId="0" fillId="0" borderId="0" xfId="0"/>
    <xf numFmtId="0" fontId="16" fillId="0" borderId="0" xfId="0" applyFont="1" applyAlignment="1">
      <alignment horizontal="center" vertical="center"/>
    </xf>
    <xf numFmtId="0" fontId="31"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3" fontId="7" fillId="0" borderId="27" xfId="0" applyNumberFormat="1" applyFont="1" applyBorder="1" applyAlignment="1">
      <alignment horizontal="center" vertical="center"/>
    </xf>
    <xf numFmtId="0" fontId="7" fillId="0" borderId="27" xfId="0" applyFont="1" applyBorder="1" applyAlignment="1">
      <alignment horizontal="center" vertical="center"/>
    </xf>
    <xf numFmtId="0" fontId="4" fillId="3" borderId="27" xfId="0" applyFont="1" applyFill="1" applyBorder="1" applyAlignment="1">
      <alignment horizontal="center" vertical="center" wrapText="1"/>
    </xf>
    <xf numFmtId="0" fontId="5" fillId="6" borderId="21" xfId="0" applyFont="1" applyFill="1" applyBorder="1" applyAlignment="1">
      <alignment horizontal="center" vertical="center"/>
    </xf>
    <xf numFmtId="3" fontId="0" fillId="0" borderId="27" xfId="0" applyNumberForma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15" fillId="3" borderId="11"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3" fillId="2" borderId="21"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3" fillId="2" borderId="16" xfId="0" applyFont="1" applyFill="1" applyBorder="1" applyAlignment="1">
      <alignment horizontal="center" vertical="center"/>
    </xf>
    <xf numFmtId="3" fontId="0" fillId="0" borderId="11" xfId="0" applyNumberFormat="1" applyBorder="1" applyAlignment="1">
      <alignment horizontal="center" vertical="center"/>
    </xf>
    <xf numFmtId="3" fontId="0" fillId="0" borderId="13" xfId="0" applyNumberFormat="1" applyBorder="1" applyAlignment="1">
      <alignment horizontal="center" vertical="center"/>
    </xf>
    <xf numFmtId="0" fontId="5" fillId="2" borderId="21" xfId="0" applyFont="1" applyFill="1" applyBorder="1" applyAlignment="1">
      <alignment horizontal="left" vertical="top"/>
    </xf>
    <xf numFmtId="0" fontId="12" fillId="2" borderId="21" xfId="0" applyFont="1" applyFill="1" applyBorder="1" applyAlignment="1">
      <alignment horizontal="center" vertical="center" wrapText="1"/>
    </xf>
    <xf numFmtId="0" fontId="36" fillId="2" borderId="21" xfId="0" applyFont="1" applyFill="1" applyBorder="1" applyAlignment="1">
      <alignment horizontal="center" vertical="center"/>
    </xf>
    <xf numFmtId="3" fontId="5" fillId="0" borderId="0" xfId="0" applyNumberFormat="1" applyFont="1" applyAlignment="1">
      <alignment horizontal="center" vertical="center"/>
    </xf>
    <xf numFmtId="0" fontId="21" fillId="0" borderId="0" xfId="0" applyFont="1" applyAlignment="1">
      <alignment horizontal="center" vertical="center" wrapText="1"/>
    </xf>
    <xf numFmtId="0" fontId="13" fillId="2" borderId="19" xfId="0" applyFont="1" applyFill="1" applyBorder="1" applyAlignment="1">
      <alignment horizontal="center" vertical="center"/>
    </xf>
    <xf numFmtId="0" fontId="23" fillId="3" borderId="24" xfId="0" applyFont="1" applyFill="1" applyBorder="1" applyAlignment="1">
      <alignment horizontal="center" vertical="center" shrinkToFit="1"/>
    </xf>
    <xf numFmtId="0" fontId="27" fillId="0" borderId="25" xfId="0" applyFont="1" applyBorder="1"/>
    <xf numFmtId="0" fontId="27" fillId="0" borderId="26" xfId="0" applyFont="1" applyBorder="1"/>
    <xf numFmtId="3" fontId="7" fillId="2" borderId="15"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xf>
    <xf numFmtId="3" fontId="10" fillId="3" borderId="11" xfId="0" applyNumberFormat="1" applyFont="1" applyFill="1" applyBorder="1" applyAlignment="1">
      <alignment horizontal="center" vertical="center"/>
    </xf>
    <xf numFmtId="3" fontId="10" fillId="3" borderId="15"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0" fontId="3" fillId="2" borderId="11" xfId="0" applyFont="1" applyFill="1" applyBorder="1" applyAlignment="1">
      <alignment horizontal="right" vertical="center" wrapText="1"/>
    </xf>
    <xf numFmtId="0" fontId="3" fillId="2" borderId="15" xfId="0" applyFont="1" applyFill="1" applyBorder="1" applyAlignment="1">
      <alignment horizontal="right" vertical="center" wrapText="1"/>
    </xf>
    <xf numFmtId="0" fontId="3" fillId="2" borderId="15" xfId="0" applyFont="1" applyFill="1" applyBorder="1" applyAlignment="1" applyProtection="1">
      <alignment horizontal="center" vertical="center" wrapText="1"/>
      <protection locked="0"/>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2" borderId="18" xfId="0" applyFont="1" applyFill="1" applyBorder="1" applyAlignment="1">
      <alignment vertical="center"/>
    </xf>
    <xf numFmtId="0" fontId="5" fillId="2" borderId="17" xfId="0" applyFont="1" applyFill="1" applyBorder="1" applyAlignment="1">
      <alignment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0" fontId="5" fillId="2" borderId="20" xfId="0" applyFont="1" applyFill="1" applyBorder="1" applyAlignment="1">
      <alignment vertical="center"/>
    </xf>
    <xf numFmtId="0" fontId="5" fillId="2" borderId="19" xfId="0" applyFont="1" applyFill="1" applyBorder="1" applyAlignment="1">
      <alignment vertical="center"/>
    </xf>
    <xf numFmtId="3" fontId="7" fillId="5" borderId="11" xfId="0" applyNumberFormat="1" applyFont="1" applyFill="1" applyBorder="1" applyAlignment="1">
      <alignment horizontal="center" vertical="center"/>
    </xf>
    <xf numFmtId="3" fontId="7" fillId="5" borderId="13" xfId="0" applyNumberFormat="1" applyFont="1" applyFill="1" applyBorder="1" applyAlignment="1">
      <alignment horizontal="center" vertical="center"/>
    </xf>
    <xf numFmtId="0" fontId="23" fillId="3" borderId="15" xfId="0" applyFont="1" applyFill="1" applyBorder="1" applyAlignment="1">
      <alignment horizontal="center" vertical="center" shrinkToFit="1"/>
    </xf>
    <xf numFmtId="0" fontId="27" fillId="0" borderId="15" xfId="0" applyFont="1" applyBorder="1"/>
    <xf numFmtId="0" fontId="27" fillId="0" borderId="13" xfId="0" applyFont="1" applyBorder="1"/>
    <xf numFmtId="3" fontId="7" fillId="2" borderId="11" xfId="0" applyNumberFormat="1" applyFont="1" applyFill="1" applyBorder="1" applyAlignment="1">
      <alignment horizontal="right" vertical="center"/>
    </xf>
    <xf numFmtId="3" fontId="7" fillId="2" borderId="15" xfId="0" applyNumberFormat="1" applyFont="1" applyFill="1" applyBorder="1" applyAlignment="1">
      <alignment horizontal="right" vertical="center"/>
    </xf>
    <xf numFmtId="0" fontId="25" fillId="2" borderId="15" xfId="0" applyFont="1" applyFill="1" applyBorder="1" applyAlignment="1">
      <alignment horizontal="left" vertical="center"/>
    </xf>
    <xf numFmtId="0" fontId="10" fillId="3" borderId="11"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3" fontId="7" fillId="2" borderId="11" xfId="0" applyNumberFormat="1" applyFont="1" applyFill="1" applyBorder="1" applyAlignment="1" applyProtection="1">
      <alignment horizontal="center" vertical="center" shrinkToFit="1"/>
      <protection locked="0"/>
    </xf>
    <xf numFmtId="3" fontId="7" fillId="2" borderId="15" xfId="0" applyNumberFormat="1" applyFont="1" applyFill="1" applyBorder="1" applyAlignment="1" applyProtection="1">
      <alignment horizontal="center" vertical="center" shrinkToFit="1"/>
      <protection locked="0"/>
    </xf>
    <xf numFmtId="3" fontId="7" fillId="2" borderId="13" xfId="0" applyNumberFormat="1" applyFont="1" applyFill="1" applyBorder="1" applyAlignment="1" applyProtection="1">
      <alignment horizontal="center" vertical="center" shrinkToFit="1"/>
      <protection locked="0"/>
    </xf>
    <xf numFmtId="0" fontId="23" fillId="3" borderId="16" xfId="0" applyFont="1" applyFill="1" applyBorder="1" applyAlignment="1">
      <alignment horizontal="center" vertical="center" shrinkToFit="1"/>
    </xf>
    <xf numFmtId="0" fontId="27" fillId="0" borderId="16" xfId="0" applyFont="1" applyBorder="1"/>
    <xf numFmtId="0" fontId="27" fillId="0" borderId="17" xfId="0" applyFont="1" applyBorder="1"/>
    <xf numFmtId="0" fontId="23" fillId="3" borderId="11" xfId="0" applyFont="1" applyFill="1" applyBorder="1" applyAlignment="1">
      <alignment horizontal="center" vertical="center" shrinkToFit="1"/>
    </xf>
    <xf numFmtId="0" fontId="7" fillId="0" borderId="11"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lignment horizontal="center" vertical="center" shrinkToFit="1"/>
    </xf>
    <xf numFmtId="0" fontId="0" fillId="0" borderId="15" xfId="0" applyBorder="1" applyAlignment="1">
      <alignment horizontal="center" vertical="center" shrinkToFit="1"/>
    </xf>
    <xf numFmtId="0" fontId="0" fillId="0" borderId="13" xfId="0" applyBorder="1" applyAlignment="1">
      <alignment horizontal="center" vertical="center" shrinkToFit="1"/>
    </xf>
    <xf numFmtId="0" fontId="25" fillId="2" borderId="11"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3" xfId="0" applyFont="1" applyFill="1" applyBorder="1" applyAlignment="1">
      <alignment horizontal="center" vertical="center" wrapText="1"/>
    </xf>
    <xf numFmtId="3" fontId="25" fillId="2" borderId="11" xfId="0" applyNumberFormat="1" applyFont="1" applyFill="1" applyBorder="1" applyAlignment="1">
      <alignment horizontal="center" vertical="center"/>
    </xf>
    <xf numFmtId="3" fontId="25" fillId="2" borderId="13" xfId="0" applyNumberFormat="1"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49" fontId="22" fillId="0" borderId="11"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3" fontId="25" fillId="2" borderId="15" xfId="0" applyNumberFormat="1" applyFont="1" applyFill="1" applyBorder="1" applyAlignment="1">
      <alignment horizontal="center" vertical="center"/>
    </xf>
    <xf numFmtId="0" fontId="21" fillId="0" borderId="11" xfId="0" applyFont="1" applyBorder="1" applyAlignment="1" applyProtection="1">
      <alignment horizontal="center" vertical="center" shrinkToFit="1"/>
      <protection locked="0"/>
    </xf>
    <xf numFmtId="3" fontId="5" fillId="2" borderId="21" xfId="0" applyNumberFormat="1" applyFont="1" applyFill="1" applyBorder="1" applyAlignment="1">
      <alignment horizontal="center" vertical="center"/>
    </xf>
    <xf numFmtId="0" fontId="6" fillId="0" borderId="8" xfId="0" applyFont="1" applyBorder="1" applyAlignment="1">
      <alignment horizontal="center" vertical="center"/>
    </xf>
    <xf numFmtId="0" fontId="1" fillId="0" borderId="9" xfId="0" applyFont="1" applyBorder="1"/>
    <xf numFmtId="0" fontId="1" fillId="0" borderId="10" xfId="0" applyFont="1" applyBorder="1"/>
    <xf numFmtId="0" fontId="29" fillId="3" borderId="11" xfId="0" applyFont="1" applyFill="1" applyBorder="1" applyAlignment="1">
      <alignment horizontal="center" vertical="center"/>
    </xf>
    <xf numFmtId="0" fontId="29" fillId="3" borderId="11" xfId="0" applyFont="1" applyFill="1" applyBorder="1" applyAlignment="1">
      <alignment horizontal="center" vertical="center" wrapText="1"/>
    </xf>
    <xf numFmtId="0" fontId="29" fillId="3" borderId="15"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5"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30" xfId="0" applyFont="1" applyFill="1" applyBorder="1" applyAlignment="1">
      <alignment horizontal="center" vertical="center" wrapText="1"/>
    </xf>
  </cellXfs>
  <cellStyles count="2">
    <cellStyle name="Hipervínculo" xfId="1" builtinId="8"/>
    <cellStyle name="Normal" xfId="0" builtinId="0"/>
  </cellStyles>
  <dxfs count="167">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000000"/>
      </font>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ont>
        <color rgb="FFFFFFFF"/>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000000"/>
      </font>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ont>
        <color rgb="FFFFFFFF"/>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000000"/>
      </font>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FFFFFF"/>
      </font>
      <fill>
        <patternFill patternType="none"/>
      </fill>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000000"/>
      </font>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ont>
        <color rgb="FFFFFFFF"/>
      </font>
      <fill>
        <patternFill patternType="none"/>
      </fill>
    </dxf>
    <dxf>
      <font>
        <color rgb="FFFFFFFF"/>
      </font>
      <fill>
        <patternFill patternType="none"/>
      </fill>
    </dxf>
    <dxf>
      <font>
        <color rgb="FFFFFFFF"/>
      </font>
      <fill>
        <patternFill patternType="none"/>
      </fill>
    </dxf>
    <dxf>
      <font>
        <b/>
        <i val="0"/>
        <color theme="0"/>
      </font>
      <fill>
        <patternFill>
          <bgColor rgb="FFFF0000"/>
        </patternFill>
      </fill>
    </dxf>
    <dxf>
      <font>
        <b/>
        <i val="0"/>
        <color theme="1"/>
      </font>
      <fill>
        <patternFill>
          <bgColor rgb="FF92D050"/>
        </patternFill>
      </fill>
    </dxf>
    <dxf>
      <font>
        <b/>
        <i val="0"/>
        <color theme="0"/>
      </font>
      <fill>
        <patternFill>
          <bgColor rgb="FFFF0000"/>
        </patternFill>
      </fill>
    </dxf>
    <dxf>
      <font>
        <b/>
        <i val="0"/>
        <color theme="1"/>
      </font>
      <fill>
        <patternFill patternType="solid">
          <bgColor rgb="FF92D050"/>
        </patternFill>
      </fill>
    </dxf>
    <dxf>
      <font>
        <b/>
        <i val="0"/>
        <color theme="0"/>
      </font>
      <fill>
        <patternFill>
          <bgColor rgb="FFFF0000"/>
        </patternFill>
      </fill>
    </dxf>
    <dxf>
      <font>
        <b/>
        <i val="0"/>
        <color theme="1"/>
      </font>
      <fill>
        <patternFill patternType="solid">
          <bgColor rgb="FF92D050"/>
        </patternFill>
      </fill>
    </dxf>
    <dxf>
      <font>
        <b/>
        <i val="0"/>
        <color theme="0"/>
      </font>
      <fill>
        <patternFill>
          <bgColor rgb="FFFF0000"/>
        </patternFill>
      </fill>
    </dxf>
    <dxf>
      <font>
        <b/>
        <i val="0"/>
        <color theme="1"/>
      </font>
      <fill>
        <patternFill patternType="solid">
          <bgColor rgb="FF92D050"/>
        </patternFill>
      </fill>
    </dxf>
    <dxf>
      <font>
        <b/>
        <i val="0"/>
        <color theme="0"/>
      </font>
      <fill>
        <patternFill>
          <bgColor rgb="FFFF0000"/>
        </patternFill>
      </fill>
    </dxf>
    <dxf>
      <font>
        <b/>
        <i val="0"/>
        <color theme="1"/>
      </font>
      <fill>
        <patternFill patternType="solid">
          <bgColor rgb="FF92D050"/>
        </patternFill>
      </fill>
    </dxf>
    <dxf>
      <font>
        <b/>
        <i val="0"/>
        <color theme="0"/>
      </font>
      <fill>
        <patternFill>
          <bgColor rgb="FFFF0000"/>
        </patternFill>
      </fill>
    </dxf>
    <dxf>
      <font>
        <b/>
        <i val="0"/>
        <color theme="1"/>
      </font>
      <fill>
        <patternFill patternType="solid">
          <bgColor rgb="FF92D05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customschemas.google.com/relationships/workbookmetadata" Target="metadata"/><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bloodbowlhelp.wordpress.com/" TargetMode="External"/><Relationship Id="rId1" Type="http://schemas.openxmlformats.org/officeDocument/2006/relationships/hyperlink" Target="https://www.bilbaliteamscup.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43"/>
  <sheetViews>
    <sheetView tabSelected="1" zoomScaleNormal="100" workbookViewId="0">
      <selection sqref="A1:A20"/>
    </sheetView>
  </sheetViews>
  <sheetFormatPr baseColWidth="10" defaultColWidth="0" defaultRowHeight="15" customHeight="1" zeroHeight="1" x14ac:dyDescent="0.2"/>
  <cols>
    <col min="1" max="1" width="2.85546875" customWidth="1"/>
    <col min="2" max="2" width="4.28515625" customWidth="1"/>
    <col min="3" max="3" width="10.7109375" customWidth="1"/>
    <col min="4" max="4" width="21.42578125" customWidth="1"/>
    <col min="5" max="5" width="14.28515625" customWidth="1"/>
    <col min="6" max="6" width="10.7109375" customWidth="1"/>
    <col min="7" max="7" width="21.42578125" customWidth="1"/>
    <col min="8" max="8" width="14.28515625" customWidth="1"/>
    <col min="9" max="9" width="27.140625" customWidth="1"/>
    <col min="10" max="10" width="4.28515625" customWidth="1"/>
    <col min="11" max="11" width="41.42578125" customWidth="1"/>
    <col min="12" max="12" width="18" customWidth="1"/>
    <col min="13" max="13" width="4.28515625" customWidth="1"/>
    <col min="14" max="14" width="2.85546875" customWidth="1"/>
    <col min="15" max="27" width="18.42578125" hidden="1" customWidth="1"/>
    <col min="28" max="45" width="10.7109375" hidden="1" customWidth="1"/>
    <col min="46" max="16384" width="14.42578125" hidden="1"/>
  </cols>
  <sheetData>
    <row r="1" spans="1:45" ht="15" customHeight="1" x14ac:dyDescent="0.2">
      <c r="A1" s="114"/>
      <c r="B1" s="113"/>
      <c r="C1" s="113"/>
      <c r="D1" s="113"/>
      <c r="E1" s="113"/>
      <c r="F1" s="113"/>
      <c r="G1" s="113"/>
      <c r="H1" s="113"/>
      <c r="I1" s="113"/>
      <c r="J1" s="113"/>
      <c r="K1" s="113"/>
      <c r="L1" s="113"/>
      <c r="M1" s="113"/>
      <c r="N1" s="112"/>
    </row>
    <row r="2" spans="1:45" ht="22.5" customHeight="1" x14ac:dyDescent="0.2">
      <c r="A2" s="114"/>
      <c r="B2" s="121" t="s">
        <v>1674</v>
      </c>
      <c r="C2" s="121"/>
      <c r="D2" s="121"/>
      <c r="E2" s="121"/>
      <c r="F2" s="121"/>
      <c r="G2" s="121"/>
      <c r="H2" s="121"/>
      <c r="I2" s="121"/>
      <c r="J2" s="121"/>
      <c r="K2" s="121"/>
      <c r="L2" s="121"/>
      <c r="M2" s="121"/>
      <c r="N2" s="112"/>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row>
    <row r="3" spans="1:45" ht="15" customHeight="1" x14ac:dyDescent="0.2">
      <c r="A3" s="114"/>
      <c r="B3" s="117" t="str">
        <f>'Pack BB2020'!A31</f>
        <v>Creado por dreamscreator</v>
      </c>
      <c r="C3" s="117"/>
      <c r="D3" s="117"/>
      <c r="E3" s="117"/>
      <c r="F3" s="117"/>
      <c r="G3" s="117"/>
      <c r="H3" s="117"/>
      <c r="I3" s="117"/>
      <c r="J3" s="117"/>
      <c r="K3" s="117"/>
      <c r="L3" s="117"/>
      <c r="M3" s="117"/>
      <c r="N3" s="112"/>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row>
    <row r="4" spans="1:45" ht="15" customHeight="1" x14ac:dyDescent="0.2">
      <c r="A4" s="114"/>
      <c r="B4" s="118" t="s">
        <v>1627</v>
      </c>
      <c r="C4" s="118"/>
      <c r="D4" s="118"/>
      <c r="E4" s="118"/>
      <c r="F4" s="118"/>
      <c r="G4" s="118"/>
      <c r="H4" s="118"/>
      <c r="I4" s="118"/>
      <c r="J4" s="118"/>
      <c r="K4" s="118"/>
      <c r="L4" s="118"/>
      <c r="M4" s="118"/>
      <c r="N4" s="112"/>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row>
    <row r="5" spans="1:45" ht="15" customHeight="1" x14ac:dyDescent="0.2">
      <c r="A5" s="114"/>
      <c r="B5" s="119" t="s">
        <v>1618</v>
      </c>
      <c r="C5" s="119"/>
      <c r="D5" s="119"/>
      <c r="E5" s="119"/>
      <c r="F5" s="119"/>
      <c r="G5" s="119"/>
      <c r="H5" s="119"/>
      <c r="I5" s="119"/>
      <c r="J5" s="119"/>
      <c r="K5" s="119"/>
      <c r="L5" s="119"/>
      <c r="M5" s="119"/>
      <c r="N5" s="112"/>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row>
    <row r="6" spans="1:45" ht="15" customHeight="1" x14ac:dyDescent="0.4">
      <c r="A6" s="114"/>
      <c r="B6" s="120" t="str">
        <f>IF('Pack BB2020'!$J$24="Italiano",AA6,(IF('Pack BB2020'!$J$24="Español",X6,(IF('Pack BB2020'!$J$24="Deutsch",Y6,(IF('Pack BB2020'!$J$24="Français",Z6,W6)))))))</f>
        <v>Compatible con Excel, Google Sheets (solo debes subir al Excel a Google Drive) y Libre Office</v>
      </c>
      <c r="C6" s="120"/>
      <c r="D6" s="120"/>
      <c r="E6" s="120"/>
      <c r="F6" s="120"/>
      <c r="G6" s="120"/>
      <c r="H6" s="120"/>
      <c r="I6" s="120"/>
      <c r="J6" s="120"/>
      <c r="K6" s="120"/>
      <c r="L6" s="120"/>
      <c r="M6" s="120"/>
      <c r="N6" s="112"/>
      <c r="V6" s="88"/>
      <c r="W6" s="89" t="s">
        <v>0</v>
      </c>
      <c r="X6" s="90" t="s">
        <v>1</v>
      </c>
      <c r="Y6" s="88" t="s">
        <v>2</v>
      </c>
      <c r="Z6" s="89" t="s">
        <v>3</v>
      </c>
      <c r="AA6" s="89" t="s">
        <v>1041</v>
      </c>
      <c r="AB6" s="88"/>
      <c r="AC6" s="88"/>
      <c r="AD6" s="88"/>
      <c r="AE6" s="88"/>
      <c r="AF6" s="88"/>
      <c r="AG6" s="88"/>
      <c r="AH6" s="88"/>
      <c r="AI6" s="88"/>
      <c r="AJ6" s="88"/>
      <c r="AK6" s="88"/>
      <c r="AL6" s="88"/>
      <c r="AM6" s="88"/>
      <c r="AN6" s="88"/>
      <c r="AO6" s="88"/>
      <c r="AP6" s="88"/>
      <c r="AQ6" s="88"/>
      <c r="AR6" s="88"/>
      <c r="AS6" s="88"/>
    </row>
    <row r="7" spans="1:45" ht="15" customHeight="1" x14ac:dyDescent="0.4">
      <c r="A7" s="114"/>
      <c r="B7" s="120"/>
      <c r="C7" s="120"/>
      <c r="D7" s="120"/>
      <c r="E7" s="120"/>
      <c r="F7" s="120"/>
      <c r="G7" s="120"/>
      <c r="H7" s="120"/>
      <c r="I7" s="120"/>
      <c r="J7" s="120"/>
      <c r="K7" s="120"/>
      <c r="L7" s="120"/>
      <c r="M7" s="120"/>
      <c r="N7" s="112"/>
      <c r="V7" s="88"/>
      <c r="W7" s="89"/>
      <c r="X7" s="90"/>
      <c r="Y7" s="88"/>
      <c r="Z7" s="89"/>
      <c r="AA7" s="89"/>
      <c r="AB7" s="88"/>
      <c r="AC7" s="88"/>
      <c r="AD7" s="88"/>
      <c r="AE7" s="88"/>
      <c r="AF7" s="88"/>
      <c r="AG7" s="88"/>
      <c r="AH7" s="88"/>
      <c r="AI7" s="88"/>
      <c r="AJ7" s="88"/>
      <c r="AK7" s="88"/>
      <c r="AL7" s="88"/>
      <c r="AM7" s="88"/>
      <c r="AN7" s="88"/>
      <c r="AO7" s="88"/>
      <c r="AP7" s="88"/>
      <c r="AQ7" s="88"/>
      <c r="AR7" s="88"/>
      <c r="AS7" s="88"/>
    </row>
    <row r="8" spans="1:45" ht="22.5" customHeight="1" x14ac:dyDescent="0.2">
      <c r="A8" s="114"/>
      <c r="B8" s="109"/>
      <c r="C8" s="92" t="s">
        <v>1673</v>
      </c>
      <c r="D8" s="92" t="str">
        <f>IF('Pack BB2020'!J24="Italiano","Allenatore capo",(IF('Pack BB2020'!J24="Español","Entrenador",(IF('Pack BB2020'!J24="Deutsch","Cheftrainer",(IF('Pack BB2020'!J24="Français","Coach","Coach")))))))</f>
        <v>Entrenador</v>
      </c>
      <c r="E8" s="92" t="str">
        <f>IF('Pack BB2020'!J24="Italiano","Numero NAF",(IF('Pack BB2020'!J24="Español","Número NAF",(IF('Pack BB2020'!J24="Deutsch","NAF-Nummer",(IF('Pack BB2020'!J24="Français","Numéro NAF","NAF Number")))))))</f>
        <v>Número NAF</v>
      </c>
      <c r="F8" s="92" t="str">
        <f>IF('Pack BB2020'!J24="Italiano","Capitano",(IF('Pack BB2020'!J24="Español","Capitán",(IF('Pack BB2020'!J24="Deutsch","Kapitän",(IF('Pack BB2020'!J24="Français","Capitaine","Capitain")))))))</f>
        <v>Capitán</v>
      </c>
      <c r="G8" s="92" t="str">
        <f>IF('Pack BB2020'!J24="Italiano","Razza",(IF('Pack BB2020'!J24="Español","Raza",(IF('Pack BB2020'!J24="Deutsch","Rasse",(IF('Pack BB2020'!J24="Français","Type d'équipe","Race")))))))</f>
        <v>Raza</v>
      </c>
      <c r="H8" s="92" t="s">
        <v>1643</v>
      </c>
      <c r="I8" s="92" t="str">
        <f>IF('Pack BB2020'!J24="Italiano","Errori",(IF('Pack BB2020'!J24="Español","Errores",(IF('Pack BB2020'!J24="Deutsch","Fehler",(IF('Pack BB2020'!J24="Français","Erreurs","Mistakes")))))))</f>
        <v>Errores</v>
      </c>
      <c r="J8" s="93"/>
      <c r="K8" s="92" t="str">
        <f>IF('Pack BB2020'!J24="Italiano","Razze dei pacchi",(IF('Pack BB2020'!J24="Español","Razas de los packs",(IF('Pack BB2020'!J24="Deutsch","Rassen der Rudel",(IF('Pack BB2020'!J24="Français","Races des meutes","Races of the packs")))))))</f>
        <v>Razas de los packs</v>
      </c>
      <c r="L8" s="94" t="str">
        <f>IF(P13=4,(IF('Pack Vieja Gloria'!$J$24="Italiano",$AA$8,(IF('Pack Vieja Gloria'!$J$24="Español",$X$8,(IF('Pack Vieja Gloria'!$J$24="Deutsch",$Y$8,(IF('Pack Vieja Gloria'!$J$24="Français",$Z$8,$W$8)))))))),(IF('Pack Vieja Gloria'!$J$24="Italiano",$AA$13,(IF('Pack Vieja Gloria'!$J$24="Español",$X$13,(IF('Pack Vieja Gloria'!$J$24="Deutsch",$Y$13,(IF('Pack Vieja Gloria'!$J$24="Français",$Z$13,$W$13)))))))))</f>
        <v>RAZAS REPETIDAS</v>
      </c>
      <c r="M8" s="112"/>
      <c r="N8" s="112"/>
      <c r="V8" s="88"/>
      <c r="W8" s="89" t="s">
        <v>1628</v>
      </c>
      <c r="X8" s="89" t="s">
        <v>1629</v>
      </c>
      <c r="Y8" s="89" t="s">
        <v>1630</v>
      </c>
      <c r="Z8" s="89" t="s">
        <v>1631</v>
      </c>
      <c r="AA8" s="89" t="s">
        <v>1632</v>
      </c>
      <c r="AB8" s="89" t="s">
        <v>1641</v>
      </c>
      <c r="AC8" s="88" t="s">
        <v>1637</v>
      </c>
      <c r="AD8" s="89" t="s">
        <v>1640</v>
      </c>
      <c r="AE8" s="89" t="s">
        <v>1639</v>
      </c>
      <c r="AF8" s="88" t="s">
        <v>1638</v>
      </c>
      <c r="AG8" s="88"/>
      <c r="AH8" s="88"/>
      <c r="AI8" s="88"/>
      <c r="AJ8" s="88"/>
      <c r="AK8" s="88"/>
      <c r="AL8" s="88"/>
      <c r="AM8" s="88"/>
      <c r="AN8" s="88"/>
      <c r="AO8" s="88"/>
      <c r="AP8" s="88"/>
      <c r="AQ8" s="88"/>
      <c r="AR8" s="88"/>
      <c r="AS8" s="88"/>
    </row>
    <row r="9" spans="1:45" ht="22.5" customHeight="1" x14ac:dyDescent="0.2">
      <c r="A9" s="114"/>
      <c r="B9" s="109"/>
      <c r="C9" s="95">
        <v>1</v>
      </c>
      <c r="D9" s="96" t="str">
        <f>IF(('Pack Pro-Player'!J21)=0,"",('Pack Pro-Player'!J21))</f>
        <v/>
      </c>
      <c r="E9" s="96" t="str">
        <f>IF(('Pack Pro-Player'!J22)=0,"",('Pack Pro-Player'!J22))</f>
        <v/>
      </c>
      <c r="F9" s="106" t="s">
        <v>219</v>
      </c>
      <c r="G9" s="96" t="str">
        <f>IF(('Pack Pro-Player'!J23)=0,"",('Pack Pro-Player'!J23))</f>
        <v>Orcos Negros</v>
      </c>
      <c r="H9" s="96" t="s">
        <v>1644</v>
      </c>
      <c r="I9" s="95" t="str">
        <f>IF('Pack Pro-Player'!$D$31="",(IF('Pack Pro-Player'!$J$24="Italiano",$AA$8,(IF('Pack Pro-Player'!$J$24="Español",$X$8,(IF('Pack Pro-Player'!$J$24="Deutsch",$Y$8,(IF('Pack Pro-Player'!$J$24="Français",$Z$8,$W$8)))))))),(IF('Pack Pro-Player'!$J$24="Italiano",$AF$8,(IF('Pack Pro-Player'!$J$24="Español",$AC$8,(IF('Pack Pro-Player'!$J$24="Deutsch",$AD$8,(IF('Pack Pro-Player'!$J$24="Français",$AE$8,$AB$8)))))))))</f>
        <v>¡Hay algún error en el roster!</v>
      </c>
      <c r="J9" s="93"/>
      <c r="K9" s="92" t="str">
        <f>IF('Pack BB2020'!J24="Italiano","Megastar",(IF('Pack BB2020'!J24="Español","Megaestrellas",(IF('Pack BB2020'!J24="Deutsch","Megastars",(IF('Pack BB2020'!J24="Français","Mégastars","Megastars")))))))</f>
        <v>Megaestrellas</v>
      </c>
      <c r="L9" s="94" t="str">
        <f>IF(('Pack BB2020'!AV36+'Pack Protajer'!AV36)&lt;2,(IF('Pack Vieja Gloria'!$J$24="Italiano",$AA$8,(IF('Pack Vieja Gloria'!$J$24="Español",$X$8,(IF('Pack Vieja Gloria'!$J$24="Deutsch",$Y$8,(IF('Pack Vieja Gloria'!$J$24="Français",$Z$8,$W$8)))))))),(IF('Pack Vieja Gloria'!$J$24="Italiano",$AA$14,(IF('Pack Vieja Gloria'!$J$24="Español",$X$14,(IF('Pack Vieja Gloria'!$J$24="Deutsch",$Y$14,(IF('Pack Vieja Gloria'!$J$24="Français",$Z$14,$W$14)))))))))</f>
        <v>¡Todo bien!</v>
      </c>
      <c r="M9" s="112"/>
      <c r="N9" s="112"/>
      <c r="O9" t="str">
        <f>'Pack BB2020'!BO1</f>
        <v>Norse</v>
      </c>
      <c r="P9">
        <f>COUNTIF($O$9:$O$12,O9)</f>
        <v>1</v>
      </c>
      <c r="Q9">
        <f>COUNTIF($D$9:$D$12,D11)</f>
        <v>4</v>
      </c>
      <c r="R9">
        <f>COUNTIF($E$9:$E$12,E11)</f>
        <v>4</v>
      </c>
      <c r="V9" s="88">
        <f>IF('Pack BB2020'!$D$31="",0,1)</f>
        <v>1</v>
      </c>
      <c r="W9" s="89"/>
      <c r="X9" s="89"/>
      <c r="Y9" s="89"/>
      <c r="Z9" s="89"/>
      <c r="AA9" s="89"/>
      <c r="AB9" s="88"/>
      <c r="AC9" s="89"/>
      <c r="AD9" s="88"/>
      <c r="AE9" s="89"/>
      <c r="AF9" s="88"/>
      <c r="AG9" s="88"/>
      <c r="AH9" s="88"/>
      <c r="AI9" s="88"/>
      <c r="AJ9" s="88"/>
      <c r="AK9" s="88"/>
      <c r="AL9" s="88"/>
      <c r="AM9" s="88"/>
      <c r="AN9" s="88"/>
      <c r="AO9" s="88"/>
      <c r="AP9" s="88"/>
      <c r="AQ9" s="88"/>
      <c r="AR9" s="88"/>
      <c r="AS9" s="88"/>
    </row>
    <row r="10" spans="1:45" ht="22.5" customHeight="1" x14ac:dyDescent="0.2">
      <c r="A10" s="114"/>
      <c r="B10" s="109"/>
      <c r="C10" s="95">
        <v>2</v>
      </c>
      <c r="D10" s="96" t="str">
        <f>IF(('Pack Vieja Gloria'!J21)=0,"",('Pack Vieja Gloria'!J21))</f>
        <v/>
      </c>
      <c r="E10" s="96" t="str">
        <f>IF(('Pack Vieja Gloria'!J22)=0,"",('Pack Vieja Gloria'!J22))</f>
        <v/>
      </c>
      <c r="F10" s="106" t="s">
        <v>165</v>
      </c>
      <c r="G10" s="96" t="str">
        <f>IF(('Pack Vieja Gloria'!J23)=0,"",('Pack Vieja Gloria'!J23))</f>
        <v>Alianza del Viejo Mundo</v>
      </c>
      <c r="H10" s="96" t="s">
        <v>1645</v>
      </c>
      <c r="I10" s="95" t="str">
        <f>IF('Pack Vieja Gloria'!$D$31="",(IF('Pack Vieja Gloria'!$J$24="Italiano",$AA$8,(IF('Pack Vieja Gloria'!$J$24="Español",$X$8,(IF('Pack Vieja Gloria'!$J$24="Deutsch",$Y$8,(IF('Pack Vieja Gloria'!$J$24="Français",$Z$8,$W$8)))))))),(IF('Pack Vieja Gloria'!$J$24="Italiano",$AF$8,(IF('Pack Vieja Gloria'!$J$24="Español",$AC$8,(IF('Pack Vieja Gloria'!$J$24="Deutsch",$AD$8,(IF('Pack Vieja Gloria'!$J$24="Français",$AE$8,$AB$8)))))))))</f>
        <v>¡Hay algún error en el roster!</v>
      </c>
      <c r="J10" s="93"/>
      <c r="K10" s="92" t="str">
        <f>IF('Pack BB2020'!J24="Italiano","Reroll della Confederazione per razza",(IF('Pack BB2020'!J24="Español","Reroll de Confederación por raza",(IF('Pack BB2020'!J24="Deutsch","Konföderation Wiederholung nach Ethnie",(IF('Pack BB2020'!J24="Français","Confédération Reroll par race","Confederation Reroll by race")))))))</f>
        <v>Reroll de Confederación por raza</v>
      </c>
      <c r="L10" s="96" t="str">
        <f>IF(I21=1,(IF('Pack BB2020'!$J$24="Italiano",AA12,(IF('Pack BB2020'!$J$24="Español",X12,(IF('Pack BB2020'!$J$24="Deutsch",Y12,(IF('Pack BB2020'!$J$24="Français",Z12,W12)))))))),(IF('Pack BB2020'!$J$24="Italiano",AA11,(IF('Pack BB2020'!$J$24="Español",X11,(IF('Pack BB2020'!$J$24="Deutsch",Y11,(IF('Pack BB2020'!$J$24="Français",Z11,W11)))))))))</f>
        <v>NO</v>
      </c>
      <c r="M10" s="112"/>
      <c r="N10" s="112"/>
      <c r="O10" t="str">
        <f>'Pack Pro-Player'!BO1</f>
        <v>Black Orc</v>
      </c>
      <c r="P10">
        <f>COUNTIF($O$9:$O$12,O10)</f>
        <v>1</v>
      </c>
      <c r="Q10">
        <f>COUNTIF($D$9:$D$12,D9)</f>
        <v>4</v>
      </c>
      <c r="R10">
        <f>COUNTIF($E$9:$E$12,E9)</f>
        <v>4</v>
      </c>
      <c r="V10" s="88">
        <f>IF('Pack Pro-Player'!$D$31="",0,1)</f>
        <v>1</v>
      </c>
      <c r="W10" s="89"/>
      <c r="X10" s="89"/>
      <c r="Y10" s="89"/>
      <c r="Z10" s="89"/>
      <c r="AA10" s="89"/>
      <c r="AB10" s="88"/>
      <c r="AC10" s="89"/>
      <c r="AD10" s="88"/>
      <c r="AE10" s="89"/>
      <c r="AF10" s="88"/>
      <c r="AG10" s="88"/>
      <c r="AH10" s="88"/>
      <c r="AI10" s="88"/>
      <c r="AJ10" s="88"/>
      <c r="AK10" s="88"/>
      <c r="AL10" s="88"/>
      <c r="AM10" s="88"/>
      <c r="AN10" s="88"/>
      <c r="AO10" s="88"/>
      <c r="AP10" s="88"/>
      <c r="AQ10" s="88"/>
      <c r="AR10" s="88"/>
      <c r="AS10" s="88"/>
    </row>
    <row r="11" spans="1:45" ht="22.5" customHeight="1" x14ac:dyDescent="0.2">
      <c r="A11" s="114"/>
      <c r="B11" s="109"/>
      <c r="C11" s="95">
        <v>3</v>
      </c>
      <c r="D11" s="96" t="str">
        <f>IF(('Pack BB2020'!J21)=0,"",('Pack BB2020'!J21))</f>
        <v/>
      </c>
      <c r="E11" s="96" t="str">
        <f>IF(('Pack BB2020'!J22)=0,"",('Pack BB2020'!J22))</f>
        <v/>
      </c>
      <c r="F11" s="106" t="s">
        <v>165</v>
      </c>
      <c r="G11" s="96" t="str">
        <f>IF(('Pack BB2020'!J23)=0,"",('Pack BB2020'!J23))</f>
        <v>Nórdicos</v>
      </c>
      <c r="H11" s="96" t="s">
        <v>1642</v>
      </c>
      <c r="I11" s="95" t="str">
        <f>IF('Pack BB2020'!$D$31="",(IF('Pack BB2020'!$J$24="Italiano",$AA$8,(IF('Pack BB2020'!$J$24="Español",$X$8,(IF('Pack BB2020'!$J$24="Deutsch",$Y$8,(IF('Pack BB2020'!$J$24="Français",$Z$8,$W$8)))))))),(IF('Pack BB2020'!$J$24="Italiano",$AF$8,(IF('Pack BB2020'!$J$24="Español",$AC$8,(IF('Pack BB2020'!$J$24="Deutsch",$AD$8,(IF('Pack BB2020'!$J$24="Français",$AE$8,$AB$8)))))))))</f>
        <v>¡Hay algún error en el roster!</v>
      </c>
      <c r="J11" s="93"/>
      <c r="K11" s="92" t="str">
        <f>IF('Pack BB2020'!J24="Italiano","Confederazione Stunty Reroll e corruzione",(IF('Pack BB2020'!J24="Español","Reroll y Soborno de Confederación Stunty",(IF('Pack BB2020'!J24="Deutsch","Confederation Stunty Reroll und Bestechung",(IF('Pack BB2020'!J24="Français","Confédération Stunty Reroll et corruption","Confederation Stunty Reroll and Bribe")))))))</f>
        <v>Reroll y Soborno de Confederación Stunty</v>
      </c>
      <c r="L11" s="96" t="str">
        <f>IF(I22=1,(IF('Pack BB2020'!$J$24="Italiano",AA12,(IF('Pack BB2020'!$J$24="Español",X12,(IF('Pack BB2020'!$J$24="Deutsch",Y12,(IF('Pack BB2020'!$J$24="Français",Z12,W12)))))))),(IF('Pack BB2020'!$J$24="Italiano",AA11,(IF('Pack BB2020'!$J$24="Español",X11,(IF('Pack BB2020'!$J$24="Deutsch",Y11,(IF('Pack BB2020'!$J$24="Français",Z11,W11)))))))))</f>
        <v>NO</v>
      </c>
      <c r="M11" s="112"/>
      <c r="N11" s="112"/>
      <c r="O11" t="str">
        <f>'Pack Vieja Gloria'!BO1</f>
        <v>Old World Alliance</v>
      </c>
      <c r="P11">
        <f>COUNTIF($O$9:$O$12,O11)</f>
        <v>2</v>
      </c>
      <c r="Q11">
        <f>COUNTIF($D$9:$D$12,D10)</f>
        <v>4</v>
      </c>
      <c r="R11">
        <f>COUNTIF($E$9:$E$12,E10)</f>
        <v>4</v>
      </c>
      <c r="U11" s="11" t="str">
        <f>IF('Pack BB2020'!$J$24="Italiano",AA11,(IF('Pack BB2020'!$J$24="Español",X11,(IF('Pack BB2020'!$J$24="Deutsch",Y11,(IF('Pack BB2020'!$J$24="Français",Z11,W11)))))))</f>
        <v>NO</v>
      </c>
      <c r="V11" s="88">
        <f>IF('Pack Vieja Gloria'!$D$31="",0,1)</f>
        <v>1</v>
      </c>
      <c r="W11" s="89" t="s">
        <v>165</v>
      </c>
      <c r="X11" s="89" t="s">
        <v>165</v>
      </c>
      <c r="Y11" s="89" t="s">
        <v>165</v>
      </c>
      <c r="Z11" s="89" t="s">
        <v>1660</v>
      </c>
      <c r="AA11" s="89" t="s">
        <v>165</v>
      </c>
      <c r="AB11" s="88"/>
      <c r="AC11" s="88"/>
      <c r="AD11" s="88"/>
      <c r="AE11" s="89"/>
      <c r="AF11" s="88"/>
      <c r="AG11" s="88"/>
      <c r="AH11" s="88"/>
      <c r="AI11" s="88"/>
      <c r="AJ11" s="88"/>
      <c r="AK11" s="88"/>
      <c r="AL11" s="88"/>
      <c r="AM11" s="88"/>
      <c r="AN11" s="88"/>
      <c r="AO11" s="88"/>
      <c r="AP11" s="88"/>
      <c r="AQ11" s="88"/>
      <c r="AR11" s="88"/>
      <c r="AS11" s="88"/>
    </row>
    <row r="12" spans="1:45" ht="22.5" customHeight="1" x14ac:dyDescent="0.2">
      <c r="A12" s="114"/>
      <c r="B12" s="109"/>
      <c r="C12" s="95">
        <v>4</v>
      </c>
      <c r="D12" s="96" t="str">
        <f>IF(('Pack Protajer'!J21)=0,"",('Pack Protajer'!J21))</f>
        <v/>
      </c>
      <c r="E12" s="96" t="str">
        <f>IF(('Pack Protajer'!J22)=0,"",('Pack Protajer'!J22))</f>
        <v/>
      </c>
      <c r="F12" s="106" t="s">
        <v>165</v>
      </c>
      <c r="G12" s="96" t="str">
        <f>IF(('Pack Protajer'!J23)=0,"",('Pack Protajer'!J23))</f>
        <v>Alianza del Viejo Mundo</v>
      </c>
      <c r="H12" s="96" t="s">
        <v>1646</v>
      </c>
      <c r="I12" s="95" t="str">
        <f>IF('Pack Protajer'!$D$31="",(IF('Pack Protajer'!$J$24="Italiano",$AA$8,(IF('Pack Protajer'!$J$24="Español",$X$8,(IF('Pack Protajer'!$J$24="Deutsch",$Y$8,(IF('Pack Protajer'!$J$24="Français",$Z$8,$W$8)))))))),(IF('Pack Protajer'!$J$24="Italiano",$AF$8,(IF('Pack Protajer'!$J$24="Español",$AC$8,(IF('Pack Protajer'!$J$24="Deutsch",$AD$8,(IF('Pack Protajer'!$J$24="Français",$AE$8,$AB$8)))))))))</f>
        <v>¡Hay algún error en el roster!</v>
      </c>
      <c r="J12" s="93"/>
      <c r="K12" s="92" t="str">
        <f>IF('Pack BB2020'!J24="Italiano","Reroll per il 20° anniversario",(IF('Pack BB2020'!J24="Español","Reroll de 20º Aniversario",(IF('Pack BB2020'!J24="Deutsch","Wiederholung zum 20. Jahrestag",(IF('Pack BB2020'!J24="Français","Lancement de la campagne du 20e anniversaire","20th Anniversary Reroll")))))))</f>
        <v>Reroll de 20º Aniversario</v>
      </c>
      <c r="L12" s="96" t="str">
        <f>IF('Pack BB2020'!$J$24="Italiano",AA12,(IF('Pack BB2020'!$J$24="Español",X12,(IF('Pack BB2020'!$J$24="Deutsch",Y12,(IF('Pack BB2020'!$J$24="Français",Z12,W12)))))))</f>
        <v>SÍ</v>
      </c>
      <c r="M12" s="112"/>
      <c r="N12" s="112"/>
      <c r="O12" t="str">
        <f>'Pack Protajer'!BO1</f>
        <v>Old World Alliance</v>
      </c>
      <c r="P12">
        <f>COUNTIF($O$9:$O$12,O12)</f>
        <v>2</v>
      </c>
      <c r="Q12">
        <f>COUNTIF($D$9:$D$12,D12)</f>
        <v>4</v>
      </c>
      <c r="R12">
        <f>COUNTIF($E$9:$E$12,E12)</f>
        <v>4</v>
      </c>
      <c r="U12" s="88" t="str">
        <f>IF('Pack BB2020'!$J$24="Italiano",AA12,(IF('Pack BB2020'!$J$24="Español",X12,(IF('Pack BB2020'!$J$24="Deutsch",Y12,(IF('Pack BB2020'!$J$24="Français",Z12,W12)))))))</f>
        <v>SÍ</v>
      </c>
      <c r="V12" s="88">
        <f>IF('Pack Protajer'!$D$31="",0,1)</f>
        <v>1</v>
      </c>
      <c r="W12" s="89" t="s">
        <v>1656</v>
      </c>
      <c r="X12" s="89" t="s">
        <v>219</v>
      </c>
      <c r="Y12" s="89" t="s">
        <v>1658</v>
      </c>
      <c r="Z12" s="89" t="s">
        <v>1659</v>
      </c>
      <c r="AA12" s="89" t="s">
        <v>1657</v>
      </c>
      <c r="AB12" s="88"/>
      <c r="AC12" s="88"/>
      <c r="AD12" s="88"/>
      <c r="AE12" s="89"/>
      <c r="AF12" s="88"/>
      <c r="AG12" s="88"/>
      <c r="AH12" s="88"/>
      <c r="AI12" s="88"/>
      <c r="AJ12" s="88"/>
      <c r="AK12" s="88"/>
      <c r="AL12" s="88"/>
      <c r="AM12" s="88"/>
      <c r="AN12" s="88"/>
      <c r="AO12" s="88"/>
      <c r="AP12" s="88"/>
      <c r="AQ12" s="88"/>
      <c r="AR12" s="88"/>
      <c r="AS12" s="88"/>
    </row>
    <row r="13" spans="1:45" ht="22.5" hidden="1" customHeight="1" x14ac:dyDescent="0.2">
      <c r="A13" s="114"/>
      <c r="B13" s="109"/>
      <c r="C13" s="97" t="str">
        <f>IF(I22=1,(IF('Pack BB2020'!$J$24="Italiano",AA13,(IF('Pack BB2020'!$J$24="Español",X13,(IF('Pack BB2020'!$J$24="Deutsch",Y13,(IF('Pack BB2020'!$J$24="Français",Z13,W13)))))))),"")</f>
        <v/>
      </c>
      <c r="D13" s="97"/>
      <c r="E13" s="97"/>
      <c r="F13" s="97"/>
      <c r="G13" s="97"/>
      <c r="H13" s="97"/>
      <c r="I13" s="97"/>
      <c r="J13" s="97"/>
      <c r="K13" s="97"/>
      <c r="L13" s="97"/>
      <c r="M13" s="112"/>
      <c r="N13" s="112"/>
      <c r="P13">
        <f>SUM(P9:P12)</f>
        <v>6</v>
      </c>
      <c r="Q13">
        <f>SUM(Q9:Q12)</f>
        <v>16</v>
      </c>
      <c r="R13">
        <f>SUM(R9:R12)</f>
        <v>16</v>
      </c>
      <c r="V13" s="88"/>
      <c r="W13" s="89" t="s">
        <v>1668</v>
      </c>
      <c r="X13" s="89" t="s">
        <v>1669</v>
      </c>
      <c r="Y13" s="89" t="s">
        <v>1670</v>
      </c>
      <c r="Z13" s="89" t="s">
        <v>1671</v>
      </c>
      <c r="AA13" s="89" t="s">
        <v>1672</v>
      </c>
      <c r="AB13" s="88"/>
      <c r="AC13" s="88"/>
      <c r="AD13" s="88"/>
      <c r="AE13" s="89"/>
      <c r="AF13" s="88"/>
      <c r="AG13" s="88"/>
      <c r="AH13" s="88"/>
      <c r="AI13" s="88"/>
      <c r="AJ13" s="88"/>
      <c r="AK13" s="88"/>
      <c r="AL13" s="88"/>
      <c r="AM13" s="88"/>
      <c r="AN13" s="88"/>
      <c r="AO13" s="88"/>
      <c r="AP13" s="88"/>
      <c r="AQ13" s="88"/>
      <c r="AR13" s="88"/>
      <c r="AS13" s="88"/>
    </row>
    <row r="14" spans="1:45" ht="30" hidden="1" customHeight="1" x14ac:dyDescent="0.2">
      <c r="A14" s="114"/>
      <c r="B14" s="109"/>
      <c r="C14" s="107"/>
      <c r="D14" s="107"/>
      <c r="E14" s="107"/>
      <c r="F14" s="107"/>
      <c r="G14" s="107"/>
      <c r="H14" s="107"/>
      <c r="I14" s="107"/>
      <c r="J14" s="107"/>
      <c r="K14" s="91"/>
      <c r="L14" s="107"/>
      <c r="M14" s="112"/>
      <c r="N14" s="112"/>
      <c r="V14" s="88"/>
      <c r="W14" s="89" t="s">
        <v>1651</v>
      </c>
      <c r="X14" s="89" t="s">
        <v>1655</v>
      </c>
      <c r="Y14" s="89" t="s">
        <v>1652</v>
      </c>
      <c r="Z14" s="89" t="s">
        <v>1653</v>
      </c>
      <c r="AA14" s="89" t="s">
        <v>1654</v>
      </c>
      <c r="AB14" s="88"/>
      <c r="AC14" s="88"/>
      <c r="AD14" s="88"/>
      <c r="AE14" s="89"/>
      <c r="AF14" s="88"/>
      <c r="AG14" s="88"/>
      <c r="AH14" s="88"/>
      <c r="AI14" s="88"/>
      <c r="AJ14" s="88"/>
      <c r="AK14" s="88"/>
      <c r="AL14" s="88"/>
      <c r="AM14" s="88"/>
      <c r="AN14" s="88"/>
      <c r="AO14" s="88"/>
      <c r="AP14" s="88"/>
      <c r="AQ14" s="88"/>
      <c r="AR14" s="88"/>
      <c r="AS14" s="88"/>
    </row>
    <row r="15" spans="1:45" ht="15" customHeight="1" x14ac:dyDescent="0.2">
      <c r="A15" s="114"/>
      <c r="B15" s="110"/>
      <c r="C15" s="111"/>
      <c r="D15" s="111"/>
      <c r="E15" s="111"/>
      <c r="F15" s="111"/>
      <c r="G15" s="111"/>
      <c r="H15" s="111"/>
      <c r="I15" s="111"/>
      <c r="J15" s="111"/>
      <c r="K15" s="111"/>
      <c r="L15" s="111"/>
      <c r="M15" s="113"/>
      <c r="N15" s="112"/>
      <c r="V15" s="88"/>
      <c r="AB15" s="88"/>
      <c r="AC15" s="88"/>
      <c r="AD15" s="88"/>
      <c r="AE15" s="88"/>
      <c r="AF15" s="88"/>
      <c r="AG15" s="88"/>
      <c r="AH15" s="88"/>
      <c r="AI15" s="88"/>
      <c r="AJ15" s="88"/>
      <c r="AK15" s="88"/>
      <c r="AL15" s="88"/>
      <c r="AM15" s="88"/>
      <c r="AN15" s="88"/>
      <c r="AO15" s="88"/>
      <c r="AP15" s="88"/>
      <c r="AQ15" s="88"/>
      <c r="AR15" s="88"/>
      <c r="AS15" s="88"/>
    </row>
    <row r="16" spans="1:45" ht="15" customHeight="1" x14ac:dyDescent="0.2">
      <c r="A16" s="114"/>
      <c r="B16" s="115" t="str">
        <f>IF('Pack BB2020'!$J$24="Italiano","Comment utiliser cet Excel",(IF('Pack BB2020'!$J$24="Español","Cómo usar este Excel",(IF('Pack BB2020'!$J$24="Deutsch","Wie Sie dieses Excel verwenden",(IF('Pack BB2020'!$J$24="Français","Comment utiliser cet Excel","How to use this Excel")))))))</f>
        <v>Cómo usar este Excel</v>
      </c>
      <c r="C16" s="115"/>
      <c r="D16" s="115"/>
      <c r="E16" s="115"/>
      <c r="F16" s="115"/>
      <c r="G16" s="115"/>
      <c r="H16" s="115"/>
      <c r="I16" s="115"/>
      <c r="J16" s="115"/>
      <c r="K16" s="115"/>
      <c r="L16" s="115"/>
      <c r="M16" s="115"/>
      <c r="N16" s="112"/>
      <c r="O16" s="88"/>
      <c r="P16" s="88"/>
      <c r="Q16" s="88"/>
      <c r="R16" s="88"/>
      <c r="S16" s="88"/>
      <c r="T16" s="88"/>
      <c r="U16" s="88"/>
      <c r="V16" s="88"/>
      <c r="W16" s="98" t="s">
        <v>4</v>
      </c>
      <c r="X16" s="99" t="s">
        <v>5</v>
      </c>
      <c r="Y16" s="100" t="s">
        <v>6</v>
      </c>
      <c r="Z16" s="100" t="s">
        <v>7</v>
      </c>
      <c r="AA16" s="100" t="s">
        <v>8</v>
      </c>
      <c r="AB16" s="88"/>
      <c r="AC16" s="88"/>
      <c r="AD16" s="88"/>
      <c r="AE16" s="88"/>
      <c r="AF16" s="88"/>
      <c r="AG16" s="88"/>
      <c r="AH16" s="88"/>
      <c r="AI16" s="88"/>
      <c r="AJ16" s="88"/>
      <c r="AK16" s="88"/>
      <c r="AL16" s="88"/>
      <c r="AM16" s="88"/>
      <c r="AN16" s="88"/>
      <c r="AO16" s="88"/>
      <c r="AP16" s="88"/>
      <c r="AQ16" s="88"/>
      <c r="AR16" s="88"/>
      <c r="AS16" s="88"/>
    </row>
    <row r="17" spans="1:45" ht="15" customHeight="1" x14ac:dyDescent="0.2">
      <c r="A17" s="114"/>
      <c r="B17" s="116" t="str">
        <f>IF('Pack BB2020'!$J$24="Italiano",AA17,(IF('Pack BB2020'!$J$24="Español",X17,(IF('Pack BB2020'!$J$24="Deutsch",Y17,(IF('Pack BB2020'!$J$24="Français",Z17,W17)))))))</f>
        <v>PARA IMPRIMIR: Selecciona las celdas que quieres imprimir y en opciones de Imprimir elige la opción imprimir celdas seleccionadas.</v>
      </c>
      <c r="C17" s="116"/>
      <c r="D17" s="116"/>
      <c r="E17" s="116"/>
      <c r="F17" s="116"/>
      <c r="G17" s="116"/>
      <c r="H17" s="116"/>
      <c r="I17" s="116"/>
      <c r="J17" s="116"/>
      <c r="K17" s="116"/>
      <c r="L17" s="116"/>
      <c r="M17" s="116"/>
      <c r="N17" s="112"/>
      <c r="O17" s="88"/>
      <c r="P17" s="88"/>
      <c r="Q17" s="88"/>
      <c r="R17" s="88"/>
      <c r="S17" s="88"/>
      <c r="T17" s="88"/>
      <c r="U17" s="88"/>
      <c r="V17" s="88"/>
      <c r="W17" s="89" t="s">
        <v>1042</v>
      </c>
      <c r="X17" s="89" t="s">
        <v>1043</v>
      </c>
      <c r="Y17" s="87" t="s">
        <v>1044</v>
      </c>
      <c r="Z17" s="87" t="s">
        <v>1045</v>
      </c>
      <c r="AA17" s="89" t="s">
        <v>1046</v>
      </c>
      <c r="AB17" s="88"/>
      <c r="AC17" s="88"/>
      <c r="AD17" s="88"/>
      <c r="AE17" s="88"/>
      <c r="AF17" s="88"/>
      <c r="AG17" s="88"/>
      <c r="AH17" s="88"/>
      <c r="AI17" s="88"/>
      <c r="AJ17" s="88"/>
      <c r="AK17" s="88"/>
      <c r="AL17" s="88"/>
      <c r="AM17" s="88"/>
      <c r="AN17" s="88"/>
      <c r="AO17" s="88"/>
      <c r="AP17" s="88"/>
      <c r="AQ17" s="88"/>
      <c r="AR17" s="88"/>
      <c r="AS17" s="88"/>
    </row>
    <row r="18" spans="1:45" ht="15" customHeight="1" x14ac:dyDescent="0.2">
      <c r="A18" s="114"/>
      <c r="B18" s="116" t="str">
        <f>IF('Pack BB2020'!$J$24="Italiano",AA18,(IF('Pack BB2020'!$J$24="Español",X18,(IF('Pack BB2020'!$J$24="Deutsch",Y18,(IF('Pack BB2020'!$J$24="Français",Z18,W18)))))))</f>
        <v>En cada pestaña se tienen en cuenta las reglas de cada pack del torneo. El propio excel indicará si se excede o no de las habilidades o el TV permitido.</v>
      </c>
      <c r="C18" s="116"/>
      <c r="D18" s="116"/>
      <c r="E18" s="116"/>
      <c r="F18" s="116"/>
      <c r="G18" s="116"/>
      <c r="H18" s="116"/>
      <c r="I18" s="116"/>
      <c r="J18" s="116"/>
      <c r="K18" s="116"/>
      <c r="L18" s="116"/>
      <c r="M18" s="116"/>
      <c r="N18" s="112"/>
      <c r="O18" s="88"/>
      <c r="P18" s="88"/>
      <c r="Q18" s="88"/>
      <c r="R18" s="88"/>
      <c r="S18" s="88"/>
      <c r="T18" s="88"/>
      <c r="U18" s="88"/>
      <c r="V18" s="88"/>
      <c r="W18" s="89" t="s">
        <v>1619</v>
      </c>
      <c r="X18" s="89" t="s">
        <v>1620</v>
      </c>
      <c r="Y18" s="89" t="s">
        <v>1621</v>
      </c>
      <c r="Z18" s="89" t="s">
        <v>1622</v>
      </c>
      <c r="AA18" s="89" t="s">
        <v>1623</v>
      </c>
      <c r="AB18" s="88"/>
      <c r="AC18" s="88"/>
      <c r="AD18" s="88"/>
      <c r="AE18" s="88"/>
      <c r="AF18" s="88"/>
      <c r="AG18" s="88"/>
      <c r="AH18" s="88"/>
      <c r="AI18" s="88"/>
      <c r="AJ18" s="88"/>
      <c r="AK18" s="88"/>
      <c r="AL18" s="88"/>
      <c r="AM18" s="88"/>
      <c r="AN18" s="88"/>
      <c r="AO18" s="88"/>
      <c r="AP18" s="88"/>
      <c r="AQ18" s="88"/>
      <c r="AR18" s="88"/>
      <c r="AS18" s="88"/>
    </row>
    <row r="19" spans="1:45" ht="15" customHeight="1" x14ac:dyDescent="0.2">
      <c r="A19" s="114"/>
      <c r="B19" s="116" t="str">
        <f>IF('Pack BB2020'!$J$24="Italiano",AA19,(IF('Pack BB2020'!$J$24="Español",X19,(IF('Pack BB2020'!$J$24="Deutsch",Y19,(IF('Pack BB2020'!$J$24="Français",Z19,W19)))))))</f>
        <v>El excel puede tener limitaciones a la hora de revisar si se han cambiado secundarias por primarias y el jugador debe revisar y asegurarse que no incumple las reglas de cada pack.</v>
      </c>
      <c r="C19" s="116"/>
      <c r="D19" s="116"/>
      <c r="E19" s="116"/>
      <c r="F19" s="116"/>
      <c r="G19" s="116"/>
      <c r="H19" s="116"/>
      <c r="I19" s="116"/>
      <c r="J19" s="116"/>
      <c r="K19" s="116"/>
      <c r="L19" s="116"/>
      <c r="M19" s="116"/>
      <c r="N19" s="112"/>
      <c r="O19" s="88"/>
      <c r="P19" s="88"/>
      <c r="Q19" s="88"/>
      <c r="R19" s="88"/>
      <c r="S19" s="88"/>
      <c r="T19" s="88"/>
      <c r="U19" s="88"/>
      <c r="V19" s="88"/>
      <c r="W19" s="89" t="s">
        <v>1675</v>
      </c>
      <c r="X19" s="89" t="s">
        <v>1676</v>
      </c>
      <c r="Y19" s="88" t="s">
        <v>1624</v>
      </c>
      <c r="Z19" s="88" t="s">
        <v>1625</v>
      </c>
      <c r="AA19" s="89" t="s">
        <v>1626</v>
      </c>
      <c r="AB19" s="88"/>
      <c r="AC19" s="88"/>
      <c r="AD19" s="88"/>
      <c r="AE19" s="88"/>
      <c r="AF19" s="88"/>
      <c r="AG19" s="88"/>
      <c r="AH19" s="88"/>
      <c r="AI19" s="88"/>
      <c r="AJ19" s="88"/>
      <c r="AK19" s="88"/>
      <c r="AL19" s="88"/>
      <c r="AM19" s="88"/>
      <c r="AN19" s="88"/>
      <c r="AO19" s="88"/>
      <c r="AP19" s="88"/>
      <c r="AQ19" s="88"/>
      <c r="AR19" s="88"/>
      <c r="AS19" s="88"/>
    </row>
    <row r="20" spans="1:45" ht="15" customHeight="1" x14ac:dyDescent="0.2">
      <c r="A20" s="114"/>
      <c r="B20" s="108"/>
      <c r="C20" s="108"/>
      <c r="D20" s="108"/>
      <c r="E20" s="108"/>
      <c r="F20" s="108"/>
      <c r="G20" s="108"/>
      <c r="H20" s="108"/>
      <c r="I20" s="108"/>
      <c r="J20" s="108"/>
      <c r="K20" s="108"/>
      <c r="L20" s="108"/>
      <c r="M20" s="108"/>
      <c r="N20" s="112"/>
      <c r="O20" s="88"/>
      <c r="P20" s="88"/>
      <c r="Q20" s="88"/>
      <c r="R20" s="88"/>
      <c r="S20" s="88"/>
      <c r="T20" s="88"/>
      <c r="U20" s="88"/>
      <c r="V20" s="88"/>
      <c r="W20" s="88"/>
      <c r="X20" s="88"/>
      <c r="Y20" s="88"/>
      <c r="Z20" s="88"/>
      <c r="AA20" s="89"/>
      <c r="AB20" s="88"/>
      <c r="AC20" s="88"/>
      <c r="AD20" s="88"/>
      <c r="AE20" s="88"/>
      <c r="AF20" s="88"/>
      <c r="AG20" s="88"/>
      <c r="AH20" s="88"/>
      <c r="AI20" s="88"/>
      <c r="AJ20" s="88"/>
      <c r="AK20" s="88"/>
      <c r="AL20" s="88"/>
      <c r="AM20" s="88"/>
      <c r="AN20" s="88"/>
      <c r="AO20" s="88"/>
      <c r="AP20" s="88"/>
      <c r="AQ20" s="88"/>
      <c r="AR20" s="88"/>
      <c r="AS20" s="88"/>
    </row>
    <row r="21" spans="1:45" ht="15" hidden="1" customHeight="1" x14ac:dyDescent="0.2">
      <c r="C21" t="str">
        <f>'Pack BB2020'!BO1</f>
        <v>Norse</v>
      </c>
      <c r="D21" t="str">
        <f>'Pack Pro-Player'!BO1</f>
        <v>Black Orc</v>
      </c>
      <c r="F21" t="str">
        <f>'Pack Vieja Gloria'!BO1</f>
        <v>Old World Alliance</v>
      </c>
      <c r="G21" t="str">
        <f>'Pack Protajer'!BO1</f>
        <v>Old World Alliance</v>
      </c>
      <c r="I21" s="11">
        <f>IF(OR(B25=4,E25=4,G25=4,H25=4,K25=4,M25=4,N25=4),1,0)</f>
        <v>0</v>
      </c>
      <c r="J21">
        <f>IF(OR(C21=D21,C21=F21,C21=G21,D21=F21,D21=G21,F21=G21),1,0)</f>
        <v>1</v>
      </c>
    </row>
    <row r="22" spans="1:45" ht="15" hidden="1" customHeight="1" x14ac:dyDescent="0.2">
      <c r="I22" s="11">
        <f>IF(I42=4,1,0)</f>
        <v>0</v>
      </c>
    </row>
    <row r="24" spans="1:45" ht="15" hidden="1" customHeight="1" x14ac:dyDescent="0.2">
      <c r="M24" s="19"/>
    </row>
    <row r="25" spans="1:45" ht="15" hidden="1" customHeight="1" x14ac:dyDescent="0.2">
      <c r="B25" s="101">
        <f>SUM(B26:B30)</f>
        <v>1</v>
      </c>
      <c r="C25" s="101" t="s">
        <v>1661</v>
      </c>
      <c r="D25" s="102" t="s">
        <v>1662</v>
      </c>
      <c r="E25" s="103">
        <f>SUM(E26:E29)</f>
        <v>0</v>
      </c>
      <c r="F25" s="102" t="s">
        <v>1663</v>
      </c>
      <c r="G25" s="103">
        <f>SUM(G26:G29)</f>
        <v>0</v>
      </c>
      <c r="H25" s="101">
        <f>SUM(H26:H33)</f>
        <v>3</v>
      </c>
      <c r="I25" s="101" t="s">
        <v>1664</v>
      </c>
      <c r="J25" s="102" t="s">
        <v>1666</v>
      </c>
      <c r="K25" s="103">
        <f>SUM(K26:K29)</f>
        <v>0</v>
      </c>
      <c r="L25" s="102" t="s">
        <v>1665</v>
      </c>
      <c r="M25" s="103">
        <f>SUM(M26:M29)</f>
        <v>0</v>
      </c>
      <c r="N25" s="101">
        <f>SUM(N26:N29)</f>
        <v>0</v>
      </c>
      <c r="O25" s="101" t="s">
        <v>1667</v>
      </c>
      <c r="P25" s="101"/>
      <c r="Q25" s="101"/>
      <c r="R25" s="101"/>
      <c r="S25" s="101"/>
      <c r="T25" s="101"/>
    </row>
    <row r="26" spans="1:45" ht="15" hidden="1" customHeight="1" x14ac:dyDescent="0.2">
      <c r="B26">
        <f>(IF(C26=$C$21,1,0))+(IF(C26=$D$21,1,0))+(IF(C26=$F$21,1,0))+(IF(C26=$G$21,1,0))</f>
        <v>1</v>
      </c>
      <c r="C26" t="s">
        <v>22</v>
      </c>
      <c r="D26" s="104" t="s">
        <v>46</v>
      </c>
      <c r="E26" s="19">
        <f>(IF(D26=$C$21,1,0))+(IF(D26=$D$21,1,0))+(IF(D26=$F$21,1,0))+(IF(D26=$G$21,1,0))</f>
        <v>0</v>
      </c>
      <c r="F26" s="104" t="s">
        <v>20</v>
      </c>
      <c r="G26" s="19">
        <f>(IF(F26=$C$21,1,0))+(IF(F26=$D$21,1,0))+(IF(F26=$F$21,1,0))+(IF(F26=$G$21,1,0))</f>
        <v>0</v>
      </c>
      <c r="H26">
        <f>(IF(I26=$C$21,1,0))+(IF(I26=$D$21,1,0))+(IF(I26=$F$21,1,0))+(IF(I26=$G$21,1,0))</f>
        <v>0</v>
      </c>
      <c r="I26" t="s">
        <v>52</v>
      </c>
      <c r="J26" s="104" t="s">
        <v>96</v>
      </c>
      <c r="K26" s="19">
        <f>(IF(J26=$C$21,1,0))+(IF(J26=$D$21,1,0))+(IF(J26=$F$21,1,0))+(IF(J26=$G$21,1,0))</f>
        <v>0</v>
      </c>
      <c r="L26" s="104" t="s">
        <v>62</v>
      </c>
      <c r="M26" s="19">
        <f>(IF(L26=$C$21,1,0))+(IF(L26=$D$21,1,0))+(IF(L26=$F$21,1,0))+(IF(L26=$G$21,1,0))</f>
        <v>0</v>
      </c>
      <c r="N26">
        <f>(IF(O26=$C$21,1,0))+(IF(O26=$D$21,1,0))+(IF(O26=$F$21,1,0))+(IF(O26=$G$21,1,0))</f>
        <v>0</v>
      </c>
      <c r="O26" t="s">
        <v>29</v>
      </c>
    </row>
    <row r="27" spans="1:45" ht="15" hidden="1" customHeight="1" x14ac:dyDescent="0.2">
      <c r="B27">
        <f>(IF(C27=$C$21,1,0))+(IF(C27=$D$21,1,0))+(IF(C27=$F$21,1,0))+(IF(C27=$G$21,1,0))</f>
        <v>0</v>
      </c>
      <c r="C27" t="s">
        <v>35</v>
      </c>
      <c r="D27" s="104" t="s">
        <v>72</v>
      </c>
      <c r="E27" s="19">
        <f t="shared" ref="E27:E29" si="0">(IF(D27=$C$21,1,0))+(IF(D27=$D$21,1,0))+(IF(D27=$F$21,1,0))+(IF(D27=$G$21,1,0))</f>
        <v>0</v>
      </c>
      <c r="F27" s="104" t="s">
        <v>92</v>
      </c>
      <c r="G27" s="19">
        <f t="shared" ref="G27:G29" si="1">(IF(F27=$C$21,1,0))+(IF(F27=$D$21,1,0))+(IF(F27=$F$21,1,0))+(IF(F27=$G$21,1,0))</f>
        <v>0</v>
      </c>
      <c r="H27">
        <f t="shared" ref="H27:H33" si="2">(IF(I27=$C$21,1,0))+(IF(I27=$D$21,1,0))+(IF(I27=$F$21,1,0))+(IF(I27=$G$21,1,0))</f>
        <v>2</v>
      </c>
      <c r="I27" t="s">
        <v>118</v>
      </c>
      <c r="J27" s="104" t="s">
        <v>128</v>
      </c>
      <c r="K27" s="19">
        <f t="shared" ref="K27:K29" si="3">(IF(J27=$C$21,1,0))+(IF(J27=$D$21,1,0))+(IF(J27=$F$21,1,0))+(IF(J27=$G$21,1,0))</f>
        <v>0</v>
      </c>
      <c r="L27" s="105" t="s">
        <v>144</v>
      </c>
      <c r="M27" s="19">
        <f t="shared" ref="M27:M29" si="4">(IF(L27=$C$21,1,0))+(IF(L27=$D$21,1,0))+(IF(L27=$F$21,1,0))+(IF(L27=$G$21,1,0))</f>
        <v>0</v>
      </c>
      <c r="N27">
        <f t="shared" ref="N27:N29" si="5">(IF(O27=$C$21,1,0))+(IF(O27=$D$21,1,0))+(IF(O27=$F$21,1,0))+(IF(O27=$G$21,1,0))</f>
        <v>0</v>
      </c>
      <c r="O27" t="s">
        <v>41</v>
      </c>
    </row>
    <row r="28" spans="1:45" ht="15" hidden="1" customHeight="1" x14ac:dyDescent="0.2">
      <c r="B28">
        <f>(IF(C28=$C$21,1,0))+(IF(C28=$D$21,1,0))+(IF(C28=$F$21,1,0))+(IF(C28=$G$21,1,0))</f>
        <v>0</v>
      </c>
      <c r="C28" t="s">
        <v>62</v>
      </c>
      <c r="D28" s="104" t="s">
        <v>57</v>
      </c>
      <c r="E28" s="19">
        <f t="shared" si="0"/>
        <v>0</v>
      </c>
      <c r="F28" s="104" t="s">
        <v>134</v>
      </c>
      <c r="G28" s="19">
        <f t="shared" si="1"/>
        <v>0</v>
      </c>
      <c r="H28">
        <f t="shared" si="2"/>
        <v>0</v>
      </c>
      <c r="I28" s="20" t="s">
        <v>67</v>
      </c>
      <c r="J28" s="104" t="s">
        <v>149</v>
      </c>
      <c r="K28" s="19">
        <f t="shared" si="3"/>
        <v>0</v>
      </c>
      <c r="L28" s="104" t="s">
        <v>138</v>
      </c>
      <c r="M28" s="19">
        <f t="shared" si="4"/>
        <v>0</v>
      </c>
      <c r="N28">
        <f t="shared" si="5"/>
        <v>0</v>
      </c>
      <c r="O28" t="s">
        <v>87</v>
      </c>
    </row>
    <row r="29" spans="1:45" ht="15" hidden="1" customHeight="1" x14ac:dyDescent="0.2">
      <c r="B29">
        <f>(IF(C29=$C$21,1,0))+(IF(C29=$D$21,1,0))+(IF(C29=$F$21,1,0))+(IF(C29=$G$21,1,0))</f>
        <v>0</v>
      </c>
      <c r="C29" s="20" t="s">
        <v>110</v>
      </c>
      <c r="D29" s="104" t="s">
        <v>160</v>
      </c>
      <c r="E29" s="19">
        <f t="shared" si="0"/>
        <v>0</v>
      </c>
      <c r="F29" s="104" t="s">
        <v>149</v>
      </c>
      <c r="G29" s="19">
        <f t="shared" si="1"/>
        <v>0</v>
      </c>
      <c r="H29">
        <f t="shared" si="2"/>
        <v>0</v>
      </c>
      <c r="I29" t="s">
        <v>77</v>
      </c>
      <c r="J29" s="104" t="s">
        <v>159</v>
      </c>
      <c r="K29" s="19">
        <f t="shared" si="3"/>
        <v>0</v>
      </c>
      <c r="L29" s="105" t="s">
        <v>154</v>
      </c>
      <c r="M29" s="19">
        <f t="shared" si="4"/>
        <v>0</v>
      </c>
      <c r="N29">
        <f t="shared" si="5"/>
        <v>0</v>
      </c>
      <c r="O29" t="s">
        <v>105</v>
      </c>
    </row>
    <row r="30" spans="1:45" ht="15" hidden="1" customHeight="1" x14ac:dyDescent="0.2">
      <c r="B30">
        <f>(IF(C30=$C$21,1,0))+(IF(C30=$D$21,1,0))+(IF(C30=$F$21,1,0))+(IF(C30=$G$21,1,0))</f>
        <v>0</v>
      </c>
      <c r="C30" t="s">
        <v>123</v>
      </c>
      <c r="H30">
        <f t="shared" si="2"/>
        <v>0</v>
      </c>
      <c r="I30" t="s">
        <v>82</v>
      </c>
    </row>
    <row r="31" spans="1:45" ht="15" hidden="1" customHeight="1" x14ac:dyDescent="0.2">
      <c r="H31">
        <f t="shared" si="2"/>
        <v>0</v>
      </c>
      <c r="I31" t="s">
        <v>110</v>
      </c>
    </row>
    <row r="32" spans="1:45" ht="15" hidden="1" customHeight="1" x14ac:dyDescent="0.2">
      <c r="H32">
        <f t="shared" si="2"/>
        <v>1</v>
      </c>
      <c r="I32" t="s">
        <v>103</v>
      </c>
    </row>
    <row r="33" spans="2:9" ht="15" hidden="1" customHeight="1" x14ac:dyDescent="0.2">
      <c r="H33">
        <f t="shared" si="2"/>
        <v>0</v>
      </c>
      <c r="I33" s="20" t="s">
        <v>1431</v>
      </c>
    </row>
    <row r="35" spans="2:9" ht="15" hidden="1" customHeight="1" x14ac:dyDescent="0.2">
      <c r="C35">
        <f>IF((COUNT(C36:C40))&lt;5,0,1)</f>
        <v>1</v>
      </c>
      <c r="D35">
        <f t="shared" ref="D35:G35" si="6">IF((COUNT(D36:D40))&lt;5,0,1)</f>
        <v>1</v>
      </c>
      <c r="F35">
        <f t="shared" si="6"/>
        <v>1</v>
      </c>
      <c r="G35">
        <f t="shared" si="6"/>
        <v>1</v>
      </c>
    </row>
    <row r="36" spans="2:9" ht="15" hidden="1" customHeight="1" x14ac:dyDescent="0.2">
      <c r="B36" s="20" t="s">
        <v>473</v>
      </c>
      <c r="C36">
        <f>IFERROR((VLOOKUP(B36,'Pack BB2020'!$C$2:$F$17,1,FALSE)),0)</f>
        <v>0</v>
      </c>
      <c r="D36">
        <f>IFERROR((VLOOKUP(B36,'Pack Pro-Player'!$C$2:$F$17,1,FALSE)),0)</f>
        <v>0</v>
      </c>
      <c r="F36">
        <f>IFERROR((VLOOKUP(B36,'Pack Vieja Gloria'!$C$2:$F$17,1,FALSE)),0)</f>
        <v>0</v>
      </c>
      <c r="G36">
        <f>IFERROR((VLOOKUP(B36,'Pack Protajer'!$C$2:$F$17,1,FALSE)),0)</f>
        <v>0</v>
      </c>
    </row>
    <row r="37" spans="2:9" ht="15" hidden="1" customHeight="1" x14ac:dyDescent="0.2">
      <c r="B37" s="20" t="s">
        <v>670</v>
      </c>
      <c r="C37">
        <f>IFERROR((VLOOKUP(B37,'Pack BB2020'!$C$2:$F$17,1,FALSE)),0)</f>
        <v>0</v>
      </c>
      <c r="D37">
        <f>IFERROR((VLOOKUP(B37,'Pack Pro-Player'!$C$2:$F$17,1,FALSE)),0)</f>
        <v>0</v>
      </c>
      <c r="F37">
        <f>IFERROR((VLOOKUP(B37,'Pack Vieja Gloria'!$C$2:$F$17,1,FALSE)),0)</f>
        <v>0</v>
      </c>
      <c r="G37">
        <f>IFERROR((VLOOKUP(B37,'Pack Protajer'!$C$2:$F$17,1,FALSE)),0)</f>
        <v>0</v>
      </c>
    </row>
    <row r="38" spans="2:9" ht="15" hidden="1" customHeight="1" x14ac:dyDescent="0.2">
      <c r="B38" s="20" t="s">
        <v>675</v>
      </c>
      <c r="C38">
        <f>IFERROR((VLOOKUP(B38,'Pack BB2020'!$C$2:$F$17,1,FALSE)),0)</f>
        <v>0</v>
      </c>
      <c r="D38">
        <f>IFERROR((VLOOKUP(B38,'Pack Pro-Player'!$C$2:$F$17,1,FALSE)),0)</f>
        <v>0</v>
      </c>
      <c r="F38">
        <f>IFERROR((VLOOKUP(B38,'Pack Vieja Gloria'!$C$2:$F$17,1,FALSE)),0)</f>
        <v>0</v>
      </c>
      <c r="G38">
        <f>IFERROR((VLOOKUP(B38,'Pack Protajer'!$C$2:$F$17,1,FALSE)),0)</f>
        <v>0</v>
      </c>
    </row>
    <row r="39" spans="2:9" ht="15" hidden="1" customHeight="1" x14ac:dyDescent="0.2">
      <c r="B39" t="s">
        <v>629</v>
      </c>
      <c r="C39">
        <f>IFERROR((VLOOKUP(B39,'Pack BB2020'!$C$2:$F$17,1,FALSE)),0)</f>
        <v>0</v>
      </c>
      <c r="D39">
        <f>IFERROR((VLOOKUP(B39,'Pack Pro-Player'!$C$2:$F$17,1,FALSE)),0)</f>
        <v>0</v>
      </c>
      <c r="F39">
        <f>IFERROR((VLOOKUP(B39,'Pack Vieja Gloria'!$C$2:$F$17,1,FALSE)),0)</f>
        <v>0</v>
      </c>
      <c r="G39">
        <f>IFERROR((VLOOKUP(B39,'Pack Protajer'!$C$2:$F$17,1,FALSE)),0)</f>
        <v>0</v>
      </c>
    </row>
    <row r="40" spans="2:9" ht="15" hidden="1" customHeight="1" x14ac:dyDescent="0.2">
      <c r="B40" s="20" t="s">
        <v>684</v>
      </c>
      <c r="C40">
        <f>IFERROR((VLOOKUP(B40,'Pack BB2020'!$C$2:$F$17,1,FALSE)),0)</f>
        <v>0</v>
      </c>
      <c r="D40">
        <f>IFERROR((VLOOKUP(B40,'Pack Pro-Player'!$C$2:$F$17,1,FALSE)),0)</f>
        <v>0</v>
      </c>
      <c r="F40">
        <f>IFERROR((VLOOKUP(B40,'Pack Vieja Gloria'!$C$2:$F$17,1,FALSE)),0)</f>
        <v>0</v>
      </c>
      <c r="G40">
        <f>IFERROR((VLOOKUP(B40,'Pack Protajer'!$C$2:$F$17,1,FALSE)),0)</f>
        <v>0</v>
      </c>
    </row>
    <row r="42" spans="2:9" ht="15" hidden="1" customHeight="1" x14ac:dyDescent="0.2">
      <c r="C42" s="11">
        <f>IF(OR(C21="Goblin",C21="Ogre",C21="Halfling",C21="Snotling",C21="Gnome",C21="Lizardman",C21="Underworld Denizens"),1,0)</f>
        <v>0</v>
      </c>
      <c r="D42" s="11">
        <f>IF(OR(D21="Goblin",D21="Ogre",D21="Halfling",D21="Snotling",D21="Gnome",D21="Lizardman",D21="Underworld Denizens"),1,0)</f>
        <v>0</v>
      </c>
      <c r="E42" s="11"/>
      <c r="F42" s="11">
        <f>IF(OR(F21="Goblin",F21="Ogre",F21="Halfling",F21="Snotling",F21="Gnome",F21="Lizardman",F21="Underworld Denizens"),1,0)</f>
        <v>0</v>
      </c>
      <c r="G42" s="11">
        <f t="shared" ref="G42" si="7">IF(OR(G21="Goblin",G21="Ogre",G21="Halfling",G21="Snotling",G21="Gnome",G21="Lizardman",G21="Underworld Denizens"),1,0)</f>
        <v>0</v>
      </c>
      <c r="I42">
        <f>SUM(C42:G42)</f>
        <v>0</v>
      </c>
    </row>
    <row r="43" spans="2:9" ht="15" hidden="1" customHeight="1" x14ac:dyDescent="0.2">
      <c r="C43" s="11" t="str">
        <f>IF(AND(C35=1,C42=1),"SI","NO")</f>
        <v>NO</v>
      </c>
      <c r="D43" s="11" t="str">
        <f>IF(AND(D35=1,D42=1),"SI","NO")</f>
        <v>NO</v>
      </c>
      <c r="E43" s="11"/>
      <c r="F43" s="11" t="str">
        <f t="shared" ref="F43:G43" si="8">IF(AND(F35=1,F42=1),"SI","NO")</f>
        <v>NO</v>
      </c>
      <c r="G43" s="11" t="str">
        <f t="shared" si="8"/>
        <v>NO</v>
      </c>
    </row>
  </sheetData>
  <sheetProtection algorithmName="SHA-512" hashValue="v8Hn9Wb787+263Y8rTZQP9l23RmQJJtWqAGhjgt+AaLEE/4gtCs7M1nv4S5fYcdmryrXv8U3fETXiQ7PGxYytg==" saltValue="n92QRpHD3KHF3ov4u8dQHw==" spinCount="100000" sheet="1" objects="1" scenarios="1"/>
  <mergeCells count="17">
    <mergeCell ref="A1:A20"/>
    <mergeCell ref="B1:M1"/>
    <mergeCell ref="B16:M16"/>
    <mergeCell ref="B17:M17"/>
    <mergeCell ref="B18:M18"/>
    <mergeCell ref="B19:M19"/>
    <mergeCell ref="B3:M3"/>
    <mergeCell ref="B4:M4"/>
    <mergeCell ref="B5:M5"/>
    <mergeCell ref="B6:M6"/>
    <mergeCell ref="B7:M7"/>
    <mergeCell ref="B2:M2"/>
    <mergeCell ref="B20:M20"/>
    <mergeCell ref="B8:B15"/>
    <mergeCell ref="C15:L15"/>
    <mergeCell ref="M8:M15"/>
    <mergeCell ref="N1:N20"/>
  </mergeCells>
  <conditionalFormatting sqref="D9:D12">
    <cfRule type="expression" dxfId="166" priority="2">
      <formula>$Q$13&gt;4</formula>
    </cfRule>
  </conditionalFormatting>
  <conditionalFormatting sqref="E9:E12">
    <cfRule type="expression" dxfId="165" priority="1">
      <formula>$R$13&gt;4</formula>
    </cfRule>
  </conditionalFormatting>
  <conditionalFormatting sqref="I9">
    <cfRule type="expression" dxfId="164" priority="9">
      <formula>$V$10=0</formula>
    </cfRule>
    <cfRule type="expression" dxfId="163" priority="13">
      <formula>$V$10=1</formula>
    </cfRule>
  </conditionalFormatting>
  <conditionalFormatting sqref="I10">
    <cfRule type="expression" dxfId="162" priority="8">
      <formula>$V$11=0</formula>
    </cfRule>
    <cfRule type="expression" dxfId="161" priority="12">
      <formula>$V$11=1</formula>
    </cfRule>
  </conditionalFormatting>
  <conditionalFormatting sqref="I11">
    <cfRule type="expression" dxfId="160" priority="10">
      <formula>$V$9=0</formula>
    </cfRule>
    <cfRule type="expression" dxfId="159" priority="14">
      <formula>$V$9=1</formula>
    </cfRule>
  </conditionalFormatting>
  <conditionalFormatting sqref="I12">
    <cfRule type="expression" dxfId="158" priority="7">
      <formula>$V$12=0</formula>
    </cfRule>
    <cfRule type="expression" dxfId="157" priority="11">
      <formula>$V$12=1</formula>
    </cfRule>
  </conditionalFormatting>
  <conditionalFormatting sqref="L8">
    <cfRule type="expression" dxfId="156" priority="211">
      <formula>$P$13=4</formula>
    </cfRule>
    <cfRule type="expression" dxfId="155" priority="212">
      <formula>$P$13&gt;4</formula>
    </cfRule>
  </conditionalFormatting>
  <dataValidations count="1">
    <dataValidation type="list" allowBlank="1" showInputMessage="1" showErrorMessage="1" sqref="F11 F9:F10 F12" xr:uid="{06040CED-4F57-487E-9B10-B062BB813EB7}">
      <formula1>$U$11:$U$12</formula1>
    </dataValidation>
  </dataValidations>
  <hyperlinks>
    <hyperlink ref="B5" r:id="rId1" xr:uid="{00000000-0004-0000-0000-000000000000}"/>
    <hyperlink ref="B4" r:id="rId2" xr:uid="{91DADCD8-15B6-46F9-9306-F2AC2CCDF782}"/>
  </hyperlinks>
  <pageMargins left="0.7" right="0.7" top="0.75" bottom="0.75" header="0" footer="0"/>
  <pageSetup paperSize="9" orientation="landscape"/>
  <extLst>
    <ext xmlns:x14="http://schemas.microsoft.com/office/spreadsheetml/2009/9/main" uri="{78C0D931-6437-407d-A8EE-F0AAD7539E65}">
      <x14:conditionalFormattings>
        <x14:conditionalFormatting xmlns:xm="http://schemas.microsoft.com/office/excel/2006/main">
          <x14:cfRule type="expression" priority="4" id="{D5F76FFA-FA9F-4B2E-A9B0-DEE5A1F71AB1}">
            <xm:f>('Pack BB2020'!AV36+'Pack Protajer'!AV36)&lt;2</xm:f>
            <x14:dxf>
              <font>
                <b/>
                <i val="0"/>
                <color theme="1"/>
              </font>
              <fill>
                <patternFill>
                  <bgColor rgb="FF92D050"/>
                </patternFill>
              </fill>
            </x14:dxf>
          </x14:cfRule>
          <x14:cfRule type="expression" priority="5" id="{47EE6E57-45C5-4B3A-859C-CE10AE7D2FD3}">
            <xm:f>('Pack BB2020'!AV36+'Pack Protajer'!AV36)&gt;1</xm:f>
            <x14:dxf>
              <font>
                <b/>
                <i val="0"/>
                <color theme="0"/>
              </font>
              <fill>
                <patternFill>
                  <bgColor rgb="FFFF0000"/>
                </patternFill>
              </fill>
            </x14:dxf>
          </x14:cfRule>
          <xm:sqref>L9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8AF5D-736C-44AD-BE88-E8E8EB7C795B}">
  <sheetPr>
    <pageSetUpPr fitToPage="1"/>
  </sheetPr>
  <dimension ref="A1:CZ406"/>
  <sheetViews>
    <sheetView zoomScale="80" zoomScaleNormal="80" workbookViewId="0"/>
  </sheetViews>
  <sheetFormatPr baseColWidth="10" defaultColWidth="0" defaultRowHeight="15" customHeight="1" zeroHeight="1" x14ac:dyDescent="0.2"/>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15" hidden="1" customWidth="1"/>
    <col min="83" max="84" width="10.28515625" style="15" hidden="1" customWidth="1"/>
    <col min="85" max="85" width="18.42578125" style="15" hidden="1" customWidth="1"/>
    <col min="86" max="86" width="10.28515625" style="15" hidden="1" customWidth="1"/>
    <col min="87" max="94" width="8" hidden="1" customWidth="1"/>
    <col min="95" max="95" width="7.5703125" hidden="1" customWidth="1"/>
    <col min="96" max="104" width="8" hidden="1" customWidth="1"/>
    <col min="105" max="16384" width="9.140625" hidden="1"/>
  </cols>
  <sheetData>
    <row r="1" spans="1:104" ht="30" customHeight="1" x14ac:dyDescent="0.2">
      <c r="A1" s="33" t="s">
        <v>9</v>
      </c>
      <c r="B1" s="34" t="str">
        <f>IF(J24="Italiano","NOME GIOCATORE",(IF(J24="Español","NOMBRE JUGADOR",(IF(J24="Deutsch","NAME",(IF(J24="Français","NOM DU JOUEUR","PLAYER NAME")))))))</f>
        <v>NOMBRE JUGADOR</v>
      </c>
      <c r="C1" s="217" t="str">
        <f>IF(J24="Italiano","TIPO",(IF(J24="Español","TIPO",(IF(J24="Deutsch","POSITION",(IF(J24="Français","POSTE","TYPE")))))))</f>
        <v>TIPO</v>
      </c>
      <c r="D1" s="173"/>
      <c r="E1" s="173"/>
      <c r="F1" s="174"/>
      <c r="G1" s="218" t="str">
        <f>IF(J24="Italiano","QTA",(IF(J24="Español","CANT",(IF(J24="Deutsch","An- zahl",(IF(J24="Français","QTT","QTY")))))))</f>
        <v>CANT</v>
      </c>
      <c r="H1" s="173"/>
      <c r="I1" s="174"/>
      <c r="J1" s="34" t="str">
        <f>IF(J24="Español","MO",(IF(J24="Deutsch","BE",(IF(J24="Français","M","MA")))))</f>
        <v>MO</v>
      </c>
      <c r="K1" s="34" t="str">
        <f>IF(J24="Español","FU",(IF(J24="Français","F","ST")))</f>
        <v>FU</v>
      </c>
      <c r="L1" s="34" t="str">
        <f>IF(J24="Deutsch","GE","AG")</f>
        <v>AG</v>
      </c>
      <c r="M1" s="34" t="str">
        <f>IF(J24="Deutsch","WG",(IF(J24="Français","CP","PA")))</f>
        <v>PA</v>
      </c>
      <c r="N1" s="34" t="str">
        <f>IF(J24="Español","AR",(IF(J24="Deutsch","RW",(IF(J24="Français","AR","AV")))))</f>
        <v>AR</v>
      </c>
      <c r="O1" s="217" t="str">
        <f>IF(J24="Italiano","ABILITÀ",(IF(J24="Español","HABILIDADES",(IF(J24="Deutsch","FERTIGKEITEN",(IF(J24="Français","COMPÉTENCES","SKILLS")))))))</f>
        <v>HABILIDADES</v>
      </c>
      <c r="P1" s="219"/>
      <c r="Q1" s="219"/>
      <c r="R1" s="219"/>
      <c r="S1" s="219"/>
      <c r="T1" s="219"/>
      <c r="U1" s="219"/>
      <c r="V1" s="219"/>
      <c r="W1" s="219"/>
      <c r="X1" s="219"/>
      <c r="Y1" s="219"/>
      <c r="Z1" s="219"/>
      <c r="AA1" s="219"/>
      <c r="AB1" s="219"/>
      <c r="AC1" s="219"/>
      <c r="AD1" s="220"/>
      <c r="AE1" s="218" t="str">
        <f>IF(J24="Italiano","AVANZAMENTO 1",(IF(J24="Español","MEJORA 1",(IF(J24="Deutsch","VERBES- SERUNG 1",(IF(J24="Français","AMÉLIORATION 1","UPGRADE 1")))))))</f>
        <v>MEJORA 1</v>
      </c>
      <c r="AF1" s="221"/>
      <c r="AG1" s="221"/>
      <c r="AH1" s="222"/>
      <c r="AI1" s="218" t="str">
        <f>IF(J24="Italiano","AVANZAMENTO 2",(IF(J24="Español","MEJORA 2",(IF(J24="Deutsch","VERBES- SERUNG 2",(IF(J24="Français","AMÉLIORATION 2","UPGRADE 2")))))))</f>
        <v>MEJORA 2</v>
      </c>
      <c r="AJ1" s="221"/>
      <c r="AK1" s="221"/>
      <c r="AL1" s="222"/>
      <c r="AM1" s="218" t="str">
        <f>IF(J24="Italiano","COSTO",(IF(J24="Español","PRECIO",(IF(J24="Deutsch","WERT",(IF(J24="Français","VALEUR","COST")))))))</f>
        <v>PRECIO</v>
      </c>
      <c r="AN1" s="221"/>
      <c r="AO1" s="222"/>
      <c r="AP1" s="213"/>
      <c r="AQ1" s="1" t="s">
        <v>10</v>
      </c>
      <c r="AR1" s="2" t="s">
        <v>11</v>
      </c>
      <c r="AS1" s="2"/>
      <c r="AT1" s="2"/>
      <c r="AU1" s="2"/>
      <c r="AV1" s="2"/>
      <c r="AW1" s="2"/>
      <c r="AX1" s="214" t="s">
        <v>12</v>
      </c>
      <c r="AY1" s="215"/>
      <c r="AZ1" s="215"/>
      <c r="BA1" s="215"/>
      <c r="BB1" s="215"/>
      <c r="BC1" s="215"/>
      <c r="BD1" s="215"/>
      <c r="BE1" s="215"/>
      <c r="BF1" s="216"/>
      <c r="BG1" s="2"/>
      <c r="BH1" s="2"/>
      <c r="BI1" s="2"/>
      <c r="BJ1" s="2"/>
      <c r="BK1" s="2"/>
      <c r="BL1" s="2"/>
      <c r="BM1" s="2"/>
      <c r="BN1" s="2"/>
      <c r="BO1" s="2" t="str">
        <f>INDEX(BY3:BY32,(SUM(BY2:CB2)))</f>
        <v>Black Orc</v>
      </c>
      <c r="BP1" s="2"/>
      <c r="BQ1" s="2"/>
      <c r="BR1" s="2"/>
      <c r="BS1" s="2"/>
      <c r="BT1" s="2"/>
      <c r="BU1" s="3"/>
      <c r="BV1" s="3"/>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1:104" ht="37.5" customHeight="1" x14ac:dyDescent="0.2">
      <c r="A2" s="33">
        <v>1</v>
      </c>
      <c r="B2" s="29"/>
      <c r="C2" s="205"/>
      <c r="D2" s="206"/>
      <c r="E2" s="206"/>
      <c r="F2" s="207"/>
      <c r="G2" s="35">
        <f>IF(C2="",0,(COUNTIF(C2:F17,C2)))</f>
        <v>0</v>
      </c>
      <c r="H2" s="36" t="s">
        <v>13</v>
      </c>
      <c r="I2" s="37">
        <f>IFERROR((VLOOKUP($BO$1&amp;C2,TeamsProPlayer!D:M,10,0)),0)</f>
        <v>0</v>
      </c>
      <c r="J2" s="38">
        <f>IFERROR(K66,0)</f>
        <v>0</v>
      </c>
      <c r="K2" s="38">
        <f t="shared" ref="J2:K17" si="0">IFERROR(L66,0)</f>
        <v>0</v>
      </c>
      <c r="L2" s="38" t="str">
        <f t="shared" ref="L2:N17" si="1">IFERROR(M66&amp;"+",0)</f>
        <v>0+</v>
      </c>
      <c r="M2" s="38" t="str">
        <f t="shared" si="1"/>
        <v>0+</v>
      </c>
      <c r="N2" s="38" t="str">
        <f t="shared" si="1"/>
        <v>0+</v>
      </c>
      <c r="O2" s="200">
        <f>IFERROR((IF(AV2="YES",(VLOOKUP($BO$1&amp;C2,TeamsProPlayer!D:M,7,0)),AW2)),"")</f>
        <v>0</v>
      </c>
      <c r="P2" s="201"/>
      <c r="Q2" s="201"/>
      <c r="R2" s="201"/>
      <c r="S2" s="201"/>
      <c r="T2" s="201"/>
      <c r="U2" s="201"/>
      <c r="V2" s="201"/>
      <c r="W2" s="201"/>
      <c r="X2" s="201"/>
      <c r="Y2" s="201"/>
      <c r="Z2" s="201"/>
      <c r="AA2" s="201"/>
      <c r="AB2" s="201"/>
      <c r="AC2" s="201"/>
      <c r="AD2" s="202"/>
      <c r="AE2" s="208"/>
      <c r="AF2" s="209"/>
      <c r="AG2" s="209"/>
      <c r="AH2" s="210"/>
      <c r="AI2" s="208"/>
      <c r="AJ2" s="209"/>
      <c r="AK2" s="209"/>
      <c r="AL2" s="210"/>
      <c r="AM2" s="203">
        <f>IFERROR((VLOOKUP($BO$1&amp;C2,TeamsProPlayer!D:M,8,0)),0)</f>
        <v>0</v>
      </c>
      <c r="AN2" s="211"/>
      <c r="AO2" s="204"/>
      <c r="AP2" s="213"/>
      <c r="AQ2" s="1">
        <f>IFERROR((((VLOOKUP($BO$1&amp;C2,TeamsProPlayer!D:M,9,0)+(AK2/1000)))),0)</f>
        <v>0</v>
      </c>
      <c r="AR2" s="2">
        <f>IFERROR((VLOOKUP($BO$1&amp;C2,TeamsProPlayer!D:N,11,0)),0)</f>
        <v>0</v>
      </c>
      <c r="AS2" s="2" t="str">
        <f>IF(G2&gt;I2,(IF($J$24="Italiano","Limite del giocatore superato... Stai barando!",(IF($J$24="Español","Límite de jugadores excedido… ¡Estás haciendo trampas!",(IF($J$24="Deutsch","Spieler-Limit überschritten… Du schummelst!",(IF($J$24="Français","Tu as trop de joueurs… Tricheur!","Player limit exceded… You are cheating!")))))))),"")</f>
        <v/>
      </c>
      <c r="AT2" s="2" t="str">
        <f>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2"/>
      <c r="AV2" s="2" t="str">
        <f>IF(AS2&lt;&gt;"","NO",IF(AT2&lt;&gt;"","NO",IF(AU2&lt;&gt;"","NO","YES")))</f>
        <v>YES</v>
      </c>
      <c r="AW2" s="2" t="str">
        <f t="shared" ref="AW2:AW17" si="2">IF(AS2&lt;&gt;"",AS2,(IF(AT2&lt;&gt;"",AT2,(IF(AU2&lt;&gt;"",AU2,"")))))</f>
        <v/>
      </c>
      <c r="AX2" s="39" t="str">
        <f t="shared" ref="AX2:AX17" si="3">IF(Y2&lt;&gt;"",(IF(OR(Y2="+ MA", Y2="+ST", Y2="- PA", Y2="+ AV", Y2="+ MO", Y2="+ FU", Y2="+ M", Y2="+ F", Y2="- CP", Y2="- AG", Y2="+ AR", Y2="+ BE", Y2="+ ST", Y2="- WG", Y2="- GE", Y2="+ RW"),"",BG2&amp;Y2)),"")</f>
        <v/>
      </c>
      <c r="AY2" s="39" t="str">
        <f t="shared" ref="AY2:AY17" si="4">IF(AA2&lt;&gt;"",(IF(OR(AA2="+ MA", AA2="+ST", AA2="- PA", AA2="+ AV", AA2="+ MO", AA2="+ FU", AA2="+ M", AA2="+ F", AA2="- CP", AA2="- AG", AA2="+ AR", AA2="+ BE", AA2="+ ST", AA2="- WG", AA2="- GE", AA2="+ RW"),"",", "&amp;AA2)),"")</f>
        <v/>
      </c>
      <c r="AZ2" s="39" t="str">
        <f t="shared" ref="AZ2:AZ17" si="5">IF(AC2&lt;&gt;"",(IF(OR(AC2="+ MA", AC2="+ST", AC2="- PA", AC2="+ AV", AC2="+ MO", AC2="+ FU", AC2="+ M", AC2="+ F", AC2="- CP", AC2="- AG", AC2="+ AR", AC2="+ BE", AC2="+ ST", AC2="- WG", AC2="- GE", AC2="+ RW"),"",", "&amp;AC2)),"")</f>
        <v/>
      </c>
      <c r="BA2" s="39" t="str">
        <f t="shared" ref="BA2:BA17" si="6">IF(AE2&lt;&gt;"",(IF(OR(AE2="+ MA", AE2="+ST", AE2="- PA", AE2="+ AV", AE2="+ MO", AE2="+ FU", AE2="+ M", AE2="+ F", AE2="- CP", AE2="- AG", AE2="+ AR", AE2="+ BE", AE2="+ ST", AE2="- WG", AE2="- GE", AE2="+ RW"),"",", "&amp;AE2)),"")</f>
        <v/>
      </c>
      <c r="BB2" s="39"/>
      <c r="BC2" s="39"/>
      <c r="BD2" s="39" t="str">
        <f t="shared" ref="BD2:BD17" si="7">IF(AC43=0,"",BH2&amp;AC43)</f>
        <v/>
      </c>
      <c r="BE2" s="39" t="str">
        <f t="shared" ref="BE2:BE17" si="8">((IF(AJ43&gt;0," - "&amp;AJ43&amp;" NI", "")))</f>
        <v/>
      </c>
      <c r="BF2" s="40" t="e">
        <f>IF(#REF!&lt;0,"",AX2&amp;AY2&amp;AZ2&amp;BA2&amp;BB2&amp;BC2&amp;BD2&amp;BE2)</f>
        <v>#REF!</v>
      </c>
      <c r="BG2" s="4" t="str">
        <f>IFERROR((IF((VLOOKUP($BO$1&amp;C2,TeamsProPlayer!D:M,7,0))="","",", ")),"")</f>
        <v xml:space="preserve">, </v>
      </c>
      <c r="BH2" t="str">
        <f>IF(AND((VLOOKUP($BO$1&amp;C2,TeamsProPlayer!D:M,7,0))="",AX2=""),"",", ")</f>
        <v xml:space="preserve">, </v>
      </c>
      <c r="BI2" s="2" t="str">
        <f>$BO$1&amp;1</f>
        <v>Black Orc1</v>
      </c>
      <c r="BJ2" t="str">
        <f>IFERROR(IF((VLOOKUP(BI2,TeamsProPlayer!B:C,2,FALSE))=0,"",(VLOOKUP(BI2,TeamsProPlayer!B:C,2,FALSE))),"")</f>
        <v/>
      </c>
      <c r="BK2" s="2"/>
      <c r="BL2" s="2"/>
      <c r="BM2" s="5"/>
      <c r="BN2" s="5" t="s">
        <v>14</v>
      </c>
      <c r="BO2" s="2" t="str">
        <f>INDEX(BN3:BN36,(SUM(BY2:CB2)))</f>
        <v>Amazon</v>
      </c>
      <c r="BP2" s="5" t="s">
        <v>15</v>
      </c>
      <c r="BQ2" s="5" t="s">
        <v>16</v>
      </c>
      <c r="BR2" s="5" t="s">
        <v>17</v>
      </c>
      <c r="BS2" s="6" t="s">
        <v>18</v>
      </c>
      <c r="BT2" s="6" t="s">
        <v>19</v>
      </c>
      <c r="BU2" s="3" t="str">
        <f>VLOOKUP(BO1,BL:BT,9,FALSE)</f>
        <v>BadlandsBrawl</v>
      </c>
      <c r="BV2" s="3" t="str">
        <f>VLOOKUP(BO1,BL1:BU44,10,FALSE)</f>
        <v>Bribery and Corruption</v>
      </c>
      <c r="BW2" s="3">
        <f>VLOOKUP(BO1,BL1:BV44,11,FALSE)</f>
        <v>0</v>
      </c>
      <c r="BX2" s="6"/>
      <c r="BY2" s="5">
        <f>IFERROR(MATCH($J$23,BY3:BY50,0),0)</f>
        <v>0</v>
      </c>
      <c r="BZ2" s="5">
        <f>IFERROR(MATCH($J$23,BZ3:BZ50,0),0)</f>
        <v>2</v>
      </c>
      <c r="CA2" s="5">
        <f>IFERROR(MATCH($J$23,CA3:CA50,0),0)</f>
        <v>0</v>
      </c>
      <c r="CB2" s="5">
        <f>IFERROR(MATCH($J$23,CB3:CB50,0),0)</f>
        <v>0</v>
      </c>
      <c r="CC2" s="5"/>
      <c r="CD2" s="5"/>
      <c r="CE2" s="41" t="s">
        <v>1083</v>
      </c>
      <c r="CF2" s="41" t="s">
        <v>1084</v>
      </c>
      <c r="CG2" s="41" t="s">
        <v>1085</v>
      </c>
      <c r="CH2" s="41" t="s">
        <v>1086</v>
      </c>
      <c r="CI2" s="2"/>
      <c r="CJ2" s="2"/>
      <c r="CK2" s="2"/>
      <c r="CL2" s="2"/>
      <c r="CM2" s="2"/>
      <c r="CN2" s="2"/>
      <c r="CO2" s="2"/>
      <c r="CP2" s="2"/>
      <c r="CQ2" s="2"/>
      <c r="CR2" s="2"/>
      <c r="CS2" s="2"/>
      <c r="CT2" s="2"/>
      <c r="CU2" s="2"/>
      <c r="CV2" s="2"/>
      <c r="CW2" s="2"/>
      <c r="CX2" s="2"/>
      <c r="CY2" s="2"/>
      <c r="CZ2" s="2"/>
    </row>
    <row r="3" spans="1:104" ht="37.5" customHeight="1" x14ac:dyDescent="0.2">
      <c r="A3" s="33">
        <v>2</v>
      </c>
      <c r="B3" s="29"/>
      <c r="C3" s="205"/>
      <c r="D3" s="206"/>
      <c r="E3" s="206"/>
      <c r="F3" s="207"/>
      <c r="G3" s="35">
        <f>IF(C3="",0,(COUNTIF(C2:F17,C3)))</f>
        <v>0</v>
      </c>
      <c r="H3" s="36" t="s">
        <v>13</v>
      </c>
      <c r="I3" s="37">
        <f>IFERROR((VLOOKUP($BO$1&amp;C3,TeamsProPlayer!D:M,10,0)),0)</f>
        <v>0</v>
      </c>
      <c r="J3" s="38">
        <f t="shared" si="0"/>
        <v>0</v>
      </c>
      <c r="K3" s="38">
        <f t="shared" si="0"/>
        <v>0</v>
      </c>
      <c r="L3" s="38" t="str">
        <f t="shared" si="1"/>
        <v>0+</v>
      </c>
      <c r="M3" s="38" t="str">
        <f t="shared" si="1"/>
        <v>0+</v>
      </c>
      <c r="N3" s="38" t="str">
        <f t="shared" si="1"/>
        <v>0+</v>
      </c>
      <c r="O3" s="200">
        <f>IFERROR((IF(AV3="YES",(VLOOKUP($BO$1&amp;C3,TeamsProPlayer!D:M,7,0)),AW3)),"")</f>
        <v>0</v>
      </c>
      <c r="P3" s="201"/>
      <c r="Q3" s="201"/>
      <c r="R3" s="201"/>
      <c r="S3" s="201"/>
      <c r="T3" s="201"/>
      <c r="U3" s="201"/>
      <c r="V3" s="201"/>
      <c r="W3" s="201"/>
      <c r="X3" s="201"/>
      <c r="Y3" s="201"/>
      <c r="Z3" s="201"/>
      <c r="AA3" s="201"/>
      <c r="AB3" s="201"/>
      <c r="AC3" s="201"/>
      <c r="AD3" s="202"/>
      <c r="AE3" s="208"/>
      <c r="AF3" s="209"/>
      <c r="AG3" s="209"/>
      <c r="AH3" s="210"/>
      <c r="AI3" s="208"/>
      <c r="AJ3" s="209"/>
      <c r="AK3" s="209"/>
      <c r="AL3" s="210"/>
      <c r="AM3" s="203">
        <f>IFERROR((VLOOKUP($BO$1&amp;C3,TeamsProPlayer!D:M,8,0)),0)</f>
        <v>0</v>
      </c>
      <c r="AN3" s="211"/>
      <c r="AO3" s="204"/>
      <c r="AP3" s="213"/>
      <c r="AQ3" s="1">
        <f>IFERROR((((VLOOKUP($BO$1&amp;C3,TeamsProPlayer!D:M,9,0)+(AK3/1000)))),0)</f>
        <v>0</v>
      </c>
      <c r="AR3" s="2">
        <f>IFERROR((VLOOKUP($BO$1&amp;C3,TeamsProPlayer!D:N,11,0)),0)</f>
        <v>0</v>
      </c>
      <c r="AS3" s="2" t="str">
        <f t="shared" ref="AS3:AS17" si="9">IF(G3&gt;I3,(IF($J$24="Italiano","Limite del giocatore superato... Stai barando!",(IF($J$24="Español","Límite de jugadores excedido… ¡Estás haciendo trampas!",(IF($J$24="Deutsch","Spieler-Limit überschritten… Du schummelst!",(IF($J$24="Français","Tu as trop de joueurs… Tricheur!","Player limit exceded… You are cheating!")))))))),"")</f>
        <v/>
      </c>
      <c r="AT3" s="2" t="str">
        <f t="shared" ref="AT3:AT15" si="10">IF(AR3&gt;0,(IF($BA$77&gt;$BA$79,(IF($J$24="Italiano","Il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3" s="2"/>
      <c r="AV3" s="2" t="str">
        <f t="shared" ref="AV3:AV17" si="11">IF(AS3&lt;&gt;"","NO",IF(AT3&lt;&gt;"","NO",IF(AU3&lt;&gt;"","NO","YES")))</f>
        <v>YES</v>
      </c>
      <c r="AW3" s="2" t="str">
        <f t="shared" si="2"/>
        <v/>
      </c>
      <c r="AX3" s="39" t="str">
        <f t="shared" si="3"/>
        <v/>
      </c>
      <c r="AY3" s="39" t="str">
        <f t="shared" si="4"/>
        <v/>
      </c>
      <c r="AZ3" s="39" t="str">
        <f t="shared" si="5"/>
        <v/>
      </c>
      <c r="BA3" s="39" t="str">
        <f t="shared" si="6"/>
        <v/>
      </c>
      <c r="BB3" s="39"/>
      <c r="BC3" s="39"/>
      <c r="BD3" s="39" t="str">
        <f t="shared" si="7"/>
        <v/>
      </c>
      <c r="BE3" s="39" t="str">
        <f t="shared" si="8"/>
        <v/>
      </c>
      <c r="BF3" s="40" t="e">
        <f>IF(#REF!&lt;0,"",AX3&amp;AY3&amp;AZ3&amp;BA3&amp;BB3&amp;BC3&amp;BD3&amp;BE3)</f>
        <v>#REF!</v>
      </c>
      <c r="BG3" s="4" t="str">
        <f>IFERROR((IF((VLOOKUP($BO$1&amp;C3,TeamsProPlayer!D:M,7,0))="","",", ")),"")</f>
        <v xml:space="preserve">, </v>
      </c>
      <c r="BH3" t="str">
        <f>IF(AND((VLOOKUP($BO$1&amp;C3,TeamsProPlayer!D:M,7,0))="",AX3=""),"",", ")</f>
        <v xml:space="preserve">, </v>
      </c>
      <c r="BI3" s="2" t="str">
        <f>$BO$1&amp;2</f>
        <v>Black Orc2</v>
      </c>
      <c r="BJ3" t="str">
        <f>IFERROR(IF((VLOOKUP(BI3,TeamsProPlayer!B:C,2,FALSE))=0,"",(VLOOKUP(BI3,TeamsProPlayer!B:C,2,FALSE))),"")</f>
        <v>Goblin Bruiser</v>
      </c>
      <c r="BK3" s="2"/>
      <c r="BL3" s="2"/>
      <c r="BM3" s="21" t="str">
        <f>IF($J$24="Español",CF3,(IF($J$24="Deutsch",CG3,(IF($J$24="Français",CH3,CE3)))))</f>
        <v>Alianza del Viejo Mundo</v>
      </c>
      <c r="BN3" s="2"/>
      <c r="BO3" s="2"/>
      <c r="BP3" s="2">
        <v>50000</v>
      </c>
      <c r="BQ3" s="2">
        <v>50000</v>
      </c>
      <c r="BR3" s="2">
        <v>0</v>
      </c>
      <c r="BS3" s="42" t="str">
        <f>IF($J$24="Español","Superliga Lustriana",(IF($J$24="Deutsch","Lustria-Superliga",(IF($J$24="Français","Super-Ligue de Lustrie","Lustrian Superleague")))))</f>
        <v>Superliga Lustriana</v>
      </c>
      <c r="BT3" s="3" t="s">
        <v>21</v>
      </c>
      <c r="BU3" s="3"/>
      <c r="BV3" s="3"/>
      <c r="BW3" s="3"/>
      <c r="BX3" s="3"/>
      <c r="BY3" s="2" t="s">
        <v>20</v>
      </c>
      <c r="BZ3" s="2" t="s">
        <v>1680</v>
      </c>
      <c r="CA3" s="44" t="s">
        <v>1681</v>
      </c>
      <c r="CB3" s="1" t="s">
        <v>1682</v>
      </c>
      <c r="CC3" s="25"/>
      <c r="CD3" s="25"/>
      <c r="CE3" s="2" t="s">
        <v>20</v>
      </c>
      <c r="CF3" s="2" t="s">
        <v>120</v>
      </c>
      <c r="CG3" s="44" t="s">
        <v>1681</v>
      </c>
      <c r="CH3" s="1" t="s">
        <v>122</v>
      </c>
      <c r="CI3" s="2"/>
      <c r="CJ3" s="2"/>
      <c r="CK3" s="2"/>
      <c r="CL3" s="23" t="s">
        <v>1475</v>
      </c>
      <c r="CM3" s="23" t="s">
        <v>1486</v>
      </c>
      <c r="CN3" s="43" t="s">
        <v>1488</v>
      </c>
      <c r="CO3" s="25" t="s">
        <v>1487</v>
      </c>
      <c r="CQ3" s="2"/>
      <c r="CR3" s="2"/>
      <c r="CS3" s="2"/>
      <c r="CT3" s="2"/>
      <c r="CU3" s="2"/>
      <c r="CV3" s="2"/>
      <c r="CW3" s="2"/>
      <c r="CX3" s="2"/>
      <c r="CY3" s="2"/>
      <c r="CZ3" s="2"/>
    </row>
    <row r="4" spans="1:104" ht="37.5" customHeight="1" x14ac:dyDescent="0.2">
      <c r="A4" s="33">
        <v>3</v>
      </c>
      <c r="B4" s="29"/>
      <c r="C4" s="205"/>
      <c r="D4" s="206"/>
      <c r="E4" s="206"/>
      <c r="F4" s="207"/>
      <c r="G4" s="35">
        <f>IF(C4="",0,(COUNTIF(C2:F17,C4)))</f>
        <v>0</v>
      </c>
      <c r="H4" s="36" t="s">
        <v>13</v>
      </c>
      <c r="I4" s="37">
        <f>IFERROR((VLOOKUP($BO$1&amp;C4,TeamsProPlayer!D:M,10,0)),0)</f>
        <v>0</v>
      </c>
      <c r="J4" s="38">
        <f t="shared" si="0"/>
        <v>0</v>
      </c>
      <c r="K4" s="38">
        <f t="shared" si="0"/>
        <v>0</v>
      </c>
      <c r="L4" s="38" t="str">
        <f t="shared" si="1"/>
        <v>0+</v>
      </c>
      <c r="M4" s="38" t="str">
        <f t="shared" si="1"/>
        <v>0+</v>
      </c>
      <c r="N4" s="38" t="str">
        <f t="shared" si="1"/>
        <v>0+</v>
      </c>
      <c r="O4" s="200">
        <f>IFERROR((IF(AV4="YES",(VLOOKUP($BO$1&amp;C4,TeamsProPlayer!D:M,7,0)),AW4)),"")</f>
        <v>0</v>
      </c>
      <c r="P4" s="201"/>
      <c r="Q4" s="201"/>
      <c r="R4" s="201"/>
      <c r="S4" s="201"/>
      <c r="T4" s="201"/>
      <c r="U4" s="201"/>
      <c r="V4" s="201"/>
      <c r="W4" s="201"/>
      <c r="X4" s="201"/>
      <c r="Y4" s="201"/>
      <c r="Z4" s="201"/>
      <c r="AA4" s="201"/>
      <c r="AB4" s="201"/>
      <c r="AC4" s="201"/>
      <c r="AD4" s="202"/>
      <c r="AE4" s="208"/>
      <c r="AF4" s="209"/>
      <c r="AG4" s="209"/>
      <c r="AH4" s="210"/>
      <c r="AI4" s="208"/>
      <c r="AJ4" s="209"/>
      <c r="AK4" s="209"/>
      <c r="AL4" s="210"/>
      <c r="AM4" s="203">
        <f>IFERROR((VLOOKUP($BO$1&amp;C4,TeamsProPlayer!D:M,8,0)),0)</f>
        <v>0</v>
      </c>
      <c r="AN4" s="211"/>
      <c r="AO4" s="204"/>
      <c r="AP4" s="213"/>
      <c r="AQ4" s="1">
        <f>IFERROR((((VLOOKUP($BO$1&amp;C4,TeamsProPlayer!D:M,9,0)+(AK4/1000)))),0)</f>
        <v>0</v>
      </c>
      <c r="AR4" s="2">
        <f>IFERROR((VLOOKUP($BO$1&amp;C4,TeamsProPlayer!D:N,11,0)),0)</f>
        <v>0</v>
      </c>
      <c r="AS4" s="2" t="str">
        <f t="shared" si="9"/>
        <v/>
      </c>
      <c r="AT4" s="2" t="str">
        <f t="shared" si="10"/>
        <v/>
      </c>
      <c r="AU4" s="2"/>
      <c r="AV4" s="2" t="str">
        <f t="shared" si="11"/>
        <v>YES</v>
      </c>
      <c r="AW4" s="2" t="str">
        <f t="shared" si="2"/>
        <v/>
      </c>
      <c r="AX4" s="39" t="str">
        <f t="shared" si="3"/>
        <v/>
      </c>
      <c r="AY4" s="39" t="str">
        <f t="shared" si="4"/>
        <v/>
      </c>
      <c r="AZ4" s="39" t="str">
        <f t="shared" si="5"/>
        <v/>
      </c>
      <c r="BA4" s="39" t="str">
        <f t="shared" si="6"/>
        <v/>
      </c>
      <c r="BB4" s="39"/>
      <c r="BC4" s="39"/>
      <c r="BD4" s="39" t="str">
        <f t="shared" si="7"/>
        <v/>
      </c>
      <c r="BE4" s="39" t="str">
        <f t="shared" si="8"/>
        <v/>
      </c>
      <c r="BF4" s="40" t="e">
        <f>IF(#REF!&lt;0,"",AX4&amp;AY4&amp;AZ4&amp;BA4&amp;BB4&amp;BC4&amp;BD4&amp;BE4)</f>
        <v>#REF!</v>
      </c>
      <c r="BG4" s="4" t="str">
        <f>IFERROR((IF((VLOOKUP($BO$1&amp;C4,TeamsProPlayer!D:M,7,0))="","",", ")),"")</f>
        <v xml:space="preserve">, </v>
      </c>
      <c r="BH4" t="str">
        <f>IF(AND((VLOOKUP($BO$1&amp;C4,TeamsProPlayer!D:M,7,0))="",AX4=""),"",", ")</f>
        <v xml:space="preserve">, </v>
      </c>
      <c r="BI4" s="2" t="str">
        <f>$BO$1&amp;3</f>
        <v>Black Orc3</v>
      </c>
      <c r="BJ4" t="str">
        <f>IFERROR(IF((VLOOKUP(BI4,TeamsProPlayer!B:C,2,FALSE))=0,"",(VLOOKUP(BI4,TeamsProPlayer!B:C,2,FALSE))),"")</f>
        <v>Black Orc</v>
      </c>
      <c r="BK4" s="2"/>
      <c r="BL4" s="2" t="s">
        <v>20</v>
      </c>
      <c r="BM4" s="21" t="str">
        <f t="shared" ref="BM4:BM32" si="12">IF($J$24="Español",CF4,(IF($J$24="Deutsch",CG4,(IF($J$24="Français",CH4,CE4)))))</f>
        <v>Altos Elfos</v>
      </c>
      <c r="BN4" s="2" t="s">
        <v>20</v>
      </c>
      <c r="BO4" s="23"/>
      <c r="BP4" s="23">
        <v>60000</v>
      </c>
      <c r="BQ4" s="23">
        <v>50000</v>
      </c>
      <c r="BR4" s="23">
        <v>0</v>
      </c>
      <c r="BS4" s="24" t="str">
        <f>IF($K$25="Español","Superliga Lustriana",(IF($K$25="Deutsch","Lustria-Superliga",(IF($K$25="Français","Super-Ligue de Lustrie","Lustrian Superleague")))))</f>
        <v>Lustrian Superleague</v>
      </c>
      <c r="BT4" s="24" t="s">
        <v>21</v>
      </c>
      <c r="BW4" s="23"/>
      <c r="BX4" s="3"/>
      <c r="BY4" s="23" t="s">
        <v>22</v>
      </c>
      <c r="BZ4" s="23" t="s">
        <v>26</v>
      </c>
      <c r="CA4" s="43" t="s">
        <v>27</v>
      </c>
      <c r="CB4" s="25" t="s">
        <v>28</v>
      </c>
      <c r="CC4" s="25"/>
      <c r="CD4" s="25"/>
      <c r="CE4" s="23" t="s">
        <v>22</v>
      </c>
      <c r="CF4" s="23" t="s">
        <v>74</v>
      </c>
      <c r="CG4" s="43" t="s">
        <v>27</v>
      </c>
      <c r="CH4" s="1" t="s">
        <v>1682</v>
      </c>
      <c r="CI4" s="2"/>
      <c r="CJ4" s="2"/>
      <c r="CK4" s="2"/>
      <c r="CL4" s="2"/>
      <c r="CM4" s="2"/>
      <c r="CN4" s="2"/>
      <c r="CO4" s="2"/>
      <c r="CP4" s="2"/>
      <c r="CQ4" s="2"/>
      <c r="CR4" s="2"/>
      <c r="CS4" s="2"/>
      <c r="CT4" s="2"/>
      <c r="CU4" s="2"/>
      <c r="CV4" s="2"/>
      <c r="CW4" s="2"/>
      <c r="CX4" s="2"/>
      <c r="CY4" s="2"/>
      <c r="CZ4" s="2"/>
    </row>
    <row r="5" spans="1:104" ht="37.5" customHeight="1" x14ac:dyDescent="0.2">
      <c r="A5" s="33">
        <v>4</v>
      </c>
      <c r="B5" s="29"/>
      <c r="C5" s="205"/>
      <c r="D5" s="206"/>
      <c r="E5" s="206"/>
      <c r="F5" s="207"/>
      <c r="G5" s="35">
        <f>IF(C5="",0,(COUNTIF(C2:F17,C5)))</f>
        <v>0</v>
      </c>
      <c r="H5" s="36" t="s">
        <v>13</v>
      </c>
      <c r="I5" s="37">
        <f>IFERROR((VLOOKUP($BO$1&amp;C5,TeamsProPlayer!D:M,10,0)),0)</f>
        <v>0</v>
      </c>
      <c r="J5" s="38">
        <f t="shared" si="0"/>
        <v>0</v>
      </c>
      <c r="K5" s="38">
        <f t="shared" si="0"/>
        <v>0</v>
      </c>
      <c r="L5" s="38" t="str">
        <f t="shared" si="1"/>
        <v>0+</v>
      </c>
      <c r="M5" s="38" t="str">
        <f t="shared" si="1"/>
        <v>0+</v>
      </c>
      <c r="N5" s="38" t="str">
        <f t="shared" si="1"/>
        <v>0+</v>
      </c>
      <c r="O5" s="200">
        <f>IFERROR((IF(AV5="YES",(VLOOKUP($BO$1&amp;C5,TeamsProPlayer!D:M,7,0)),AW5)),"")</f>
        <v>0</v>
      </c>
      <c r="P5" s="201"/>
      <c r="Q5" s="201"/>
      <c r="R5" s="201"/>
      <c r="S5" s="201"/>
      <c r="T5" s="201"/>
      <c r="U5" s="201"/>
      <c r="V5" s="201"/>
      <c r="W5" s="201"/>
      <c r="X5" s="201"/>
      <c r="Y5" s="201"/>
      <c r="Z5" s="201"/>
      <c r="AA5" s="201"/>
      <c r="AB5" s="201"/>
      <c r="AC5" s="201"/>
      <c r="AD5" s="202"/>
      <c r="AE5" s="208"/>
      <c r="AF5" s="209"/>
      <c r="AG5" s="209"/>
      <c r="AH5" s="210"/>
      <c r="AI5" s="208"/>
      <c r="AJ5" s="209"/>
      <c r="AK5" s="209"/>
      <c r="AL5" s="210"/>
      <c r="AM5" s="203">
        <f>IFERROR((VLOOKUP($BO$1&amp;C5,TeamsProPlayer!D:M,8,0)),0)</f>
        <v>0</v>
      </c>
      <c r="AN5" s="211"/>
      <c r="AO5" s="204"/>
      <c r="AP5" s="213"/>
      <c r="AQ5" s="1">
        <f>IFERROR((((VLOOKUP($BO$1&amp;C5,TeamsProPlayer!D:M,9,0)+(AK5/1000)))),0)</f>
        <v>0</v>
      </c>
      <c r="AR5" s="2">
        <f>IFERROR((VLOOKUP($BO$1&amp;C5,TeamsProPlayer!D:N,11,0)),0)</f>
        <v>0</v>
      </c>
      <c r="AS5" s="2" t="str">
        <f t="shared" si="9"/>
        <v/>
      </c>
      <c r="AT5" s="2" t="str">
        <f t="shared" si="10"/>
        <v/>
      </c>
      <c r="AU5" s="2"/>
      <c r="AV5" s="2" t="str">
        <f t="shared" si="11"/>
        <v>YES</v>
      </c>
      <c r="AW5" s="2" t="str">
        <f t="shared" si="2"/>
        <v/>
      </c>
      <c r="AX5" s="39" t="str">
        <f t="shared" si="3"/>
        <v/>
      </c>
      <c r="AY5" s="39" t="str">
        <f t="shared" si="4"/>
        <v/>
      </c>
      <c r="AZ5" s="39" t="str">
        <f t="shared" si="5"/>
        <v/>
      </c>
      <c r="BA5" s="39" t="str">
        <f t="shared" si="6"/>
        <v/>
      </c>
      <c r="BB5" s="39"/>
      <c r="BC5" s="39"/>
      <c r="BD5" s="39" t="str">
        <f t="shared" si="7"/>
        <v/>
      </c>
      <c r="BE5" s="39" t="str">
        <f t="shared" si="8"/>
        <v/>
      </c>
      <c r="BF5" s="40" t="e">
        <f>IF(#REF!&lt;0,"",AX5&amp;AY5&amp;AZ5&amp;BA5&amp;BB5&amp;BC5&amp;BD5&amp;BE5)</f>
        <v>#REF!</v>
      </c>
      <c r="BG5" s="4" t="str">
        <f>IFERROR((IF((VLOOKUP($BO$1&amp;C5,TeamsProPlayer!D:M,7,0))="","",", ")),"")</f>
        <v xml:space="preserve">, </v>
      </c>
      <c r="BH5" t="str">
        <f>IF(AND((VLOOKUP($BO$1&amp;C5,TeamsProPlayer!D:M,7,0))="",AX5=""),"",", ")</f>
        <v xml:space="preserve">, </v>
      </c>
      <c r="BI5" s="2" t="str">
        <f>$BO$1&amp;4</f>
        <v>Black Orc4</v>
      </c>
      <c r="BJ5" t="str">
        <f>IFERROR(IF((VLOOKUP(BI5,TeamsProPlayer!B:C,2,FALSE))=0,"",(VLOOKUP(BI5,TeamsProPlayer!B:C,2,FALSE))),"")</f>
        <v>Trained Troll</v>
      </c>
      <c r="BK5" s="2"/>
      <c r="BL5" s="2" t="s">
        <v>22</v>
      </c>
      <c r="BM5" s="21" t="str">
        <f t="shared" si="12"/>
        <v>Amazonas</v>
      </c>
      <c r="BN5" s="2" t="s">
        <v>23</v>
      </c>
      <c r="BO5" s="2"/>
      <c r="BP5" s="2">
        <v>60000</v>
      </c>
      <c r="BQ5" s="2">
        <v>50000</v>
      </c>
      <c r="BR5" s="2">
        <v>1</v>
      </c>
      <c r="BS5" s="42" t="str">
        <f>IF($J$24="Español","Reyerta en las Yermas y Sobornos y Corrupción",(IF($J$24="Deutsch","Düsterland-Rauferei, Bestechung und Korruption",(IF($J$24="Français","Bagarre des Terres Arides et Chantage &amp; Corruption","Badlands Brawl and Bribery and Corruption")))))</f>
        <v>Reyerta en las Yermas y Sobornos y Corrupción</v>
      </c>
      <c r="BT5" s="3" t="s">
        <v>24</v>
      </c>
      <c r="BU5" s="3" t="s">
        <v>25</v>
      </c>
      <c r="BV5" s="3"/>
      <c r="BW5" s="3"/>
      <c r="BX5" s="3"/>
      <c r="BY5" s="23" t="s">
        <v>29</v>
      </c>
      <c r="BZ5" s="23" t="s">
        <v>32</v>
      </c>
      <c r="CA5" s="43" t="s">
        <v>33</v>
      </c>
      <c r="CB5" s="25" t="s">
        <v>34</v>
      </c>
      <c r="CC5" s="25"/>
      <c r="CD5" s="25"/>
      <c r="CE5" s="23" t="s">
        <v>29</v>
      </c>
      <c r="CF5" s="2" t="s">
        <v>1680</v>
      </c>
      <c r="CG5" s="43" t="s">
        <v>33</v>
      </c>
      <c r="CH5" s="1" t="s">
        <v>158</v>
      </c>
      <c r="CI5" s="2"/>
      <c r="CJ5" s="2"/>
      <c r="CK5" s="2"/>
      <c r="CL5" s="2"/>
      <c r="CM5" s="2"/>
      <c r="CN5" s="2"/>
      <c r="CO5" s="2"/>
      <c r="CP5" s="2"/>
      <c r="CQ5" s="2"/>
      <c r="CR5" s="2"/>
      <c r="CS5" s="2"/>
      <c r="CT5" s="2"/>
      <c r="CU5" s="2"/>
      <c r="CV5" s="2"/>
      <c r="CW5" s="2"/>
      <c r="CX5" s="2"/>
      <c r="CY5" s="2"/>
      <c r="CZ5" s="2"/>
    </row>
    <row r="6" spans="1:104" ht="37.5" customHeight="1" x14ac:dyDescent="0.2">
      <c r="A6" s="33">
        <v>5</v>
      </c>
      <c r="B6" s="29"/>
      <c r="C6" s="205"/>
      <c r="D6" s="206"/>
      <c r="E6" s="206"/>
      <c r="F6" s="207"/>
      <c r="G6" s="35">
        <f>IF(C6="",0,(COUNTIF(C2:F17,C6)))</f>
        <v>0</v>
      </c>
      <c r="H6" s="36" t="s">
        <v>13</v>
      </c>
      <c r="I6" s="37">
        <f>IFERROR((VLOOKUP($BO$1&amp;C6,TeamsProPlayer!D:M,10,0)),0)</f>
        <v>0</v>
      </c>
      <c r="J6" s="38">
        <f t="shared" si="0"/>
        <v>0</v>
      </c>
      <c r="K6" s="38">
        <f t="shared" si="0"/>
        <v>0</v>
      </c>
      <c r="L6" s="38" t="str">
        <f t="shared" si="1"/>
        <v>0+</v>
      </c>
      <c r="M6" s="38" t="str">
        <f t="shared" si="1"/>
        <v>0+</v>
      </c>
      <c r="N6" s="38" t="str">
        <f t="shared" si="1"/>
        <v>0+</v>
      </c>
      <c r="O6" s="200">
        <f>IFERROR((IF(AV6="YES",(VLOOKUP($BO$1&amp;C6,TeamsProPlayer!D:M,7,0)),AW6)),"")</f>
        <v>0</v>
      </c>
      <c r="P6" s="201"/>
      <c r="Q6" s="201"/>
      <c r="R6" s="201"/>
      <c r="S6" s="201"/>
      <c r="T6" s="201"/>
      <c r="U6" s="201"/>
      <c r="V6" s="201"/>
      <c r="W6" s="201"/>
      <c r="X6" s="201"/>
      <c r="Y6" s="201"/>
      <c r="Z6" s="201"/>
      <c r="AA6" s="201"/>
      <c r="AB6" s="201"/>
      <c r="AC6" s="201"/>
      <c r="AD6" s="202"/>
      <c r="AE6" s="208"/>
      <c r="AF6" s="209"/>
      <c r="AG6" s="209"/>
      <c r="AH6" s="210"/>
      <c r="AI6" s="208"/>
      <c r="AJ6" s="209"/>
      <c r="AK6" s="209"/>
      <c r="AL6" s="210"/>
      <c r="AM6" s="203">
        <f>IFERROR((VLOOKUP($BO$1&amp;C6,TeamsProPlayer!D:M,8,0)),0)</f>
        <v>0</v>
      </c>
      <c r="AN6" s="211"/>
      <c r="AO6" s="204"/>
      <c r="AP6" s="213"/>
      <c r="AQ6" s="1">
        <f>IFERROR((((VLOOKUP($BO$1&amp;C6,TeamsProPlayer!D:M,9,0)+(AK6/1000)))),0)</f>
        <v>0</v>
      </c>
      <c r="AR6" s="2">
        <f>IFERROR((VLOOKUP($BO$1&amp;C6,TeamsProPlayer!D:N,11,0)),0)</f>
        <v>0</v>
      </c>
      <c r="AS6" s="2" t="str">
        <f t="shared" si="9"/>
        <v/>
      </c>
      <c r="AT6" s="2" t="str">
        <f t="shared" si="10"/>
        <v/>
      </c>
      <c r="AU6" s="2"/>
      <c r="AV6" s="2" t="str">
        <f t="shared" si="11"/>
        <v>YES</v>
      </c>
      <c r="AW6" s="2" t="str">
        <f t="shared" si="2"/>
        <v/>
      </c>
      <c r="AX6" s="39" t="str">
        <f t="shared" si="3"/>
        <v/>
      </c>
      <c r="AY6" s="39" t="str">
        <f t="shared" si="4"/>
        <v/>
      </c>
      <c r="AZ6" s="39" t="str">
        <f t="shared" si="5"/>
        <v/>
      </c>
      <c r="BA6" s="39" t="str">
        <f t="shared" si="6"/>
        <v/>
      </c>
      <c r="BB6" s="39"/>
      <c r="BC6" s="39"/>
      <c r="BD6" s="39" t="str">
        <f t="shared" si="7"/>
        <v/>
      </c>
      <c r="BE6" s="39" t="str">
        <f t="shared" si="8"/>
        <v/>
      </c>
      <c r="BF6" s="40" t="e">
        <f>IF(#REF!&lt;0,"",AX6&amp;AY6&amp;AZ6&amp;BA6&amp;BB6&amp;BC6&amp;BD6&amp;BE6)</f>
        <v>#REF!</v>
      </c>
      <c r="BG6" s="4" t="str">
        <f>IFERROR((IF((VLOOKUP($BO$1&amp;C6,TeamsProPlayer!D:M,7,0))="","",", ")),"")</f>
        <v xml:space="preserve">, </v>
      </c>
      <c r="BH6" t="str">
        <f>IF(AND((VLOOKUP($BO$1&amp;C6,TeamsProPlayer!D:M,7,0))="",AX6=""),"",", ")</f>
        <v xml:space="preserve">, </v>
      </c>
      <c r="BI6" s="2" t="str">
        <f>$BO$1&amp;5</f>
        <v>Black Orc5</v>
      </c>
      <c r="BJ6" t="str">
        <f>IFERROR(IF((VLOOKUP(BI6,TeamsProPlayer!B:C,2,FALSE))=0,"",(VLOOKUP(BI6,TeamsProPlayer!B:C,2,FALSE))),"")</f>
        <v/>
      </c>
      <c r="BK6" s="2"/>
      <c r="BL6" s="2" t="s">
        <v>29</v>
      </c>
      <c r="BM6" s="21" t="str">
        <f t="shared" si="12"/>
        <v>Caos</v>
      </c>
      <c r="BN6" s="2" t="s">
        <v>30</v>
      </c>
      <c r="BO6" s="2"/>
      <c r="BP6" s="2">
        <v>60000</v>
      </c>
      <c r="BQ6" s="2">
        <v>50000</v>
      </c>
      <c r="BR6" s="2">
        <v>1</v>
      </c>
      <c r="BS6" s="42" t="str">
        <f>IF($J$24="Español","Elegido de…",(IF($J$24="Deutsch","Auserwählte des…",(IF($J$24="Français","Favoris de...","Favoured of…")))))</f>
        <v>Elegido de…</v>
      </c>
      <c r="BT6" s="3" t="s">
        <v>31</v>
      </c>
      <c r="BU6" s="3"/>
      <c r="BV6" s="3"/>
      <c r="BW6" s="3"/>
      <c r="BX6" s="3"/>
      <c r="BY6" s="2" t="s">
        <v>35</v>
      </c>
      <c r="BZ6" s="2" t="s">
        <v>38</v>
      </c>
      <c r="CA6" s="44" t="s">
        <v>39</v>
      </c>
      <c r="CB6" s="1" t="s">
        <v>40</v>
      </c>
      <c r="CE6" s="2" t="s">
        <v>35</v>
      </c>
      <c r="CF6" s="23" t="s">
        <v>32</v>
      </c>
      <c r="CG6" s="43" t="s">
        <v>44</v>
      </c>
      <c r="CH6" s="23" t="s">
        <v>51</v>
      </c>
      <c r="CI6" s="2"/>
      <c r="CJ6" s="2"/>
      <c r="CK6" s="2"/>
      <c r="CL6" s="2"/>
      <c r="CM6" s="2"/>
      <c r="CN6" s="2"/>
      <c r="CO6" s="2"/>
      <c r="CP6" s="2"/>
      <c r="CQ6" s="2"/>
      <c r="CR6" s="2"/>
      <c r="CS6" s="2"/>
      <c r="CT6" s="2"/>
      <c r="CU6" s="2"/>
      <c r="CV6" s="2"/>
      <c r="CW6" s="2"/>
      <c r="CX6" s="2"/>
      <c r="CY6" s="2"/>
      <c r="CZ6" s="2"/>
    </row>
    <row r="7" spans="1:104" ht="37.5" customHeight="1" x14ac:dyDescent="0.2">
      <c r="A7" s="33">
        <v>6</v>
      </c>
      <c r="B7" s="29"/>
      <c r="C7" s="205"/>
      <c r="D7" s="206"/>
      <c r="E7" s="206"/>
      <c r="F7" s="207"/>
      <c r="G7" s="35">
        <f>IF(C7="",0,(COUNTIF(C2:F17,C7)))</f>
        <v>0</v>
      </c>
      <c r="H7" s="36" t="s">
        <v>13</v>
      </c>
      <c r="I7" s="37">
        <f>IFERROR((VLOOKUP($BO$1&amp;C7,TeamsProPlayer!D:M,10,0)),0)</f>
        <v>0</v>
      </c>
      <c r="J7" s="38">
        <f t="shared" si="0"/>
        <v>0</v>
      </c>
      <c r="K7" s="38">
        <f t="shared" si="0"/>
        <v>0</v>
      </c>
      <c r="L7" s="38" t="str">
        <f t="shared" si="1"/>
        <v>0+</v>
      </c>
      <c r="M7" s="38" t="str">
        <f t="shared" si="1"/>
        <v>0+</v>
      </c>
      <c r="N7" s="38" t="str">
        <f t="shared" si="1"/>
        <v>0+</v>
      </c>
      <c r="O7" s="200">
        <f>IFERROR((IF(AV7="YES",(VLOOKUP($BO$1&amp;C7,TeamsProPlayer!D:M,7,0)),AW7)),"")</f>
        <v>0</v>
      </c>
      <c r="P7" s="201"/>
      <c r="Q7" s="201"/>
      <c r="R7" s="201"/>
      <c r="S7" s="201"/>
      <c r="T7" s="201"/>
      <c r="U7" s="201"/>
      <c r="V7" s="201"/>
      <c r="W7" s="201"/>
      <c r="X7" s="201"/>
      <c r="Y7" s="201"/>
      <c r="Z7" s="201"/>
      <c r="AA7" s="201"/>
      <c r="AB7" s="201"/>
      <c r="AC7" s="201"/>
      <c r="AD7" s="202"/>
      <c r="AE7" s="208"/>
      <c r="AF7" s="209"/>
      <c r="AG7" s="209"/>
      <c r="AH7" s="210"/>
      <c r="AI7" s="208"/>
      <c r="AJ7" s="209"/>
      <c r="AK7" s="209"/>
      <c r="AL7" s="210"/>
      <c r="AM7" s="203">
        <f>IFERROR((VLOOKUP($BO$1&amp;C7,TeamsProPlayer!D:M,8,0)),0)</f>
        <v>0</v>
      </c>
      <c r="AN7" s="211"/>
      <c r="AO7" s="204"/>
      <c r="AP7" s="213"/>
      <c r="AQ7" s="1">
        <f>IFERROR((((VLOOKUP($BO$1&amp;C7,TeamsProPlayer!D:M,9,0)+(AK7/1000)))),0)</f>
        <v>0</v>
      </c>
      <c r="AR7" s="2">
        <f>IFERROR((VLOOKUP($BO$1&amp;C7,TeamsProPlayer!D:N,11,0)),0)</f>
        <v>0</v>
      </c>
      <c r="AS7" s="2" t="str">
        <f t="shared" si="9"/>
        <v/>
      </c>
      <c r="AT7" s="2" t="str">
        <f t="shared" si="10"/>
        <v/>
      </c>
      <c r="AU7" s="2"/>
      <c r="AV7" s="2" t="str">
        <f t="shared" si="11"/>
        <v>YES</v>
      </c>
      <c r="AW7" s="2" t="str">
        <f t="shared" si="2"/>
        <v/>
      </c>
      <c r="AX7" s="39" t="str">
        <f t="shared" si="3"/>
        <v/>
      </c>
      <c r="AY7" s="39" t="str">
        <f t="shared" si="4"/>
        <v/>
      </c>
      <c r="AZ7" s="39" t="str">
        <f t="shared" si="5"/>
        <v/>
      </c>
      <c r="BA7" s="39" t="str">
        <f t="shared" si="6"/>
        <v/>
      </c>
      <c r="BB7" s="39"/>
      <c r="BC7" s="39"/>
      <c r="BD7" s="39" t="str">
        <f t="shared" si="7"/>
        <v/>
      </c>
      <c r="BE7" s="39" t="str">
        <f t="shared" si="8"/>
        <v/>
      </c>
      <c r="BF7" s="40" t="e">
        <f>IF(#REF!&lt;0,"",AX7&amp;AY7&amp;AZ7&amp;BA7&amp;BB7&amp;BC7&amp;BD7&amp;BE7)</f>
        <v>#REF!</v>
      </c>
      <c r="BG7" s="4" t="str">
        <f>IFERROR((IF((VLOOKUP($BO$1&amp;C7,TeamsProPlayer!D:M,7,0))="","",", ")),"")</f>
        <v xml:space="preserve">, </v>
      </c>
      <c r="BH7" t="str">
        <f>IF(AND((VLOOKUP($BO$1&amp;C7,TeamsProPlayer!D:M,7,0))="",AX7=""),"",", ")</f>
        <v xml:space="preserve">, </v>
      </c>
      <c r="BI7" s="2" t="str">
        <f>$BO$1&amp;6</f>
        <v>Black Orc6</v>
      </c>
      <c r="BJ7" t="str">
        <f>IFERROR(IF((VLOOKUP(BI7,TeamsProPlayer!B:C,2,FALSE))=0,"",(VLOOKUP(BI7,TeamsProPlayer!B:C,2,FALSE))),"")</f>
        <v/>
      </c>
      <c r="BK7" s="2"/>
      <c r="BL7" s="2"/>
      <c r="BM7" s="21" t="str">
        <f t="shared" si="12"/>
        <v>Elfos Oscuros</v>
      </c>
      <c r="BN7" s="2"/>
      <c r="BO7" s="2"/>
      <c r="BP7" s="2">
        <v>70000</v>
      </c>
      <c r="BQ7" s="2">
        <v>50000</v>
      </c>
      <c r="BR7" s="2">
        <v>1</v>
      </c>
      <c r="BS7" s="42"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Superliga del Fin del Mundo, Reyerta en las Yermas y Elegido de…</v>
      </c>
      <c r="BT7" s="3" t="s">
        <v>37</v>
      </c>
      <c r="BU7" s="3"/>
      <c r="BV7" s="3"/>
      <c r="BW7" s="3"/>
      <c r="BX7" s="3"/>
      <c r="BY7" s="23" t="s">
        <v>41</v>
      </c>
      <c r="BZ7" s="23" t="s">
        <v>43</v>
      </c>
      <c r="CA7" s="43" t="s">
        <v>44</v>
      </c>
      <c r="CB7" s="1" t="s">
        <v>45</v>
      </c>
      <c r="CC7" s="25"/>
      <c r="CD7" s="25"/>
      <c r="CE7" s="23" t="s">
        <v>41</v>
      </c>
      <c r="CF7" s="23" t="s">
        <v>49</v>
      </c>
      <c r="CG7" s="44" t="s">
        <v>39</v>
      </c>
      <c r="CH7" s="1" t="s">
        <v>164</v>
      </c>
      <c r="CI7" s="2"/>
      <c r="CJ7" s="2"/>
      <c r="CK7" s="2"/>
      <c r="CL7" s="2"/>
      <c r="CM7" s="2"/>
      <c r="CN7" s="2"/>
      <c r="CO7" s="2"/>
      <c r="CP7" s="2"/>
      <c r="CQ7" s="2"/>
      <c r="CR7" s="2"/>
      <c r="CS7" s="2"/>
      <c r="CT7" s="2"/>
      <c r="CU7" s="2"/>
      <c r="CV7" s="2"/>
      <c r="CW7" s="2"/>
      <c r="CX7" s="2"/>
      <c r="CY7" s="2"/>
      <c r="CZ7" s="2"/>
    </row>
    <row r="8" spans="1:104" ht="37.5" customHeight="1" x14ac:dyDescent="0.2">
      <c r="A8" s="33">
        <v>7</v>
      </c>
      <c r="B8" s="29"/>
      <c r="C8" s="205"/>
      <c r="D8" s="206"/>
      <c r="E8" s="206"/>
      <c r="F8" s="207"/>
      <c r="G8" s="35">
        <f>IF(C8="",0,(COUNTIF(C2:F17,C8)))</f>
        <v>0</v>
      </c>
      <c r="H8" s="36" t="s">
        <v>13</v>
      </c>
      <c r="I8" s="37">
        <f>IFERROR((VLOOKUP($BO$1&amp;C8,TeamsProPlayer!D:M,10,0)),0)</f>
        <v>0</v>
      </c>
      <c r="J8" s="38">
        <f t="shared" si="0"/>
        <v>0</v>
      </c>
      <c r="K8" s="38">
        <f t="shared" si="0"/>
        <v>0</v>
      </c>
      <c r="L8" s="38" t="str">
        <f t="shared" si="1"/>
        <v>0+</v>
      </c>
      <c r="M8" s="38" t="str">
        <f t="shared" si="1"/>
        <v>0+</v>
      </c>
      <c r="N8" s="38" t="str">
        <f t="shared" si="1"/>
        <v>0+</v>
      </c>
      <c r="O8" s="200">
        <f>IFERROR((IF(AV8="YES",(VLOOKUP($BO$1&amp;C8,TeamsProPlayer!D:M,7,0)),AW8)),"")</f>
        <v>0</v>
      </c>
      <c r="P8" s="201"/>
      <c r="Q8" s="201"/>
      <c r="R8" s="201"/>
      <c r="S8" s="201"/>
      <c r="T8" s="201"/>
      <c r="U8" s="201"/>
      <c r="V8" s="201"/>
      <c r="W8" s="201"/>
      <c r="X8" s="201"/>
      <c r="Y8" s="201"/>
      <c r="Z8" s="201"/>
      <c r="AA8" s="201"/>
      <c r="AB8" s="201"/>
      <c r="AC8" s="201"/>
      <c r="AD8" s="202"/>
      <c r="AE8" s="208"/>
      <c r="AF8" s="209"/>
      <c r="AG8" s="209"/>
      <c r="AH8" s="210"/>
      <c r="AI8" s="208"/>
      <c r="AJ8" s="209"/>
      <c r="AK8" s="209"/>
      <c r="AL8" s="210"/>
      <c r="AM8" s="203">
        <f>IFERROR((VLOOKUP($BO$1&amp;C8,TeamsProPlayer!D:M,8,0)),0)</f>
        <v>0</v>
      </c>
      <c r="AN8" s="211"/>
      <c r="AO8" s="204"/>
      <c r="AP8" s="213"/>
      <c r="AQ8" s="1">
        <f>IFERROR((((VLOOKUP($BO$1&amp;C8,TeamsProPlayer!D:M,9,0)+(AK8/1000)))),0)</f>
        <v>0</v>
      </c>
      <c r="AR8" s="2">
        <f>IFERROR((VLOOKUP($BO$1&amp;C8,TeamsProPlayer!D:N,11,0)),0)</f>
        <v>0</v>
      </c>
      <c r="AS8" s="2" t="str">
        <f t="shared" si="9"/>
        <v/>
      </c>
      <c r="AT8" s="2" t="str">
        <f t="shared" si="10"/>
        <v/>
      </c>
      <c r="AU8" s="2"/>
      <c r="AV8" s="2" t="str">
        <f t="shared" si="11"/>
        <v>YES</v>
      </c>
      <c r="AW8" s="2" t="str">
        <f t="shared" si="2"/>
        <v/>
      </c>
      <c r="AX8" s="39" t="str">
        <f t="shared" si="3"/>
        <v/>
      </c>
      <c r="AY8" s="39" t="str">
        <f t="shared" si="4"/>
        <v/>
      </c>
      <c r="AZ8" s="39" t="str">
        <f t="shared" si="5"/>
        <v/>
      </c>
      <c r="BA8" s="39" t="str">
        <f t="shared" si="6"/>
        <v/>
      </c>
      <c r="BB8" s="39"/>
      <c r="BC8" s="39"/>
      <c r="BD8" s="39" t="str">
        <f t="shared" si="7"/>
        <v/>
      </c>
      <c r="BE8" s="39" t="str">
        <f t="shared" si="8"/>
        <v/>
      </c>
      <c r="BF8" s="40" t="e">
        <f>IF(#REF!&lt;0,"",AX8&amp;AY8&amp;AZ8&amp;BA8&amp;BB8&amp;BC8&amp;BD8&amp;BE8)</f>
        <v>#REF!</v>
      </c>
      <c r="BG8" s="4" t="str">
        <f>IFERROR((IF((VLOOKUP($BO$1&amp;C8,TeamsProPlayer!D:M,7,0))="","",", ")),"")</f>
        <v xml:space="preserve">, </v>
      </c>
      <c r="BH8" t="str">
        <f>IF(AND((VLOOKUP($BO$1&amp;C8,TeamsProPlayer!D:M,7,0))="",AX8=""),"",", ")</f>
        <v xml:space="preserve">, </v>
      </c>
      <c r="BI8" s="2" t="str">
        <f>$BO$1&amp;7</f>
        <v>Black Orc7</v>
      </c>
      <c r="BJ8" t="str">
        <f>IFERROR(IF((VLOOKUP(BI8,TeamsProPlayer!B:C,2,FALSE))=0,"",(VLOOKUP(BI8,TeamsProPlayer!B:C,2,FALSE))),"")</f>
        <v/>
      </c>
      <c r="BK8" s="2"/>
      <c r="BL8" s="2" t="s">
        <v>35</v>
      </c>
      <c r="BM8" s="21" t="str">
        <f>IF($J$24="Español",CF8,(IF($J$24="Deutsch",CG8,(IF($J$24="Français",CH17,CE8)))))</f>
        <v>Elfos Pro</v>
      </c>
      <c r="BN8" s="2" t="s">
        <v>36</v>
      </c>
      <c r="BP8" s="2">
        <v>70000</v>
      </c>
      <c r="BQ8" s="2">
        <v>50000</v>
      </c>
      <c r="BR8" s="2">
        <v>1</v>
      </c>
      <c r="BS8" s="42" t="str">
        <f>IF($J$24="Español","Reyerta en las Yermas y Elegido de Hashut",(IF($J$24="Deutsch","Düsterland-Rauferei und Auserwählte des Hashut",(IF($J$24="Français","Baggare des Terres Arides et Favoris de Hashut","Badlands Brawl and Favoured of Hashut")))))</f>
        <v>Reyerta en las Yermas y Elegido de Hashut</v>
      </c>
      <c r="BT8" s="3" t="s">
        <v>1508</v>
      </c>
      <c r="BX8" s="3"/>
      <c r="BY8" s="23" t="s">
        <v>46</v>
      </c>
      <c r="BZ8" s="23" t="s">
        <v>49</v>
      </c>
      <c r="CA8" s="24" t="s">
        <v>50</v>
      </c>
      <c r="CB8" s="23" t="s">
        <v>51</v>
      </c>
      <c r="CC8" s="25"/>
      <c r="CD8" s="25"/>
      <c r="CE8" s="23" t="s">
        <v>46</v>
      </c>
      <c r="CF8" s="23" t="s">
        <v>59</v>
      </c>
      <c r="CG8" s="24" t="s">
        <v>50</v>
      </c>
      <c r="CH8" s="25" t="s">
        <v>34</v>
      </c>
      <c r="CI8" s="2"/>
      <c r="CK8" s="2"/>
      <c r="CL8" s="2"/>
      <c r="CM8" s="2"/>
      <c r="CN8" s="2"/>
      <c r="CO8" s="2"/>
      <c r="CP8" s="2"/>
      <c r="CQ8" s="2"/>
      <c r="CR8" s="2"/>
      <c r="CS8" s="2"/>
      <c r="CT8" s="2"/>
      <c r="CU8" s="2"/>
      <c r="CV8" s="2"/>
      <c r="CW8" s="2"/>
      <c r="CX8" s="2"/>
      <c r="CY8" s="2"/>
      <c r="CZ8" s="2"/>
    </row>
    <row r="9" spans="1:104" ht="37.5" customHeight="1" x14ac:dyDescent="0.2">
      <c r="A9" s="33">
        <v>8</v>
      </c>
      <c r="B9" s="29"/>
      <c r="C9" s="205"/>
      <c r="D9" s="206"/>
      <c r="E9" s="206"/>
      <c r="F9" s="207"/>
      <c r="G9" s="35">
        <f>IF(C9="",0,(COUNTIF(C2:F17,C9)))</f>
        <v>0</v>
      </c>
      <c r="H9" s="36" t="s">
        <v>13</v>
      </c>
      <c r="I9" s="37">
        <f>IFERROR((VLOOKUP($BO$1&amp;C9,TeamsProPlayer!D:M,10,0)),0)</f>
        <v>0</v>
      </c>
      <c r="J9" s="38">
        <f t="shared" si="0"/>
        <v>0</v>
      </c>
      <c r="K9" s="38">
        <f t="shared" si="0"/>
        <v>0</v>
      </c>
      <c r="L9" s="38" t="str">
        <f t="shared" si="1"/>
        <v>0+</v>
      </c>
      <c r="M9" s="38" t="str">
        <f t="shared" si="1"/>
        <v>0+</v>
      </c>
      <c r="N9" s="38" t="str">
        <f t="shared" si="1"/>
        <v>0+</v>
      </c>
      <c r="O9" s="200">
        <f>IFERROR((IF(AV9="YES",(VLOOKUP($BO$1&amp;C9,TeamsProPlayer!D:M,7,0)),AW9)),"")</f>
        <v>0</v>
      </c>
      <c r="P9" s="201"/>
      <c r="Q9" s="201"/>
      <c r="R9" s="201"/>
      <c r="S9" s="201"/>
      <c r="T9" s="201"/>
      <c r="U9" s="201"/>
      <c r="V9" s="201"/>
      <c r="W9" s="201"/>
      <c r="X9" s="201"/>
      <c r="Y9" s="201"/>
      <c r="Z9" s="201"/>
      <c r="AA9" s="201"/>
      <c r="AB9" s="201"/>
      <c r="AC9" s="201"/>
      <c r="AD9" s="202"/>
      <c r="AE9" s="208"/>
      <c r="AF9" s="209"/>
      <c r="AG9" s="209"/>
      <c r="AH9" s="210"/>
      <c r="AI9" s="208"/>
      <c r="AJ9" s="209"/>
      <c r="AK9" s="209"/>
      <c r="AL9" s="210"/>
      <c r="AM9" s="203">
        <f>IFERROR((VLOOKUP($BO$1&amp;C9,TeamsProPlayer!D:M,8,0)),0)</f>
        <v>0</v>
      </c>
      <c r="AN9" s="211"/>
      <c r="AO9" s="204"/>
      <c r="AP9" s="213"/>
      <c r="AQ9" s="1">
        <f>IFERROR((((VLOOKUP($BO$1&amp;C9,TeamsProPlayer!D:M,9,0)+(AK9/1000)))),0)</f>
        <v>0</v>
      </c>
      <c r="AR9" s="2">
        <f>IFERROR((VLOOKUP($BO$1&amp;C9,TeamsProPlayer!D:N,11,0)),0)</f>
        <v>0</v>
      </c>
      <c r="AS9" s="2" t="str">
        <f t="shared" si="9"/>
        <v/>
      </c>
      <c r="AT9" s="2" t="str">
        <f t="shared" si="10"/>
        <v/>
      </c>
      <c r="AU9" s="2"/>
      <c r="AV9" s="2" t="str">
        <f t="shared" si="11"/>
        <v>YES</v>
      </c>
      <c r="AW9" s="2" t="str">
        <f t="shared" si="2"/>
        <v/>
      </c>
      <c r="AX9" s="39" t="str">
        <f t="shared" si="3"/>
        <v/>
      </c>
      <c r="AY9" s="39" t="str">
        <f t="shared" si="4"/>
        <v/>
      </c>
      <c r="AZ9" s="39" t="str">
        <f t="shared" si="5"/>
        <v/>
      </c>
      <c r="BA9" s="39" t="str">
        <f t="shared" si="6"/>
        <v/>
      </c>
      <c r="BB9" s="39"/>
      <c r="BC9" s="39"/>
      <c r="BD9" s="39" t="str">
        <f t="shared" si="7"/>
        <v/>
      </c>
      <c r="BE9" s="39" t="str">
        <f t="shared" si="8"/>
        <v/>
      </c>
      <c r="BF9" s="40" t="e">
        <f>IF(#REF!&lt;0,"",AX9&amp;AY9&amp;AZ9&amp;BA9&amp;BB9&amp;BC9&amp;BD9&amp;BE9)</f>
        <v>#REF!</v>
      </c>
      <c r="BG9" s="4" t="str">
        <f>IFERROR((IF((VLOOKUP($BO$1&amp;C9,TeamsProPlayer!D:M,7,0))="","",", ")),"")</f>
        <v xml:space="preserve">, </v>
      </c>
      <c r="BH9" t="str">
        <f>IF(AND((VLOOKUP($BO$1&amp;C9,TeamsProPlayer!D:M,7,0))="",AX9=""),"",", ")</f>
        <v xml:space="preserve">, </v>
      </c>
      <c r="BI9" s="2" t="str">
        <f>$BO$1&amp;8</f>
        <v>Black Orc8</v>
      </c>
      <c r="BJ9" t="str">
        <f>IFERROR(IF((VLOOKUP(BI9,TeamsProPlayer!B:C,2,FALSE))=0,"",(VLOOKUP(BI9,TeamsProPlayer!B:C,2,FALSE))),"")</f>
        <v/>
      </c>
      <c r="BK9" s="2"/>
      <c r="BL9" s="2" t="s">
        <v>41</v>
      </c>
      <c r="BM9" s="21" t="str">
        <f t="shared" ref="BM9:BM17" si="13">IF($J$24="Español",CF9,(IF($J$24="Deutsch",CG9,(IF($J$24="Français",CH8,CE9)))))</f>
        <v>Elfos Silvanos</v>
      </c>
      <c r="BN9" s="2" t="s">
        <v>42</v>
      </c>
      <c r="BO9" s="2"/>
      <c r="BP9" s="2">
        <v>70000</v>
      </c>
      <c r="BQ9" s="2">
        <v>50000</v>
      </c>
      <c r="BR9" s="2">
        <v>3</v>
      </c>
      <c r="BS9" s="42" t="str">
        <f>IF($J$24="Español","Elegido de…",(IF($J$24="Deutsch","Auserwählte des…",(IF($J$24="Français","Favoris de...","Favoured of…")))))</f>
        <v>Elegido de…</v>
      </c>
      <c r="BT9" s="3" t="s">
        <v>31</v>
      </c>
      <c r="BU9" s="3"/>
      <c r="BV9" s="3"/>
      <c r="BW9" s="3"/>
      <c r="BX9" s="3"/>
      <c r="BY9" s="23" t="s">
        <v>52</v>
      </c>
      <c r="BZ9" s="23" t="s">
        <v>54</v>
      </c>
      <c r="CA9" s="24" t="s">
        <v>55</v>
      </c>
      <c r="CB9" s="23" t="s">
        <v>56</v>
      </c>
      <c r="CC9" s="23"/>
      <c r="CD9" s="25"/>
      <c r="CE9" s="23" t="s">
        <v>52</v>
      </c>
      <c r="CF9" s="2" t="s">
        <v>162</v>
      </c>
      <c r="CG9" s="3" t="s">
        <v>60</v>
      </c>
      <c r="CH9" s="25" t="s">
        <v>1451</v>
      </c>
      <c r="CI9" s="2"/>
      <c r="CJ9" s="2"/>
      <c r="CK9" s="2"/>
      <c r="CL9" s="2"/>
      <c r="CM9" s="2"/>
      <c r="CN9" s="2"/>
      <c r="CO9" s="2"/>
      <c r="CP9" s="2"/>
      <c r="CQ9" s="2"/>
      <c r="CR9" s="2"/>
      <c r="CS9" s="2"/>
      <c r="CT9" s="2"/>
      <c r="CU9" s="2"/>
      <c r="CV9" s="2"/>
      <c r="CW9" s="2"/>
      <c r="CX9" s="2"/>
      <c r="CY9" s="2"/>
      <c r="CZ9" s="2"/>
    </row>
    <row r="10" spans="1:104" ht="37.5" customHeight="1" x14ac:dyDescent="0.2">
      <c r="A10" s="33">
        <v>9</v>
      </c>
      <c r="B10" s="29"/>
      <c r="C10" s="205"/>
      <c r="D10" s="206"/>
      <c r="E10" s="206"/>
      <c r="F10" s="207"/>
      <c r="G10" s="35">
        <f>IF(C10="",0,(COUNTIF(C2:F17,C10)))</f>
        <v>0</v>
      </c>
      <c r="H10" s="36" t="s">
        <v>13</v>
      </c>
      <c r="I10" s="37">
        <f>IFERROR((VLOOKUP($BO$1&amp;C10,TeamsProPlayer!D:M,10,0)),0)</f>
        <v>0</v>
      </c>
      <c r="J10" s="38">
        <f t="shared" si="0"/>
        <v>0</v>
      </c>
      <c r="K10" s="38">
        <f t="shared" si="0"/>
        <v>0</v>
      </c>
      <c r="L10" s="38" t="str">
        <f t="shared" si="1"/>
        <v>0+</v>
      </c>
      <c r="M10" s="38" t="str">
        <f t="shared" si="1"/>
        <v>0+</v>
      </c>
      <c r="N10" s="38" t="str">
        <f t="shared" si="1"/>
        <v>0+</v>
      </c>
      <c r="O10" s="200">
        <f>IFERROR((IF(AV10="YES",(VLOOKUP($BO$1&amp;C10,TeamsProPlayer!D:M,7,0)),AW10)),"")</f>
        <v>0</v>
      </c>
      <c r="P10" s="201"/>
      <c r="Q10" s="201"/>
      <c r="R10" s="201"/>
      <c r="S10" s="201"/>
      <c r="T10" s="201"/>
      <c r="U10" s="201"/>
      <c r="V10" s="201"/>
      <c r="W10" s="201"/>
      <c r="X10" s="201"/>
      <c r="Y10" s="201"/>
      <c r="Z10" s="201"/>
      <c r="AA10" s="201"/>
      <c r="AB10" s="201"/>
      <c r="AC10" s="201"/>
      <c r="AD10" s="202"/>
      <c r="AE10" s="208"/>
      <c r="AF10" s="209"/>
      <c r="AG10" s="209"/>
      <c r="AH10" s="210"/>
      <c r="AI10" s="208"/>
      <c r="AJ10" s="209"/>
      <c r="AK10" s="209"/>
      <c r="AL10" s="210"/>
      <c r="AM10" s="203">
        <f>IFERROR((VLOOKUP($BO$1&amp;C10,TeamsProPlayer!D:M,8,0)),0)</f>
        <v>0</v>
      </c>
      <c r="AN10" s="211"/>
      <c r="AO10" s="204"/>
      <c r="AP10" s="213"/>
      <c r="AQ10" s="1">
        <f>IFERROR((((VLOOKUP($BO$1&amp;C10,TeamsProPlayer!D:M,9,0)+(AK10/1000)))),0)</f>
        <v>0</v>
      </c>
      <c r="AR10" s="2">
        <f>IFERROR((VLOOKUP($BO$1&amp;C10,TeamsProPlayer!D:N,11,0)),0)</f>
        <v>0</v>
      </c>
      <c r="AS10" s="2" t="str">
        <f t="shared" si="9"/>
        <v/>
      </c>
      <c r="AT10" s="2" t="str">
        <f t="shared" si="10"/>
        <v/>
      </c>
      <c r="AU10" s="2"/>
      <c r="AV10" s="2" t="str">
        <f t="shared" si="11"/>
        <v>YES</v>
      </c>
      <c r="AW10" s="2" t="str">
        <f t="shared" si="2"/>
        <v/>
      </c>
      <c r="AX10" s="39" t="str">
        <f t="shared" si="3"/>
        <v/>
      </c>
      <c r="AY10" s="39" t="str">
        <f t="shared" si="4"/>
        <v/>
      </c>
      <c r="AZ10" s="39" t="str">
        <f t="shared" si="5"/>
        <v/>
      </c>
      <c r="BA10" s="39" t="str">
        <f t="shared" si="6"/>
        <v/>
      </c>
      <c r="BB10" s="39"/>
      <c r="BC10" s="39"/>
      <c r="BD10" s="39" t="str">
        <f t="shared" si="7"/>
        <v/>
      </c>
      <c r="BE10" s="39" t="str">
        <f t="shared" si="8"/>
        <v/>
      </c>
      <c r="BF10" s="40" t="e">
        <f>IF(#REF!&lt;0,"",AX10&amp;AY10&amp;AZ10&amp;BA10&amp;BB10&amp;BC10&amp;BD10&amp;BE10)</f>
        <v>#REF!</v>
      </c>
      <c r="BG10" s="4" t="str">
        <f>IFERROR((IF((VLOOKUP($BO$1&amp;C10,TeamsProPlayer!D:M,7,0))="","",", ")),"")</f>
        <v xml:space="preserve">, </v>
      </c>
      <c r="BH10" t="str">
        <f>IF(AND((VLOOKUP($BO$1&amp;C10,TeamsProPlayer!D:M,7,0))="",AX10=""),"",", ")</f>
        <v xml:space="preserve">, </v>
      </c>
      <c r="BI10" s="2" t="str">
        <f>$BO$1&amp;9</f>
        <v>Black Orc9</v>
      </c>
      <c r="BJ10" t="str">
        <f>IFERROR(IF((VLOOKUP(BI10,TeamsProPlayer!B:C,2,FALSE))=0,"",(VLOOKUP(BI10,TeamsProPlayer!B:C,2,FALSE))),"")</f>
        <v/>
      </c>
      <c r="BK10" s="2"/>
      <c r="BL10" s="2" t="s">
        <v>46</v>
      </c>
      <c r="BM10" s="21" t="str">
        <f t="shared" si="13"/>
        <v>Enanos</v>
      </c>
      <c r="BN10" s="2" t="s">
        <v>47</v>
      </c>
      <c r="BO10" s="2"/>
      <c r="BP10" s="2">
        <v>50000</v>
      </c>
      <c r="BQ10" s="2">
        <v>50000</v>
      </c>
      <c r="BR10" s="2">
        <v>0</v>
      </c>
      <c r="BS10" s="42" t="str">
        <f>IF($J$24="Español","Liga de los Reinos Elfos",(IF($J$24="Deutsch","Liga der Elfenkönigreiche",(IF($J$24="Français","Ligue des Royaumes Elfiques","Elven Kingdoms League")))))</f>
        <v>Liga de los Reinos Elfos</v>
      </c>
      <c r="BT10" s="3" t="s">
        <v>48</v>
      </c>
      <c r="BU10" s="3"/>
      <c r="BV10" s="3"/>
      <c r="BW10" s="3"/>
      <c r="BX10" s="3"/>
      <c r="BY10" s="23" t="s">
        <v>57</v>
      </c>
      <c r="BZ10" s="23" t="s">
        <v>59</v>
      </c>
      <c r="CA10" s="3" t="s">
        <v>60</v>
      </c>
      <c r="CB10" s="23" t="s">
        <v>61</v>
      </c>
      <c r="CC10" s="23"/>
      <c r="CD10" s="25"/>
      <c r="CE10" s="23" t="s">
        <v>57</v>
      </c>
      <c r="CF10" s="23" t="s">
        <v>54</v>
      </c>
      <c r="CG10" s="15" t="s">
        <v>1490</v>
      </c>
      <c r="CH10" s="2" t="s">
        <v>66</v>
      </c>
      <c r="CI10" s="2"/>
      <c r="CJ10" s="2"/>
      <c r="CK10" s="2"/>
      <c r="CL10" s="2"/>
      <c r="CM10" s="2"/>
      <c r="CN10" s="2"/>
      <c r="CO10" s="2"/>
      <c r="CP10" s="2"/>
      <c r="CQ10" s="2"/>
      <c r="CR10" s="2"/>
      <c r="CS10" s="2"/>
      <c r="CT10" s="2"/>
      <c r="CU10" s="2"/>
      <c r="CV10" s="2"/>
      <c r="CW10" s="2"/>
      <c r="CX10" s="2"/>
      <c r="CY10" s="2"/>
      <c r="CZ10" s="2"/>
    </row>
    <row r="11" spans="1:104" ht="37.5" customHeight="1" x14ac:dyDescent="0.2">
      <c r="A11" s="33">
        <v>10</v>
      </c>
      <c r="B11" s="29"/>
      <c r="C11" s="205"/>
      <c r="D11" s="206"/>
      <c r="E11" s="206"/>
      <c r="F11" s="207"/>
      <c r="G11" s="35">
        <f>IF(C11="",0,(COUNTIF(C2:F17,C11)))</f>
        <v>0</v>
      </c>
      <c r="H11" s="36" t="s">
        <v>13</v>
      </c>
      <c r="I11" s="37">
        <f>IFERROR((VLOOKUP($BO$1&amp;C11,TeamsProPlayer!D:M,10,0)),0)</f>
        <v>0</v>
      </c>
      <c r="J11" s="38">
        <f t="shared" si="0"/>
        <v>0</v>
      </c>
      <c r="K11" s="38">
        <f t="shared" si="0"/>
        <v>0</v>
      </c>
      <c r="L11" s="38" t="str">
        <f t="shared" si="1"/>
        <v>0+</v>
      </c>
      <c r="M11" s="38" t="str">
        <f t="shared" si="1"/>
        <v>0+</v>
      </c>
      <c r="N11" s="38" t="str">
        <f t="shared" si="1"/>
        <v>0+</v>
      </c>
      <c r="O11" s="200">
        <f>IFERROR((IF(AV11="YES",(VLOOKUP($BO$1&amp;C11,TeamsProPlayer!D:M,7,0)),AW11)),"")</f>
        <v>0</v>
      </c>
      <c r="P11" s="201"/>
      <c r="Q11" s="201"/>
      <c r="R11" s="201"/>
      <c r="S11" s="201"/>
      <c r="T11" s="201"/>
      <c r="U11" s="201"/>
      <c r="V11" s="201"/>
      <c r="W11" s="201"/>
      <c r="X11" s="201"/>
      <c r="Y11" s="201"/>
      <c r="Z11" s="201"/>
      <c r="AA11" s="201"/>
      <c r="AB11" s="201"/>
      <c r="AC11" s="201"/>
      <c r="AD11" s="202"/>
      <c r="AE11" s="208"/>
      <c r="AF11" s="209"/>
      <c r="AG11" s="209"/>
      <c r="AH11" s="210"/>
      <c r="AI11" s="208"/>
      <c r="AJ11" s="209"/>
      <c r="AK11" s="209"/>
      <c r="AL11" s="210"/>
      <c r="AM11" s="203">
        <f>IFERROR((VLOOKUP($BO$1&amp;C11,TeamsProPlayer!D:M,8,0)),0)</f>
        <v>0</v>
      </c>
      <c r="AN11" s="211"/>
      <c r="AO11" s="204"/>
      <c r="AP11" s="213"/>
      <c r="AQ11" s="1">
        <f>IFERROR((((VLOOKUP($BO$1&amp;C11,TeamsProPlayer!D:M,9,0)+(AK11/1000)))),0)</f>
        <v>0</v>
      </c>
      <c r="AR11" s="2">
        <f>IFERROR((VLOOKUP($BO$1&amp;C11,TeamsProPlayer!D:N,11,0)),0)</f>
        <v>0</v>
      </c>
      <c r="AS11" s="2" t="str">
        <f t="shared" si="9"/>
        <v/>
      </c>
      <c r="AT11" s="2" t="str">
        <f t="shared" si="10"/>
        <v/>
      </c>
      <c r="AU11" s="2"/>
      <c r="AV11" s="2" t="str">
        <f t="shared" si="11"/>
        <v>YES</v>
      </c>
      <c r="AW11" s="2" t="str">
        <f t="shared" si="2"/>
        <v/>
      </c>
      <c r="AX11" s="39" t="str">
        <f t="shared" si="3"/>
        <v/>
      </c>
      <c r="AY11" s="39" t="str">
        <f t="shared" si="4"/>
        <v/>
      </c>
      <c r="AZ11" s="39" t="str">
        <f t="shared" si="5"/>
        <v/>
      </c>
      <c r="BA11" s="39" t="str">
        <f t="shared" si="6"/>
        <v/>
      </c>
      <c r="BB11" s="39"/>
      <c r="BC11" s="39"/>
      <c r="BD11" s="39" t="str">
        <f t="shared" si="7"/>
        <v/>
      </c>
      <c r="BE11" s="39" t="str">
        <f t="shared" si="8"/>
        <v/>
      </c>
      <c r="BF11" s="40" t="e">
        <f>IF(#REF!&lt;0,"",AX11&amp;AY11&amp;AZ11&amp;BA11&amp;BB11&amp;BC11&amp;BD11&amp;BE11)</f>
        <v>#REF!</v>
      </c>
      <c r="BG11" s="4" t="str">
        <f>IFERROR((IF((VLOOKUP($BO$1&amp;C11,TeamsProPlayer!D:M,7,0))="","",", ")),"")</f>
        <v xml:space="preserve">, </v>
      </c>
      <c r="BH11" t="str">
        <f>IF(AND((VLOOKUP($BO$1&amp;C11,TeamsProPlayer!D:M,7,0))="",AX11=""),"",", ")</f>
        <v xml:space="preserve">, </v>
      </c>
      <c r="BI11" s="2" t="str">
        <f>$BO$1&amp;10</f>
        <v>Black Orc10</v>
      </c>
      <c r="BJ11" t="str">
        <f>IFERROR(IF((VLOOKUP(BI11,TeamsProPlayer!B:C,2,FALSE))=0,"",(VLOOKUP(BI11,TeamsProPlayer!B:C,2,FALSE))),"")</f>
        <v/>
      </c>
      <c r="BK11" s="2"/>
      <c r="BL11" s="2" t="s">
        <v>52</v>
      </c>
      <c r="BM11" s="21" t="str">
        <f t="shared" si="13"/>
        <v>Enanos del Caos</v>
      </c>
      <c r="BN11" s="2" t="s">
        <v>52</v>
      </c>
      <c r="BO11" s="2"/>
      <c r="BP11" s="2">
        <v>50000</v>
      </c>
      <c r="BQ11" s="2">
        <v>50000</v>
      </c>
      <c r="BR11" s="2">
        <v>1</v>
      </c>
      <c r="BS11" s="42" t="str">
        <f>IF($J$24="Español","Clásica del Viejo Mundo y Superliga del Fin del Mundo",(IF($J$24="Deutsch","Alte-Welt-Klassiker und Weltrandsuperliga",(IF($J$24="Français","Classique du Vieux Monde et Super-Ligue du Bord du Monde","Old World Classic and Worlds Edge Superleague")))))</f>
        <v>Clásica del Viejo Mundo y Superliga del Fin del Mundo</v>
      </c>
      <c r="BT11" s="3" t="s">
        <v>53</v>
      </c>
      <c r="BU11" s="3"/>
      <c r="BV11" s="3"/>
      <c r="BW11" s="3"/>
      <c r="BX11" s="3"/>
      <c r="BY11" s="23" t="s">
        <v>62</v>
      </c>
      <c r="BZ11" s="23" t="s">
        <v>64</v>
      </c>
      <c r="CA11" s="24" t="s">
        <v>65</v>
      </c>
      <c r="CB11" s="2" t="s">
        <v>66</v>
      </c>
      <c r="CC11" s="23"/>
      <c r="CD11" s="25"/>
      <c r="CE11" s="25" t="s">
        <v>1431</v>
      </c>
      <c r="CF11" s="2" t="s">
        <v>38</v>
      </c>
      <c r="CG11" s="24" t="s">
        <v>65</v>
      </c>
      <c r="CH11" s="23" t="s">
        <v>71</v>
      </c>
      <c r="CI11" s="2"/>
      <c r="CJ11" s="2"/>
      <c r="CK11" s="2"/>
      <c r="CL11" s="2"/>
      <c r="CM11" s="2"/>
      <c r="CN11" s="2"/>
      <c r="CO11" s="2"/>
      <c r="CP11" s="2"/>
      <c r="CQ11" s="2"/>
      <c r="CR11" s="2"/>
      <c r="CS11" s="2"/>
      <c r="CT11" s="2"/>
      <c r="CU11" s="2"/>
      <c r="CV11" s="2"/>
      <c r="CW11" s="2"/>
      <c r="CX11" s="2"/>
      <c r="CY11" s="2"/>
      <c r="CZ11" s="2"/>
    </row>
    <row r="12" spans="1:104" ht="37.5" customHeight="1" x14ac:dyDescent="0.2">
      <c r="A12" s="33">
        <v>11</v>
      </c>
      <c r="B12" s="29"/>
      <c r="C12" s="205"/>
      <c r="D12" s="206"/>
      <c r="E12" s="206"/>
      <c r="F12" s="207"/>
      <c r="G12" s="35">
        <f>IF(C12="",0,(COUNTIF(C2:F17,C12)))</f>
        <v>0</v>
      </c>
      <c r="H12" s="36" t="s">
        <v>13</v>
      </c>
      <c r="I12" s="37">
        <f>IFERROR((VLOOKUP($BO$1&amp;C12,TeamsProPlayer!D:M,10,0)),0)</f>
        <v>0</v>
      </c>
      <c r="J12" s="38">
        <f t="shared" si="0"/>
        <v>0</v>
      </c>
      <c r="K12" s="38">
        <f t="shared" si="0"/>
        <v>0</v>
      </c>
      <c r="L12" s="38" t="str">
        <f t="shared" si="1"/>
        <v>0+</v>
      </c>
      <c r="M12" s="38" t="str">
        <f t="shared" si="1"/>
        <v>0+</v>
      </c>
      <c r="N12" s="38" t="str">
        <f t="shared" si="1"/>
        <v>0+</v>
      </c>
      <c r="O12" s="200">
        <f>IFERROR((IF(AV12="YES",(VLOOKUP($BO$1&amp;C12,TeamsProPlayer!D:M,7,0)),AW12)),"")</f>
        <v>0</v>
      </c>
      <c r="P12" s="201"/>
      <c r="Q12" s="201"/>
      <c r="R12" s="201"/>
      <c r="S12" s="201"/>
      <c r="T12" s="201"/>
      <c r="U12" s="201"/>
      <c r="V12" s="201"/>
      <c r="W12" s="201"/>
      <c r="X12" s="201"/>
      <c r="Y12" s="201"/>
      <c r="Z12" s="201"/>
      <c r="AA12" s="201"/>
      <c r="AB12" s="201"/>
      <c r="AC12" s="201"/>
      <c r="AD12" s="202"/>
      <c r="AE12" s="208"/>
      <c r="AF12" s="209"/>
      <c r="AG12" s="209"/>
      <c r="AH12" s="210"/>
      <c r="AI12" s="208"/>
      <c r="AJ12" s="209"/>
      <c r="AK12" s="209"/>
      <c r="AL12" s="210"/>
      <c r="AM12" s="203">
        <f>IFERROR((VLOOKUP($BO$1&amp;C12,TeamsProPlayer!D:M,8,0)),0)</f>
        <v>0</v>
      </c>
      <c r="AN12" s="211"/>
      <c r="AO12" s="204"/>
      <c r="AP12" s="213"/>
      <c r="AQ12" s="1">
        <f>IFERROR((((VLOOKUP($BO$1&amp;C12,TeamsProPlayer!D:M,9,0)+(AK12/1000)))),0)</f>
        <v>0</v>
      </c>
      <c r="AR12" s="2">
        <f>IFERROR((VLOOKUP($BO$1&amp;C12,TeamsProPlayer!D:N,11,0)),0)</f>
        <v>0</v>
      </c>
      <c r="AS12" s="2" t="str">
        <f t="shared" si="9"/>
        <v/>
      </c>
      <c r="AT12" s="2" t="str">
        <f t="shared" si="10"/>
        <v/>
      </c>
      <c r="AU12" s="2"/>
      <c r="AV12" s="2" t="str">
        <f t="shared" si="11"/>
        <v>YES</v>
      </c>
      <c r="AW12" s="2" t="str">
        <f t="shared" si="2"/>
        <v/>
      </c>
      <c r="AX12" s="39" t="str">
        <f t="shared" si="3"/>
        <v/>
      </c>
      <c r="AY12" s="39" t="str">
        <f t="shared" si="4"/>
        <v/>
      </c>
      <c r="AZ12" s="39" t="str">
        <f t="shared" si="5"/>
        <v/>
      </c>
      <c r="BA12" s="39" t="str">
        <f t="shared" si="6"/>
        <v/>
      </c>
      <c r="BB12" s="39"/>
      <c r="BC12" s="39"/>
      <c r="BD12" s="39" t="str">
        <f t="shared" si="7"/>
        <v/>
      </c>
      <c r="BE12" s="39" t="str">
        <f t="shared" si="8"/>
        <v/>
      </c>
      <c r="BF12" s="40" t="e">
        <f>IF(#REF!&lt;0,"",AX12&amp;AY12&amp;AZ12&amp;BA12&amp;BB12&amp;BC12&amp;BD12&amp;BE12)</f>
        <v>#REF!</v>
      </c>
      <c r="BG12" s="4" t="str">
        <f>IFERROR((IF((VLOOKUP($BO$1&amp;C12,TeamsProPlayer!D:M,7,0))="","",", ")),"")</f>
        <v xml:space="preserve">, </v>
      </c>
      <c r="BH12" t="str">
        <f>IF(AND((VLOOKUP($BO$1&amp;C12,TeamsProPlayer!D:M,7,0))="",AX12=""),"",", ")</f>
        <v xml:space="preserve">, </v>
      </c>
      <c r="BI12" s="2" t="str">
        <f>$BO$1&amp;11</f>
        <v>Black Orc11</v>
      </c>
      <c r="BJ12" t="str">
        <f>IFERROR(IF((VLOOKUP(BI12,TeamsProPlayer!B:C,2,FALSE))=0,"",(VLOOKUP(BI12,TeamsProPlayer!B:C,2,FALSE))),"")</f>
        <v/>
      </c>
      <c r="BK12" s="2"/>
      <c r="BL12" s="2" t="s">
        <v>57</v>
      </c>
      <c r="BM12" s="21" t="str">
        <f t="shared" si="13"/>
        <v>Gnomos</v>
      </c>
      <c r="BN12" s="2" t="s">
        <v>58</v>
      </c>
      <c r="BO12" s="2"/>
      <c r="BP12" s="2">
        <v>50000</v>
      </c>
      <c r="BQ12" s="2">
        <v>50000</v>
      </c>
      <c r="BR12" s="2">
        <v>0</v>
      </c>
      <c r="BS12" s="42" t="str">
        <f>IF($J$24="Español","Liga de los Reinos Elfos",(IF($J$24="Deutsch","Liga der Elfenkönigreiche",(IF($J$24="Français","Ligue des Royaumes Elfiques","Elven Kingdoms League")))))</f>
        <v>Liga de los Reinos Elfos</v>
      </c>
      <c r="BT12" s="3" t="s">
        <v>48</v>
      </c>
      <c r="BU12" s="3"/>
      <c r="BV12" s="3"/>
      <c r="BW12" s="3"/>
      <c r="BX12" s="3"/>
      <c r="BY12" s="25" t="s">
        <v>1431</v>
      </c>
      <c r="BZ12" s="25" t="s">
        <v>1450</v>
      </c>
      <c r="CA12" s="15" t="s">
        <v>1490</v>
      </c>
      <c r="CB12" s="25" t="s">
        <v>1451</v>
      </c>
      <c r="CC12" s="23"/>
      <c r="CD12" s="25"/>
      <c r="CE12" s="23" t="s">
        <v>62</v>
      </c>
      <c r="CF12" s="25" t="s">
        <v>1450</v>
      </c>
      <c r="CG12" s="24" t="s">
        <v>70</v>
      </c>
      <c r="CH12" s="25" t="s">
        <v>76</v>
      </c>
      <c r="CI12" s="2"/>
      <c r="CJ12" s="2"/>
      <c r="CK12" s="2"/>
      <c r="CL12" s="2"/>
      <c r="CM12" s="2"/>
      <c r="CN12" s="2"/>
      <c r="CO12" s="2"/>
      <c r="CP12" s="2"/>
      <c r="CQ12" s="2"/>
      <c r="CR12" s="2"/>
      <c r="CS12" s="2"/>
      <c r="CT12" s="2"/>
      <c r="CU12" s="2"/>
      <c r="CV12" s="2"/>
      <c r="CW12" s="2"/>
      <c r="CX12" s="2"/>
      <c r="CY12" s="2"/>
      <c r="CZ12" s="2"/>
    </row>
    <row r="13" spans="1:104" ht="37.5" customHeight="1" x14ac:dyDescent="0.2">
      <c r="A13" s="33">
        <v>12</v>
      </c>
      <c r="B13" s="29"/>
      <c r="C13" s="212"/>
      <c r="D13" s="206"/>
      <c r="E13" s="206"/>
      <c r="F13" s="207"/>
      <c r="G13" s="35">
        <f>IF(C13="",0,(COUNTIF(C2:F17,C13)))</f>
        <v>0</v>
      </c>
      <c r="H13" s="36" t="s">
        <v>13</v>
      </c>
      <c r="I13" s="37">
        <f>IFERROR((VLOOKUP($BO$1&amp;C13,TeamsProPlayer!D:M,10,0)),0)</f>
        <v>0</v>
      </c>
      <c r="J13" s="38">
        <f t="shared" si="0"/>
        <v>0</v>
      </c>
      <c r="K13" s="38">
        <f t="shared" si="0"/>
        <v>0</v>
      </c>
      <c r="L13" s="38" t="str">
        <f t="shared" si="1"/>
        <v>0+</v>
      </c>
      <c r="M13" s="38" t="str">
        <f t="shared" si="1"/>
        <v>0+</v>
      </c>
      <c r="N13" s="38" t="str">
        <f t="shared" si="1"/>
        <v>0+</v>
      </c>
      <c r="O13" s="200">
        <f>IFERROR((IF(AV13="YES",(VLOOKUP($BO$1&amp;C13,TeamsProPlayer!D:M,7,0)),AW13)),"")</f>
        <v>0</v>
      </c>
      <c r="P13" s="201"/>
      <c r="Q13" s="201"/>
      <c r="R13" s="201"/>
      <c r="S13" s="201"/>
      <c r="T13" s="201"/>
      <c r="U13" s="201"/>
      <c r="V13" s="201"/>
      <c r="W13" s="201"/>
      <c r="X13" s="201"/>
      <c r="Y13" s="201"/>
      <c r="Z13" s="201"/>
      <c r="AA13" s="201"/>
      <c r="AB13" s="201"/>
      <c r="AC13" s="201"/>
      <c r="AD13" s="202"/>
      <c r="AE13" s="208"/>
      <c r="AF13" s="209"/>
      <c r="AG13" s="209"/>
      <c r="AH13" s="210"/>
      <c r="AI13" s="208"/>
      <c r="AJ13" s="209"/>
      <c r="AK13" s="209"/>
      <c r="AL13" s="210"/>
      <c r="AM13" s="203">
        <f>IFERROR((VLOOKUP($BO$1&amp;C13,TeamsProPlayer!D:M,8,0)),0)</f>
        <v>0</v>
      </c>
      <c r="AN13" s="211"/>
      <c r="AO13" s="204"/>
      <c r="AP13" s="213"/>
      <c r="AQ13" s="1">
        <f>IFERROR((((VLOOKUP($BO$1&amp;C13,TeamsProPlayer!D:M,9,0)+(AK13/1000)))),0)</f>
        <v>0</v>
      </c>
      <c r="AR13" s="2">
        <f>IFERROR((VLOOKUP($BO$1&amp;C13,TeamsProPlayer!D:N,11,0)),0)</f>
        <v>0</v>
      </c>
      <c r="AS13" s="2" t="str">
        <f t="shared" si="9"/>
        <v/>
      </c>
      <c r="AT13" s="2" t="str">
        <f t="shared" si="10"/>
        <v/>
      </c>
      <c r="AU13" s="2"/>
      <c r="AV13" s="2" t="str">
        <f t="shared" si="11"/>
        <v>YES</v>
      </c>
      <c r="AW13" s="2" t="str">
        <f t="shared" si="2"/>
        <v/>
      </c>
      <c r="AX13" s="39" t="str">
        <f t="shared" si="3"/>
        <v/>
      </c>
      <c r="AY13" s="39" t="str">
        <f t="shared" si="4"/>
        <v/>
      </c>
      <c r="AZ13" s="39" t="str">
        <f t="shared" si="5"/>
        <v/>
      </c>
      <c r="BA13" s="39" t="str">
        <f t="shared" si="6"/>
        <v/>
      </c>
      <c r="BB13" s="39"/>
      <c r="BC13" s="39"/>
      <c r="BD13" s="39" t="str">
        <f t="shared" si="7"/>
        <v/>
      </c>
      <c r="BE13" s="39" t="str">
        <f t="shared" si="8"/>
        <v/>
      </c>
      <c r="BF13" s="40" t="e">
        <f>IF(#REF!&lt;0,"",AX13&amp;AY13&amp;AZ13&amp;BA13&amp;BB13&amp;BC13&amp;BD13&amp;BE13)</f>
        <v>#REF!</v>
      </c>
      <c r="BG13" s="4" t="str">
        <f>IFERROR((IF((VLOOKUP($BO$1&amp;C13,TeamsProPlayer!D:M,7,0))="","",", ")),"")</f>
        <v xml:space="preserve">, </v>
      </c>
      <c r="BH13" t="str">
        <f>IF(AND((VLOOKUP($BO$1&amp;C13,TeamsProPlayer!D:M,7,0))="",AX13=""),"",", ")</f>
        <v xml:space="preserve">, </v>
      </c>
      <c r="BI13" s="2" t="str">
        <f>$BO$1&amp;12</f>
        <v>Black Orc12</v>
      </c>
      <c r="BJ13" t="str">
        <f>IFERROR(IF((VLOOKUP(BI13,TeamsProPlayer!B:C,2,FALSE))=0,"",(VLOOKUP(BI13,TeamsProPlayer!B:C,2,FALSE))),"")</f>
        <v/>
      </c>
      <c r="BK13" s="2"/>
      <c r="BL13" s="2" t="s">
        <v>62</v>
      </c>
      <c r="BM13" s="21" t="str">
        <f t="shared" si="13"/>
        <v>Goblins</v>
      </c>
      <c r="BN13" s="2" t="s">
        <v>62</v>
      </c>
      <c r="BO13" s="2"/>
      <c r="BP13" s="2">
        <v>60000</v>
      </c>
      <c r="BQ13" s="2">
        <v>50000</v>
      </c>
      <c r="BR13" s="2">
        <v>2</v>
      </c>
      <c r="BS13" s="42"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Reyerta en las Yermas, Reto del Inframundo y Sobornos y Corrupción</v>
      </c>
      <c r="BT13" s="3" t="s">
        <v>63</v>
      </c>
      <c r="BU13" s="3" t="s">
        <v>25</v>
      </c>
      <c r="BV13" s="3"/>
      <c r="BW13" s="3"/>
      <c r="BX13" s="3"/>
      <c r="BY13" s="23" t="s">
        <v>67</v>
      </c>
      <c r="BZ13" s="23" t="s">
        <v>69</v>
      </c>
      <c r="CA13" s="24" t="s">
        <v>70</v>
      </c>
      <c r="CB13" s="23" t="s">
        <v>71</v>
      </c>
      <c r="CC13" s="23"/>
      <c r="CD13" s="25"/>
      <c r="CE13" s="23" t="s">
        <v>67</v>
      </c>
      <c r="CF13" s="23" t="s">
        <v>64</v>
      </c>
      <c r="CG13" s="43" t="s">
        <v>75</v>
      </c>
      <c r="CH13" s="1" t="s">
        <v>95</v>
      </c>
      <c r="CI13" s="2"/>
      <c r="CJ13" s="2"/>
      <c r="CK13" s="2"/>
      <c r="CL13" s="2"/>
      <c r="CM13" s="2"/>
      <c r="CN13" s="2"/>
      <c r="CO13" s="2"/>
      <c r="CP13" s="2"/>
      <c r="CQ13" s="2"/>
      <c r="CR13" s="2"/>
      <c r="CS13" s="2"/>
      <c r="CT13" s="2"/>
      <c r="CU13" s="2"/>
      <c r="CV13" s="2"/>
      <c r="CW13" s="2"/>
      <c r="CX13" s="2"/>
      <c r="CY13" s="2"/>
      <c r="CZ13" s="2"/>
    </row>
    <row r="14" spans="1:104" ht="37.5" customHeight="1" x14ac:dyDescent="0.2">
      <c r="A14" s="33">
        <v>13</v>
      </c>
      <c r="B14" s="29"/>
      <c r="C14" s="212"/>
      <c r="D14" s="206"/>
      <c r="E14" s="206"/>
      <c r="F14" s="207"/>
      <c r="G14" s="35">
        <f>IF(C14="",0,(COUNTIF(C2:F17,C14)))</f>
        <v>0</v>
      </c>
      <c r="H14" s="36" t="s">
        <v>13</v>
      </c>
      <c r="I14" s="37">
        <f>IFERROR((VLOOKUP($BO$1&amp;C14,TeamsProPlayer!D:M,10,0)),0)</f>
        <v>0</v>
      </c>
      <c r="J14" s="38">
        <f t="shared" si="0"/>
        <v>0</v>
      </c>
      <c r="K14" s="38">
        <f t="shared" si="0"/>
        <v>0</v>
      </c>
      <c r="L14" s="38" t="str">
        <f t="shared" si="1"/>
        <v>0+</v>
      </c>
      <c r="M14" s="38" t="str">
        <f t="shared" si="1"/>
        <v>0+</v>
      </c>
      <c r="N14" s="38" t="str">
        <f t="shared" si="1"/>
        <v>0+</v>
      </c>
      <c r="O14" s="200">
        <f>IFERROR((IF(AV14="YES",(VLOOKUP($BO$1&amp;C14,TeamsProPlayer!D:M,7,0)),AW14)),"")</f>
        <v>0</v>
      </c>
      <c r="P14" s="201"/>
      <c r="Q14" s="201"/>
      <c r="R14" s="201"/>
      <c r="S14" s="201"/>
      <c r="T14" s="201"/>
      <c r="U14" s="201"/>
      <c r="V14" s="201"/>
      <c r="W14" s="201"/>
      <c r="X14" s="201"/>
      <c r="Y14" s="201"/>
      <c r="Z14" s="201"/>
      <c r="AA14" s="201"/>
      <c r="AB14" s="201"/>
      <c r="AC14" s="201"/>
      <c r="AD14" s="202"/>
      <c r="AE14" s="208"/>
      <c r="AF14" s="209"/>
      <c r="AG14" s="209"/>
      <c r="AH14" s="210"/>
      <c r="AI14" s="208"/>
      <c r="AJ14" s="209"/>
      <c r="AK14" s="209"/>
      <c r="AL14" s="210"/>
      <c r="AM14" s="203">
        <f>IFERROR((VLOOKUP($BO$1&amp;C14,TeamsProPlayer!D:M,8,0)),0)</f>
        <v>0</v>
      </c>
      <c r="AN14" s="211"/>
      <c r="AO14" s="204"/>
      <c r="AP14" s="213"/>
      <c r="AQ14" s="1">
        <f>IFERROR((((VLOOKUP($BO$1&amp;C14,TeamsProPlayer!D:M,9,0)+(AK14/1000)))),0)</f>
        <v>0</v>
      </c>
      <c r="AR14" s="2">
        <f>IFERROR((VLOOKUP($BO$1&amp;C14,TeamsProPlayer!D:N,11,0)),0)</f>
        <v>0</v>
      </c>
      <c r="AS14" s="2" t="str">
        <f t="shared" si="9"/>
        <v/>
      </c>
      <c r="AT14" s="2" t="str">
        <f t="shared" si="10"/>
        <v/>
      </c>
      <c r="AU14" s="2"/>
      <c r="AV14" s="2" t="str">
        <f t="shared" si="11"/>
        <v>YES</v>
      </c>
      <c r="AW14" s="2" t="str">
        <f t="shared" si="2"/>
        <v/>
      </c>
      <c r="AX14" s="39" t="str">
        <f t="shared" si="3"/>
        <v/>
      </c>
      <c r="AY14" s="39" t="str">
        <f t="shared" si="4"/>
        <v/>
      </c>
      <c r="AZ14" s="39" t="str">
        <f t="shared" si="5"/>
        <v/>
      </c>
      <c r="BA14" s="39" t="str">
        <f t="shared" si="6"/>
        <v/>
      </c>
      <c r="BB14" s="39"/>
      <c r="BC14" s="39"/>
      <c r="BD14" s="39" t="str">
        <f t="shared" si="7"/>
        <v/>
      </c>
      <c r="BE14" s="39" t="str">
        <f t="shared" si="8"/>
        <v/>
      </c>
      <c r="BF14" s="40" t="e">
        <f>IF(#REF!&lt;0,"",AX14&amp;AY14&amp;AZ14&amp;BA14&amp;BB14&amp;BC14&amp;BD14&amp;BE14)</f>
        <v>#REF!</v>
      </c>
      <c r="BG14" s="4" t="str">
        <f>IFERROR((IF((VLOOKUP($BO$1&amp;C14,TeamsProPlayer!D:M,7,0))="","",", ")),"")</f>
        <v xml:space="preserve">, </v>
      </c>
      <c r="BH14" t="str">
        <f>IF(AND((VLOOKUP($BO$1&amp;C14,TeamsProPlayer!D:M,7,0))="",AX14=""),"",", ")</f>
        <v xml:space="preserve">, </v>
      </c>
      <c r="BI14" s="2" t="str">
        <f>$BO$1&amp;13</f>
        <v>Black Orc13</v>
      </c>
      <c r="BJ14" t="str">
        <f>IFERROR(IF((VLOOKUP(BI14,TeamsProPlayer!B:C,2,FALSE))=0,"",(VLOOKUP(BI14,TeamsProPlayer!B:C,2,FALSE))),"")</f>
        <v/>
      </c>
      <c r="BK14" s="2"/>
      <c r="BL14" s="25" t="s">
        <v>1431</v>
      </c>
      <c r="BM14" s="21" t="str">
        <f t="shared" si="13"/>
        <v>Halflings</v>
      </c>
      <c r="BN14" s="25" t="s">
        <v>1431</v>
      </c>
      <c r="BP14" s="2">
        <v>50000</v>
      </c>
      <c r="BQ14" s="2">
        <v>50000</v>
      </c>
      <c r="BR14" s="2">
        <v>2</v>
      </c>
      <c r="BS14" s="42" t="str">
        <f>IF($J$24="Español","Copa Dedal Halfling",(IF($J$24="Deutsch","Halbling-Fingerhut-Pokal",(IF($J$24="Français","Coupe Dé à Coudre Halfling","Halfling Thimble Cup")))))</f>
        <v>Copa Dedal Halfling</v>
      </c>
      <c r="BT14" s="3" t="s">
        <v>1035</v>
      </c>
      <c r="BX14" s="3"/>
      <c r="BY14" s="23" t="s">
        <v>72</v>
      </c>
      <c r="BZ14" s="23" t="s">
        <v>74</v>
      </c>
      <c r="CA14" s="43" t="s">
        <v>75</v>
      </c>
      <c r="CB14" s="25" t="s">
        <v>76</v>
      </c>
      <c r="CC14" s="23"/>
      <c r="CD14" s="25"/>
      <c r="CE14" s="23" t="s">
        <v>72</v>
      </c>
      <c r="CF14" s="23" t="s">
        <v>69</v>
      </c>
      <c r="CG14" s="43" t="s">
        <v>85</v>
      </c>
      <c r="CH14" s="1" t="s">
        <v>101</v>
      </c>
      <c r="CI14" s="2"/>
      <c r="CJ14" s="2"/>
      <c r="CK14" s="2"/>
      <c r="CL14" s="2"/>
      <c r="CM14" s="2"/>
      <c r="CN14" s="2"/>
      <c r="CO14" s="2"/>
      <c r="CP14" s="2"/>
      <c r="CQ14" s="2"/>
      <c r="CR14" s="2"/>
      <c r="CS14" s="2"/>
      <c r="CT14" s="2"/>
      <c r="CU14" s="2"/>
      <c r="CV14" s="2"/>
      <c r="CW14" s="2"/>
      <c r="CX14" s="2"/>
      <c r="CY14" s="2"/>
      <c r="CZ14" s="2"/>
    </row>
    <row r="15" spans="1:104" ht="37.5" customHeight="1" x14ac:dyDescent="0.2">
      <c r="A15" s="33">
        <v>14</v>
      </c>
      <c r="B15" s="29"/>
      <c r="C15" s="212"/>
      <c r="D15" s="206"/>
      <c r="E15" s="206"/>
      <c r="F15" s="207"/>
      <c r="G15" s="35">
        <f>IF(C15="",0,(COUNTIF(C2:F17,C15)))</f>
        <v>0</v>
      </c>
      <c r="H15" s="36" t="s">
        <v>13</v>
      </c>
      <c r="I15" s="37">
        <f>IFERROR((VLOOKUP($BO$1&amp;C15,TeamsProPlayer!D:M,10,0)),0)</f>
        <v>0</v>
      </c>
      <c r="J15" s="38">
        <f t="shared" si="0"/>
        <v>0</v>
      </c>
      <c r="K15" s="38">
        <f t="shared" si="0"/>
        <v>0</v>
      </c>
      <c r="L15" s="38" t="str">
        <f t="shared" si="1"/>
        <v>0+</v>
      </c>
      <c r="M15" s="38" t="str">
        <f t="shared" si="1"/>
        <v>0+</v>
      </c>
      <c r="N15" s="38" t="str">
        <f t="shared" si="1"/>
        <v>0+</v>
      </c>
      <c r="O15" s="200">
        <f>IFERROR((IF(AV15="YES",(VLOOKUP($BO$1&amp;C15,TeamsProPlayer!D:M,7,0)),AW15)),"")</f>
        <v>0</v>
      </c>
      <c r="P15" s="201"/>
      <c r="Q15" s="201"/>
      <c r="R15" s="201"/>
      <c r="S15" s="201"/>
      <c r="T15" s="201"/>
      <c r="U15" s="201"/>
      <c r="V15" s="201"/>
      <c r="W15" s="201"/>
      <c r="X15" s="201"/>
      <c r="Y15" s="201"/>
      <c r="Z15" s="201"/>
      <c r="AA15" s="201"/>
      <c r="AB15" s="201"/>
      <c r="AC15" s="201"/>
      <c r="AD15" s="202"/>
      <c r="AE15" s="208"/>
      <c r="AF15" s="209"/>
      <c r="AG15" s="209"/>
      <c r="AH15" s="210"/>
      <c r="AI15" s="208"/>
      <c r="AJ15" s="209"/>
      <c r="AK15" s="209"/>
      <c r="AL15" s="210"/>
      <c r="AM15" s="203">
        <f>IFERROR((VLOOKUP($BO$1&amp;C15,TeamsProPlayer!D:M,8,0)),0)</f>
        <v>0</v>
      </c>
      <c r="AN15" s="211"/>
      <c r="AO15" s="204"/>
      <c r="AP15" s="213"/>
      <c r="AQ15" s="1">
        <f>IFERROR((((VLOOKUP($BO$1&amp;C15,TeamsProPlayer!D:M,9,0)+(AK15/1000)))),0)</f>
        <v>0</v>
      </c>
      <c r="AR15" s="2">
        <f>IFERROR((VLOOKUP($BO$1&amp;C15,TeamsProPlayer!D:N,11,0)),0)</f>
        <v>0</v>
      </c>
      <c r="AS15" s="2" t="str">
        <f t="shared" si="9"/>
        <v/>
      </c>
      <c r="AT15" s="2" t="str">
        <f t="shared" si="10"/>
        <v/>
      </c>
      <c r="AU15" s="2"/>
      <c r="AV15" s="2" t="str">
        <f t="shared" si="11"/>
        <v>YES</v>
      </c>
      <c r="AW15" s="2" t="str">
        <f t="shared" si="2"/>
        <v/>
      </c>
      <c r="AX15" s="39" t="str">
        <f t="shared" si="3"/>
        <v/>
      </c>
      <c r="AY15" s="39" t="str">
        <f t="shared" si="4"/>
        <v/>
      </c>
      <c r="AZ15" s="39" t="str">
        <f t="shared" si="5"/>
        <v/>
      </c>
      <c r="BA15" s="39" t="str">
        <f t="shared" si="6"/>
        <v/>
      </c>
      <c r="BB15" s="39"/>
      <c r="BC15" s="39"/>
      <c r="BD15" s="39" t="str">
        <f t="shared" si="7"/>
        <v/>
      </c>
      <c r="BE15" s="39" t="str">
        <f t="shared" si="8"/>
        <v/>
      </c>
      <c r="BF15" s="40" t="e">
        <f>IF(#REF!&lt;0,"",AX15&amp;AY15&amp;AZ15&amp;BA15&amp;BB15&amp;BC15&amp;BD15&amp;BE15)</f>
        <v>#REF!</v>
      </c>
      <c r="BG15" s="4" t="str">
        <f>IFERROR((IF((VLOOKUP($BO$1&amp;C15,TeamsProPlayer!D:M,7,0))="","",", ")),"")</f>
        <v xml:space="preserve">, </v>
      </c>
      <c r="BH15" t="str">
        <f>IF(AND((VLOOKUP($BO$1&amp;C15,TeamsProPlayer!D:M,7,0))="",AX15=""),"",", ")</f>
        <v xml:space="preserve">, </v>
      </c>
      <c r="BI15" s="2"/>
      <c r="BK15" s="2"/>
      <c r="BL15" s="2" t="s">
        <v>67</v>
      </c>
      <c r="BM15" s="21" t="str">
        <f t="shared" si="13"/>
        <v>Humanos</v>
      </c>
      <c r="BN15" s="2" t="s">
        <v>67</v>
      </c>
      <c r="BO15" s="2"/>
      <c r="BP15" s="2">
        <v>60000</v>
      </c>
      <c r="BQ15" s="2">
        <v>50000</v>
      </c>
      <c r="BR15" s="2">
        <v>2</v>
      </c>
      <c r="BS15" s="42" t="str">
        <f>IF($J$24="Español","Copa Dedal Halfling",(IF($J$24="Deutsch","Halbling-Fingerhut-Pokal",(IF($J$24="Français","Coupe Dé à Coudre Halfling","Halfling Thimble Cup")))))</f>
        <v>Copa Dedal Halfling</v>
      </c>
      <c r="BT15" s="3" t="s">
        <v>68</v>
      </c>
      <c r="BU15" s="3"/>
      <c r="BV15" s="3"/>
      <c r="BW15" s="3"/>
      <c r="BX15" s="3"/>
      <c r="BY15" s="23" t="s">
        <v>77</v>
      </c>
      <c r="BZ15" s="23" t="s">
        <v>79</v>
      </c>
      <c r="CA15" s="43" t="s">
        <v>80</v>
      </c>
      <c r="CB15" s="25" t="s">
        <v>81</v>
      </c>
      <c r="CC15" s="25"/>
      <c r="CD15" s="25"/>
      <c r="CE15" s="23" t="s">
        <v>77</v>
      </c>
      <c r="CF15" s="23" t="s">
        <v>79</v>
      </c>
      <c r="CG15" s="46" t="s">
        <v>89</v>
      </c>
      <c r="CH15" s="25" t="s">
        <v>81</v>
      </c>
      <c r="CI15" s="2"/>
      <c r="CJ15" s="2"/>
      <c r="CK15" s="2"/>
      <c r="CL15" s="2"/>
      <c r="CM15" s="2"/>
      <c r="CN15" s="2"/>
      <c r="CO15" s="2"/>
      <c r="CP15" s="2"/>
      <c r="CQ15" s="2"/>
      <c r="CR15" s="2"/>
      <c r="CS15" s="2"/>
      <c r="CT15" s="2"/>
      <c r="CU15" s="2"/>
      <c r="CV15" s="2"/>
      <c r="CW15" s="2"/>
      <c r="CX15" s="2"/>
      <c r="CY15" s="2"/>
      <c r="CZ15" s="2"/>
    </row>
    <row r="16" spans="1:104" ht="37.5" customHeight="1" x14ac:dyDescent="0.2">
      <c r="A16" s="33">
        <v>15</v>
      </c>
      <c r="B16" s="29"/>
      <c r="C16" s="212"/>
      <c r="D16" s="206"/>
      <c r="E16" s="206"/>
      <c r="F16" s="207"/>
      <c r="G16" s="35">
        <f t="shared" ref="G16:G17" si="14">IF(C16="",0,(COUNTIF(C2:F17,C16)))</f>
        <v>0</v>
      </c>
      <c r="H16" s="36" t="s">
        <v>13</v>
      </c>
      <c r="I16" s="37">
        <f>IFERROR((VLOOKUP($BO$1&amp;C16,TeamsProPlayer!D:M,10,0)),0)</f>
        <v>0</v>
      </c>
      <c r="J16" s="38">
        <f t="shared" si="0"/>
        <v>0</v>
      </c>
      <c r="K16" s="38">
        <f t="shared" si="0"/>
        <v>0</v>
      </c>
      <c r="L16" s="38" t="str">
        <f t="shared" si="1"/>
        <v>0+</v>
      </c>
      <c r="M16" s="38" t="str">
        <f t="shared" si="1"/>
        <v>0+</v>
      </c>
      <c r="N16" s="38" t="str">
        <f t="shared" si="1"/>
        <v>0+</v>
      </c>
      <c r="O16" s="200">
        <f>IFERROR((IF(AV16="YES",(VLOOKUP($BO$1&amp;C16,TeamsProPlayer!D:M,7,0)),AW16)),"")</f>
        <v>0</v>
      </c>
      <c r="P16" s="201"/>
      <c r="Q16" s="201"/>
      <c r="R16" s="201"/>
      <c r="S16" s="201"/>
      <c r="T16" s="201"/>
      <c r="U16" s="201"/>
      <c r="V16" s="201"/>
      <c r="W16" s="201"/>
      <c r="X16" s="201"/>
      <c r="Y16" s="201"/>
      <c r="Z16" s="201"/>
      <c r="AA16" s="201"/>
      <c r="AB16" s="201"/>
      <c r="AC16" s="201"/>
      <c r="AD16" s="202"/>
      <c r="AE16" s="208"/>
      <c r="AF16" s="209"/>
      <c r="AG16" s="209"/>
      <c r="AH16" s="210"/>
      <c r="AI16" s="208"/>
      <c r="AJ16" s="209"/>
      <c r="AK16" s="209"/>
      <c r="AL16" s="210"/>
      <c r="AM16" s="203">
        <f>IFERROR((VLOOKUP($BO$1&amp;C16,TeamsProPlayer!D:M,8,0)),0)</f>
        <v>0</v>
      </c>
      <c r="AN16" s="211"/>
      <c r="AO16" s="204"/>
      <c r="AP16" s="213"/>
      <c r="AQ16" s="1">
        <f>IFERROR((((VLOOKUP($BO$1&amp;C16,TeamsProPlayer!D:M,9,0)+(AK16/1000)))),0)</f>
        <v>0</v>
      </c>
      <c r="AR16" s="2">
        <f>IFERROR((VLOOKUP($BO$1&amp;C16,TeamsProPlayer!D:N,11,0)),0)</f>
        <v>0</v>
      </c>
      <c r="AS16" s="2" t="str">
        <f t="shared" si="9"/>
        <v/>
      </c>
      <c r="AT16" s="2" t="str">
        <f>IF(AR16&gt;0,(IF($BA$77&gt;$BA$79,(IF($J$24="Italiano","Il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6" s="2"/>
      <c r="AV16" s="2" t="str">
        <f t="shared" si="11"/>
        <v>YES</v>
      </c>
      <c r="AW16" s="2" t="str">
        <f t="shared" si="2"/>
        <v/>
      </c>
      <c r="AX16" s="39" t="str">
        <f t="shared" si="3"/>
        <v/>
      </c>
      <c r="AY16" s="39" t="str">
        <f t="shared" si="4"/>
        <v/>
      </c>
      <c r="AZ16" s="39" t="str">
        <f t="shared" si="5"/>
        <v/>
      </c>
      <c r="BA16" s="39" t="str">
        <f t="shared" si="6"/>
        <v/>
      </c>
      <c r="BB16" s="39"/>
      <c r="BC16" s="39"/>
      <c r="BD16" s="39" t="str">
        <f t="shared" si="7"/>
        <v/>
      </c>
      <c r="BE16" s="39" t="str">
        <f t="shared" si="8"/>
        <v/>
      </c>
      <c r="BF16" s="40" t="e">
        <f>IF(#REF!&lt;0,"",AX16&amp;AY16&amp;AZ16&amp;BA16&amp;BB16&amp;BC16&amp;BD16&amp;BE16)</f>
        <v>#REF!</v>
      </c>
      <c r="BG16" s="4" t="str">
        <f>IFERROR((IF((VLOOKUP($BO$1&amp;C16,TeamsProPlayer!D:M,7,0))="","",", ")),"")</f>
        <v xml:space="preserve">, </v>
      </c>
      <c r="BH16" t="str">
        <f>IF(AND((VLOOKUP($BO$1&amp;C16,TeamsProPlayer!D:M,7,0))="",AX16=""),"",", ")</f>
        <v xml:space="preserve">, </v>
      </c>
      <c r="BK16" s="2"/>
      <c r="BL16" s="2" t="s">
        <v>72</v>
      </c>
      <c r="BM16" s="21" t="str">
        <f t="shared" si="13"/>
        <v>Inframundo</v>
      </c>
      <c r="BN16" s="2" t="s">
        <v>73</v>
      </c>
      <c r="BO16" s="2"/>
      <c r="BP16" s="2">
        <v>50000</v>
      </c>
      <c r="BQ16" s="2">
        <v>50000</v>
      </c>
      <c r="BR16" s="2">
        <v>0</v>
      </c>
      <c r="BS16" s="42" t="str">
        <f>IF($J$24="Español","Liga de los Reinos Elfos",(IF($J$24="Deutsch","Liga der Elfenkönigreiche",(IF($J$24="Français","Ligue des Royaumes Elfiques","Elven Kingdoms League")))))</f>
        <v>Liga de los Reinos Elfos</v>
      </c>
      <c r="BT16" s="3" t="s">
        <v>48</v>
      </c>
      <c r="BU16" s="3"/>
      <c r="BV16" s="3"/>
      <c r="BW16" s="3"/>
      <c r="BX16" s="3"/>
      <c r="BY16" s="23" t="s">
        <v>82</v>
      </c>
      <c r="BZ16" s="23" t="s">
        <v>84</v>
      </c>
      <c r="CA16" s="43" t="s">
        <v>85</v>
      </c>
      <c r="CB16" s="25" t="s">
        <v>86</v>
      </c>
      <c r="CC16" s="25"/>
      <c r="CD16" s="25"/>
      <c r="CE16" s="23" t="s">
        <v>82</v>
      </c>
      <c r="CF16" s="2" t="s">
        <v>156</v>
      </c>
      <c r="CG16" s="46" t="s">
        <v>94</v>
      </c>
      <c r="CH16" s="1" t="s">
        <v>90</v>
      </c>
      <c r="CI16" s="2"/>
      <c r="CJ16" s="2"/>
      <c r="CK16" s="2"/>
      <c r="CL16" s="2"/>
      <c r="CM16" s="2"/>
      <c r="CN16" s="2"/>
      <c r="CO16" s="2"/>
      <c r="CP16" s="2"/>
      <c r="CQ16" s="2"/>
      <c r="CR16" s="2"/>
      <c r="CS16" s="2"/>
      <c r="CT16" s="2"/>
      <c r="CU16" s="2"/>
      <c r="CV16" s="2"/>
      <c r="CW16" s="2"/>
      <c r="CX16" s="2"/>
      <c r="CY16" s="2"/>
      <c r="CZ16" s="2"/>
    </row>
    <row r="17" spans="1:104" ht="37.5" customHeight="1" x14ac:dyDescent="0.2">
      <c r="A17" s="33">
        <v>16</v>
      </c>
      <c r="B17" s="29"/>
      <c r="C17" s="205"/>
      <c r="D17" s="206"/>
      <c r="E17" s="206"/>
      <c r="F17" s="207"/>
      <c r="G17" s="35">
        <f t="shared" si="14"/>
        <v>0</v>
      </c>
      <c r="H17" s="36" t="s">
        <v>13</v>
      </c>
      <c r="I17" s="37">
        <f>IFERROR((VLOOKUP($BO$1&amp;C17,TeamsProPlayer!D:M,10,0)),0)</f>
        <v>0</v>
      </c>
      <c r="J17" s="38">
        <f t="shared" si="0"/>
        <v>0</v>
      </c>
      <c r="K17" s="38">
        <f t="shared" si="0"/>
        <v>0</v>
      </c>
      <c r="L17" s="38" t="str">
        <f t="shared" si="1"/>
        <v>0+</v>
      </c>
      <c r="M17" s="38" t="str">
        <f t="shared" si="1"/>
        <v>0+</v>
      </c>
      <c r="N17" s="38" t="str">
        <f t="shared" si="1"/>
        <v>0+</v>
      </c>
      <c r="O17" s="200">
        <f>IFERROR((IF(AV17="YES",(VLOOKUP($BO$1&amp;C17,TeamsProPlayer!D:M,7,0)),AW17)),"")</f>
        <v>0</v>
      </c>
      <c r="P17" s="201"/>
      <c r="Q17" s="201"/>
      <c r="R17" s="201"/>
      <c r="S17" s="201"/>
      <c r="T17" s="201"/>
      <c r="U17" s="201"/>
      <c r="V17" s="201"/>
      <c r="W17" s="201"/>
      <c r="X17" s="201"/>
      <c r="Y17" s="201"/>
      <c r="Z17" s="201"/>
      <c r="AA17" s="201"/>
      <c r="AB17" s="201"/>
      <c r="AC17" s="201"/>
      <c r="AD17" s="202"/>
      <c r="AE17" s="208"/>
      <c r="AF17" s="209"/>
      <c r="AG17" s="209"/>
      <c r="AH17" s="210"/>
      <c r="AI17" s="208"/>
      <c r="AJ17" s="209"/>
      <c r="AK17" s="209"/>
      <c r="AL17" s="210"/>
      <c r="AM17" s="203">
        <f>IFERROR((VLOOKUP($BO$1&amp;C17,TeamsProPlayer!D:M,8,0)),0)</f>
        <v>0</v>
      </c>
      <c r="AN17" s="211"/>
      <c r="AO17" s="204"/>
      <c r="AP17" s="213"/>
      <c r="AQ17" s="1">
        <f>IFERROR((((VLOOKUP($BO$1&amp;C17,TeamsProPlayer!D:M,9,0)+(AK17/1000)))),0)</f>
        <v>0</v>
      </c>
      <c r="AR17" s="2">
        <f>IFERROR((VLOOKUP($BO$1&amp;C17,TeamsProPlayer!D:N,11,0)),0)</f>
        <v>0</v>
      </c>
      <c r="AS17" s="2" t="str">
        <f t="shared" si="9"/>
        <v/>
      </c>
      <c r="AT17" s="2" t="str">
        <f>IF(AR17&gt;0,(IF($BA$77&gt;$BA$79,(IF($J$24="Italiano","Il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7" s="2"/>
      <c r="AV17" s="2" t="str">
        <f t="shared" si="11"/>
        <v>YES</v>
      </c>
      <c r="AW17" s="2" t="str">
        <f t="shared" si="2"/>
        <v/>
      </c>
      <c r="AX17" s="39" t="str">
        <f t="shared" si="3"/>
        <v/>
      </c>
      <c r="AY17" s="39" t="str">
        <f t="shared" si="4"/>
        <v/>
      </c>
      <c r="AZ17" s="39" t="str">
        <f t="shared" si="5"/>
        <v/>
      </c>
      <c r="BA17" s="39" t="str">
        <f t="shared" si="6"/>
        <v/>
      </c>
      <c r="BB17" s="39"/>
      <c r="BC17" s="39"/>
      <c r="BD17" s="39" t="str">
        <f t="shared" si="7"/>
        <v/>
      </c>
      <c r="BE17" s="39" t="str">
        <f t="shared" si="8"/>
        <v/>
      </c>
      <c r="BF17" s="40" t="e">
        <f>IF(#REF!&lt;0,"",AX17&amp;AY17&amp;AZ17&amp;BA17&amp;BB17&amp;BC17&amp;BD17&amp;BE17)</f>
        <v>#REF!</v>
      </c>
      <c r="BG17" s="4" t="str">
        <f>IFERROR((IF((VLOOKUP($BO$1&amp;C17,TeamsProPlayer!D:M,7,0))="","",", ")),"")</f>
        <v xml:space="preserve">, </v>
      </c>
      <c r="BH17" t="str">
        <f>IF(AND((VLOOKUP($BO$1&amp;C17,TeamsProPlayer!D:M,7,0))="",AX17=""),"",", ")</f>
        <v xml:space="preserve">, </v>
      </c>
      <c r="BK17" s="2"/>
      <c r="BL17" s="2" t="s">
        <v>77</v>
      </c>
      <c r="BM17" s="21" t="str">
        <f t="shared" si="13"/>
        <v>Khemri</v>
      </c>
      <c r="BN17" s="2" t="s">
        <v>77</v>
      </c>
      <c r="BO17" s="2"/>
      <c r="BP17" s="2">
        <v>50000</v>
      </c>
      <c r="BQ17" s="2">
        <v>50000</v>
      </c>
      <c r="BR17" s="2">
        <v>1</v>
      </c>
      <c r="BS17" s="42" t="str">
        <f>IF($J$24="Español","Clásica del Viejo Mundo",(IF($J$24="Deutsch","Alte-Welt-Klassiker",(IF($J$24="Français","Classique du Vieux Monde","Old World Classic")))))</f>
        <v>Clásica del Viejo Mundo</v>
      </c>
      <c r="BT17" s="3" t="s">
        <v>78</v>
      </c>
      <c r="BU17" s="3"/>
      <c r="BV17" s="3"/>
      <c r="BW17" s="3"/>
      <c r="BX17" s="3"/>
      <c r="BY17" s="2" t="s">
        <v>87</v>
      </c>
      <c r="BZ17" s="2" t="s">
        <v>88</v>
      </c>
      <c r="CA17" s="46" t="s">
        <v>89</v>
      </c>
      <c r="CB17" s="1" t="s">
        <v>90</v>
      </c>
      <c r="CC17" s="1"/>
      <c r="CD17" s="1"/>
      <c r="CE17" s="2" t="s">
        <v>87</v>
      </c>
      <c r="CF17" s="2" t="s">
        <v>151</v>
      </c>
      <c r="CG17" s="43" t="s">
        <v>80</v>
      </c>
      <c r="CH17" s="1" t="s">
        <v>132</v>
      </c>
      <c r="CI17" s="2"/>
      <c r="CJ17" s="2"/>
      <c r="CK17" s="2"/>
      <c r="CL17" s="2"/>
      <c r="CM17" s="2"/>
      <c r="CN17" s="2"/>
      <c r="CO17" s="2"/>
      <c r="CP17" s="2"/>
      <c r="CQ17" s="2"/>
      <c r="CR17" s="2"/>
      <c r="CS17" s="2"/>
      <c r="CT17" s="2"/>
      <c r="CU17" s="2"/>
      <c r="CV17" s="2"/>
      <c r="CW17" s="2"/>
      <c r="CX17" s="2"/>
      <c r="CY17" s="2"/>
      <c r="CZ17" s="2"/>
    </row>
    <row r="18" spans="1:104" ht="45" hidden="1" customHeight="1" x14ac:dyDescent="0.2">
      <c r="A18" s="33" t="s">
        <v>91</v>
      </c>
      <c r="B18" s="45"/>
      <c r="C18" s="197"/>
      <c r="D18" s="198"/>
      <c r="E18" s="198"/>
      <c r="F18" s="199"/>
      <c r="G18" s="35"/>
      <c r="H18" s="36"/>
      <c r="I18" s="37"/>
      <c r="J18" s="38"/>
      <c r="K18" s="38"/>
      <c r="L18" s="38"/>
      <c r="M18" s="38"/>
      <c r="N18" s="38"/>
      <c r="O18" s="200"/>
      <c r="P18" s="201"/>
      <c r="Q18" s="201"/>
      <c r="R18" s="201"/>
      <c r="S18" s="201"/>
      <c r="T18" s="201"/>
      <c r="U18" s="201"/>
      <c r="V18" s="201"/>
      <c r="W18" s="201"/>
      <c r="X18" s="201"/>
      <c r="Y18" s="201"/>
      <c r="Z18" s="202"/>
      <c r="AA18" s="200"/>
      <c r="AB18" s="201"/>
      <c r="AC18" s="201"/>
      <c r="AD18" s="201"/>
      <c r="AE18" s="201"/>
      <c r="AF18" s="201"/>
      <c r="AG18" s="201"/>
      <c r="AH18" s="201"/>
      <c r="AI18" s="201"/>
      <c r="AJ18" s="201"/>
      <c r="AK18" s="201"/>
      <c r="AL18" s="201"/>
      <c r="AM18" s="202"/>
      <c r="AN18" s="203"/>
      <c r="AO18" s="204"/>
      <c r="AP18" s="213"/>
      <c r="AQ18" s="1">
        <f t="shared" ref="AQ18:AQ19" si="15">IFERROR(AN18/1000,0)</f>
        <v>0</v>
      </c>
      <c r="AR18" s="1"/>
      <c r="AS18" s="2" t="str">
        <f>IF(G18&gt;I18,(IF($J$24="English","Player limit exceded… You are cheating!",(IF($J$24="Español","Límite de jugadores excedido… ¡Estás haciendo trampas!",(IF($J$24="Deutsch","Spieler-Limit überschritten… Du schummelst!",(IF($J$24="Français","Tu as trop de joueurs… Tricheur!","")))))))),"")</f>
        <v/>
      </c>
      <c r="AT18" s="1"/>
      <c r="AU18" s="1"/>
      <c r="AV18" s="1"/>
      <c r="AW18" s="1"/>
      <c r="AX18" s="2"/>
      <c r="AY18" s="2"/>
      <c r="AZ18" s="2"/>
      <c r="BA18" s="2"/>
      <c r="BB18" s="2"/>
      <c r="BC18" s="2"/>
      <c r="BD18" s="2"/>
      <c r="BE18" s="2"/>
      <c r="BK18" s="2"/>
      <c r="BL18" s="2" t="s">
        <v>82</v>
      </c>
      <c r="BM18" s="21" t="str">
        <f t="shared" si="12"/>
        <v xml:space="preserve">Khorne </v>
      </c>
      <c r="BN18" s="2" t="s">
        <v>83</v>
      </c>
      <c r="BO18" s="2"/>
      <c r="BP18" s="2">
        <v>70000</v>
      </c>
      <c r="BQ18" s="2">
        <v>50000</v>
      </c>
      <c r="BR18" s="2">
        <v>1</v>
      </c>
      <c r="BS18" s="42" t="str">
        <f>IF($J$24="Español","Clásica del Viejo Mundo",(IF($J$24="Deutsch","Alte-Welt-Klassiker",(IF($J$24="Français","Classique du Vieux Monde","Old World Classic")))))</f>
        <v>Clásica del Viejo Mundo</v>
      </c>
      <c r="BT18" s="3" t="s">
        <v>78</v>
      </c>
      <c r="BU18" s="3"/>
      <c r="BV18" s="3"/>
      <c r="BW18" s="3"/>
      <c r="BX18" s="3"/>
      <c r="BY18" s="2" t="s">
        <v>92</v>
      </c>
      <c r="BZ18" s="2" t="s">
        <v>93</v>
      </c>
      <c r="CA18" s="46" t="s">
        <v>94</v>
      </c>
      <c r="CB18" s="1" t="s">
        <v>95</v>
      </c>
      <c r="CC18" s="7"/>
      <c r="CD18" s="1"/>
      <c r="CE18" s="2" t="s">
        <v>92</v>
      </c>
      <c r="CF18" s="2" t="s">
        <v>88</v>
      </c>
      <c r="CG18" s="46" t="s">
        <v>100</v>
      </c>
      <c r="CH18" s="23" t="s">
        <v>56</v>
      </c>
      <c r="CI18" s="2"/>
      <c r="CJ18" s="2"/>
      <c r="CK18" s="2"/>
      <c r="CL18" s="2"/>
      <c r="CM18" s="2"/>
      <c r="CN18" s="2"/>
      <c r="CO18" s="2"/>
      <c r="CP18" s="2"/>
      <c r="CQ18" s="2"/>
      <c r="CR18" s="2"/>
      <c r="CS18" s="2"/>
      <c r="CT18" s="2"/>
      <c r="CU18" s="2"/>
      <c r="CV18" s="2"/>
      <c r="CW18" s="2"/>
      <c r="CX18" s="2"/>
      <c r="CY18" s="2"/>
      <c r="CZ18" s="2"/>
    </row>
    <row r="19" spans="1:104" ht="45" hidden="1" customHeight="1" x14ac:dyDescent="0.2">
      <c r="A19" s="47" t="s">
        <v>91</v>
      </c>
      <c r="B19" s="45"/>
      <c r="C19" s="197"/>
      <c r="D19" s="198"/>
      <c r="E19" s="198"/>
      <c r="F19" s="199"/>
      <c r="G19" s="48"/>
      <c r="H19" s="49"/>
      <c r="I19" s="50"/>
      <c r="J19" s="51"/>
      <c r="K19" s="51"/>
      <c r="L19" s="38"/>
      <c r="M19" s="38"/>
      <c r="N19" s="51"/>
      <c r="O19" s="200"/>
      <c r="P19" s="201"/>
      <c r="Q19" s="201"/>
      <c r="R19" s="201"/>
      <c r="S19" s="201"/>
      <c r="T19" s="201"/>
      <c r="U19" s="201"/>
      <c r="V19" s="201"/>
      <c r="W19" s="201"/>
      <c r="X19" s="201"/>
      <c r="Y19" s="201"/>
      <c r="Z19" s="202"/>
      <c r="AA19" s="200"/>
      <c r="AB19" s="201"/>
      <c r="AC19" s="201"/>
      <c r="AD19" s="201"/>
      <c r="AE19" s="201"/>
      <c r="AF19" s="201"/>
      <c r="AG19" s="201"/>
      <c r="AH19" s="201"/>
      <c r="AI19" s="201"/>
      <c r="AJ19" s="201"/>
      <c r="AK19" s="201"/>
      <c r="AL19" s="201"/>
      <c r="AM19" s="202"/>
      <c r="AN19" s="203"/>
      <c r="AO19" s="204"/>
      <c r="AP19" s="213"/>
      <c r="AQ19" s="1">
        <f t="shared" si="15"/>
        <v>0</v>
      </c>
      <c r="AR19" s="1"/>
      <c r="AS19" s="2" t="str">
        <f t="shared" ref="AS19:AS20" si="16">IF(G19&gt;I19,(IF($J$24="English","Player limit exceded… You are cheating!",(IF($J$24="Español","Límite de jugadores excedido… ¡Estás haciendo trampas!",(IF($J$24="Deutsch","Spieler-Limit überschritten… Du schummelst!",(IF($J$24="Français","Tu as trop de joueurs… Tricheur!","")))))))),"")</f>
        <v/>
      </c>
      <c r="AT19" s="1"/>
      <c r="AU19" s="1"/>
      <c r="AV19" s="1"/>
      <c r="AW19" s="1"/>
      <c r="AX19" s="2"/>
      <c r="AY19" s="2"/>
      <c r="AZ19" s="2"/>
      <c r="BA19" s="2"/>
      <c r="BB19" s="2"/>
      <c r="BC19" s="2"/>
      <c r="BD19" s="2"/>
      <c r="BE19" s="2"/>
      <c r="BK19" s="2"/>
      <c r="BL19" s="2" t="s">
        <v>87</v>
      </c>
      <c r="BM19" s="21" t="str">
        <f t="shared" si="12"/>
        <v>Lagartos</v>
      </c>
      <c r="BN19" s="2" t="s">
        <v>87</v>
      </c>
      <c r="BO19" s="2"/>
      <c r="BP19" s="2">
        <v>60000</v>
      </c>
      <c r="BQ19" s="2">
        <v>50000</v>
      </c>
      <c r="BR19" s="2">
        <v>1</v>
      </c>
      <c r="BS19" s="42" t="str">
        <f>IF($J$24="Español","Elegido de Khorne",(IF($J$24="Deutsch","Auserwählte des Khorne",(IF($J$24="Français","Favori de Khorne","Favoured of Khorne")))))</f>
        <v>Elegido de Khorne</v>
      </c>
      <c r="BT19" s="3" t="s">
        <v>31</v>
      </c>
      <c r="BW19" s="3"/>
      <c r="BX19" s="3"/>
      <c r="BY19" s="2" t="s">
        <v>96</v>
      </c>
      <c r="BZ19" s="2" t="s">
        <v>99</v>
      </c>
      <c r="CA19" s="46" t="s">
        <v>100</v>
      </c>
      <c r="CB19" s="1" t="s">
        <v>101</v>
      </c>
      <c r="CC19" s="2"/>
      <c r="CD19" s="1"/>
      <c r="CE19" s="2" t="s">
        <v>96</v>
      </c>
      <c r="CF19" s="2" t="s">
        <v>93</v>
      </c>
      <c r="CG19" s="46" t="s">
        <v>107</v>
      </c>
      <c r="CH19" s="1" t="s">
        <v>40</v>
      </c>
      <c r="CI19" s="2"/>
      <c r="CJ19" s="2"/>
      <c r="CK19" s="2"/>
      <c r="CL19" s="2"/>
      <c r="CM19" s="2"/>
      <c r="CN19" s="2"/>
      <c r="CO19" s="2"/>
      <c r="CP19" s="2"/>
      <c r="CQ19" s="2"/>
      <c r="CR19" s="2"/>
      <c r="CS19" s="2"/>
      <c r="CT19" s="2"/>
      <c r="CU19" s="2"/>
      <c r="CV19" s="2"/>
      <c r="CW19" s="2"/>
      <c r="CX19" s="2"/>
      <c r="CY19" s="2"/>
      <c r="CZ19" s="2"/>
    </row>
    <row r="20" spans="1:104" ht="45" hidden="1" customHeight="1" x14ac:dyDescent="0.2">
      <c r="A20" s="47" t="s">
        <v>91</v>
      </c>
      <c r="B20" s="45"/>
      <c r="C20" s="197"/>
      <c r="D20" s="198"/>
      <c r="E20" s="198"/>
      <c r="F20" s="199"/>
      <c r="G20" s="48"/>
      <c r="H20" s="49"/>
      <c r="I20" s="50"/>
      <c r="J20" s="51"/>
      <c r="K20" s="51"/>
      <c r="L20" s="38"/>
      <c r="M20" s="38"/>
      <c r="N20" s="51"/>
      <c r="O20" s="200"/>
      <c r="P20" s="201"/>
      <c r="Q20" s="201"/>
      <c r="R20" s="201"/>
      <c r="S20" s="201"/>
      <c r="T20" s="201"/>
      <c r="U20" s="201"/>
      <c r="V20" s="201"/>
      <c r="W20" s="201"/>
      <c r="X20" s="201"/>
      <c r="Y20" s="201"/>
      <c r="Z20" s="202"/>
      <c r="AA20" s="200"/>
      <c r="AB20" s="201"/>
      <c r="AC20" s="201"/>
      <c r="AD20" s="201"/>
      <c r="AE20" s="201"/>
      <c r="AF20" s="201"/>
      <c r="AG20" s="201"/>
      <c r="AH20" s="201"/>
      <c r="AI20" s="201"/>
      <c r="AJ20" s="201"/>
      <c r="AK20" s="201"/>
      <c r="AL20" s="201"/>
      <c r="AM20" s="202"/>
      <c r="AN20" s="203"/>
      <c r="AO20" s="204"/>
      <c r="AP20" s="213"/>
      <c r="AQ20" s="1">
        <f>IFERROR(AN20/1000,0)</f>
        <v>0</v>
      </c>
      <c r="AR20" s="1"/>
      <c r="AS20" s="2" t="str">
        <f t="shared" si="16"/>
        <v/>
      </c>
      <c r="AT20" s="1"/>
      <c r="AU20" s="1"/>
      <c r="AV20" s="1"/>
      <c r="AW20" s="1"/>
      <c r="AX20" s="2"/>
      <c r="AY20" s="2"/>
      <c r="AZ20" s="2"/>
      <c r="BA20" s="2"/>
      <c r="BB20" s="2"/>
      <c r="BC20" s="2"/>
      <c r="BD20" s="2"/>
      <c r="BE20" s="2"/>
      <c r="BK20" s="2"/>
      <c r="BL20" s="2" t="s">
        <v>92</v>
      </c>
      <c r="BM20" s="21" t="str">
        <f t="shared" si="12"/>
        <v>Nórdicos</v>
      </c>
      <c r="BN20" s="2" t="s">
        <v>92</v>
      </c>
      <c r="BO20" s="2"/>
      <c r="BP20" s="2">
        <v>70000</v>
      </c>
      <c r="BQ20" s="2">
        <v>50000</v>
      </c>
      <c r="BR20" s="2">
        <v>1</v>
      </c>
      <c r="BS20" s="42" t="str">
        <f>IF($J$24="Español","Superliga Lustriana",(IF($J$24="Deutsch","Lustria-Superliga",(IF($J$24="Français","Super-Ligue de Lustrie","Lustrian Superleague")))))</f>
        <v>Superliga Lustriana</v>
      </c>
      <c r="BT20" s="3" t="s">
        <v>21</v>
      </c>
      <c r="BU20" s="3"/>
      <c r="BV20" s="3"/>
      <c r="BW20" s="3"/>
      <c r="BY20" s="2" t="s">
        <v>103</v>
      </c>
      <c r="BZ20" s="2" t="s">
        <v>1683</v>
      </c>
      <c r="CA20" s="46" t="s">
        <v>103</v>
      </c>
      <c r="CB20" s="1" t="s">
        <v>1684</v>
      </c>
      <c r="CC20" s="2"/>
      <c r="CD20" s="1"/>
      <c r="CE20" s="2" t="s">
        <v>103</v>
      </c>
      <c r="CF20" s="2" t="s">
        <v>1683</v>
      </c>
      <c r="CG20" s="46" t="s">
        <v>103</v>
      </c>
      <c r="CH20" s="1" t="s">
        <v>1684</v>
      </c>
      <c r="CI20" s="2"/>
      <c r="CJ20" s="2"/>
      <c r="CK20" s="2"/>
      <c r="CL20" s="2"/>
      <c r="CM20" s="2"/>
      <c r="CN20" s="2"/>
      <c r="CO20" s="2"/>
      <c r="CP20" s="2"/>
      <c r="CQ20" s="2"/>
      <c r="CR20" s="2"/>
      <c r="CS20" s="2"/>
      <c r="CT20" s="2"/>
      <c r="CU20" s="2"/>
      <c r="CV20" s="2"/>
      <c r="CW20" s="2"/>
      <c r="CX20" s="2"/>
      <c r="CY20" s="2"/>
      <c r="CZ20" s="2"/>
    </row>
    <row r="21" spans="1:104" ht="18.75" customHeight="1" x14ac:dyDescent="0.2">
      <c r="A21" s="164" t="e" vm="1">
        <v>#VALUE!</v>
      </c>
      <c r="B21" s="165"/>
      <c r="C21" s="178" t="str">
        <f>IF(J24="Italiano","ALLENATORE CAPO",(IF(J24="Español","ENTRENADOR",(IF(J24="Deutsch","CHEFTRAINER",(IF(J24="Français","COACH","COACH")))))))</f>
        <v>ENTRENADOR</v>
      </c>
      <c r="D21" s="179"/>
      <c r="E21" s="179"/>
      <c r="F21" s="179"/>
      <c r="G21" s="179"/>
      <c r="H21" s="179"/>
      <c r="I21" s="180"/>
      <c r="J21" s="188"/>
      <c r="K21" s="189"/>
      <c r="L21" s="189"/>
      <c r="M21" s="189"/>
      <c r="N21" s="189"/>
      <c r="O21" s="189"/>
      <c r="P21" s="189"/>
      <c r="Q21" s="190"/>
      <c r="R21" s="178" t="str">
        <f>IF(J24="Italiano","TIFOSI SFEGATATI",(IF(J24="Español","FANS DEDICADOS",(IF(J24="Deutsch","TREUE FANS",(IF(J24="Français","FANS DÉVOUÉS","DEDICATED FANS")))))))</f>
        <v>FANS DEDICADOS</v>
      </c>
      <c r="S21" s="179"/>
      <c r="T21" s="179"/>
      <c r="U21" s="179"/>
      <c r="V21" s="180"/>
      <c r="W21" s="30">
        <v>0</v>
      </c>
      <c r="X21" s="52" t="s">
        <v>102</v>
      </c>
      <c r="Y21" s="157">
        <v>10000</v>
      </c>
      <c r="Z21" s="157"/>
      <c r="AA21" s="53" t="str">
        <f t="shared" ref="AA21:AA28" si="17">IF($J$24="Español","mo",(IF($J$24="Deutsch","gm",(IF($J$24="Français","po","gp")))))</f>
        <v>mo</v>
      </c>
      <c r="AB21" s="170">
        <f>IFERROR(W21*Y21,0)</f>
        <v>0</v>
      </c>
      <c r="AC21" s="171"/>
      <c r="AD21" s="178"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MÉDICO</v>
      </c>
      <c r="AE21" s="179"/>
      <c r="AF21" s="179"/>
      <c r="AG21" s="179"/>
      <c r="AH21" s="180"/>
      <c r="AI21" s="32">
        <v>0</v>
      </c>
      <c r="AJ21" s="52" t="s">
        <v>102</v>
      </c>
      <c r="AK21" s="157">
        <f>IF(OR(BO1="Necromantic",BO1="Shambling Undead",BO1="Nurgle"),100000,(VLOOKUP(BO1,BL:BQ,6,0)))</f>
        <v>50000</v>
      </c>
      <c r="AL21" s="157"/>
      <c r="AM21" s="53" t="str">
        <f t="shared" ref="AM21:AM28" si="18">IF($J$24="Español","mo",(IF($J$24="Deutsch","gm",(IF($J$24="Français","po","gp")))))</f>
        <v>mo</v>
      </c>
      <c r="AN21" s="170">
        <f>IFERROR(IF(OR(AJ35="NO",AJ35="NON",AJ35="NEIN"),AI21*AK21,0),0)</f>
        <v>0</v>
      </c>
      <c r="AO21" s="171"/>
      <c r="AP21" s="213"/>
      <c r="AQ21" s="54"/>
      <c r="AR21" s="2"/>
      <c r="AS21" s="1"/>
      <c r="AT21" s="1"/>
      <c r="AU21" s="1"/>
      <c r="AV21" s="1"/>
      <c r="AW21" s="1"/>
      <c r="AX21" s="2"/>
      <c r="AY21" s="2"/>
      <c r="AZ21" s="2"/>
      <c r="BA21" s="2"/>
      <c r="BB21" s="2"/>
      <c r="BC21" s="2"/>
      <c r="BD21" s="2"/>
      <c r="BE21" s="2"/>
      <c r="BK21" s="2"/>
      <c r="BL21" s="2" t="s">
        <v>96</v>
      </c>
      <c r="BM21" s="21" t="str">
        <f t="shared" si="12"/>
        <v>Nigromanticos</v>
      </c>
      <c r="BN21" s="2" t="s">
        <v>96</v>
      </c>
      <c r="BO21" s="2"/>
      <c r="BP21" s="2">
        <v>70000</v>
      </c>
      <c r="BQ21" s="2">
        <v>0</v>
      </c>
      <c r="BR21" s="2">
        <v>0</v>
      </c>
      <c r="BS21" s="42" t="str">
        <f>IF($J$24="Español","Señores de los No Muertos, Selectiva de Sylvania",(IF($J$24="Deutsch","Masters of Undeath, Sylvanisches Rampenlicht",(IF($J$24="Français","Masters of Undeath, Spot de Sylvanie","Masters of Undeath, Sylvanian Spotlight")))))</f>
        <v>Señores de los No Muertos, Selectiva de Sylvania</v>
      </c>
      <c r="BT21" s="3" t="s">
        <v>97</v>
      </c>
      <c r="BU21" s="3" t="s">
        <v>98</v>
      </c>
      <c r="BV21" s="3"/>
      <c r="BW21" s="3"/>
      <c r="BX21" s="3"/>
      <c r="BY21" s="2" t="s">
        <v>105</v>
      </c>
      <c r="BZ21" s="2" t="s">
        <v>106</v>
      </c>
      <c r="CA21" s="46" t="s">
        <v>107</v>
      </c>
      <c r="CB21" s="1" t="s">
        <v>108</v>
      </c>
      <c r="CC21"/>
      <c r="CD21"/>
      <c r="CE21" s="2" t="s">
        <v>105</v>
      </c>
      <c r="CF21" s="2" t="s">
        <v>99</v>
      </c>
      <c r="CG21" s="46" t="s">
        <v>114</v>
      </c>
      <c r="CH21" s="25" t="s">
        <v>86</v>
      </c>
      <c r="CI21" s="2"/>
      <c r="CJ21" s="2"/>
      <c r="CK21" s="2"/>
      <c r="CL21" s="2"/>
      <c r="CM21" s="2"/>
      <c r="CN21" s="2"/>
      <c r="CO21" s="2"/>
      <c r="CP21" s="2"/>
      <c r="CQ21" s="2"/>
      <c r="CR21" s="2"/>
      <c r="CS21" s="2"/>
      <c r="CT21" s="2"/>
      <c r="CU21" s="2"/>
      <c r="CV21" s="2"/>
      <c r="CW21" s="2"/>
      <c r="CX21" s="2"/>
      <c r="CY21" s="2"/>
      <c r="CZ21" s="2"/>
    </row>
    <row r="22" spans="1:104" ht="18.75" customHeight="1" x14ac:dyDescent="0.2">
      <c r="A22" s="166"/>
      <c r="B22" s="167"/>
      <c r="C22" s="178" t="str">
        <f>IF(J24="Italiano","NUMERO NAF",(IF(J24="Español","NÚMERO NAF",(IF(J24="Deutsch","NAF-NUMMER",(IF(J24="Français","NUMÉRO NAF","NAF NUMBER")))))))</f>
        <v>NÚMERO NAF</v>
      </c>
      <c r="D22" s="179"/>
      <c r="E22" s="179"/>
      <c r="F22" s="179"/>
      <c r="G22" s="179"/>
      <c r="H22" s="179"/>
      <c r="I22" s="180"/>
      <c r="J22" s="188"/>
      <c r="K22" s="189"/>
      <c r="L22" s="189"/>
      <c r="M22" s="189"/>
      <c r="N22" s="189"/>
      <c r="O22" s="189"/>
      <c r="P22" s="189"/>
      <c r="Q22" s="190"/>
      <c r="R22" s="178" t="str">
        <f>IF(J24="Italiano","REROLLS",(IF(J24="Español","SEGUNDAS OPORTUNIDADES",(IF(J24="Deutsch","NEUWÜRFE",(IF(J24="Français","RELANCES","REROLLS")))))))</f>
        <v>SEGUNDAS OPORTUNIDADES</v>
      </c>
      <c r="S22" s="179"/>
      <c r="T22" s="179"/>
      <c r="U22" s="179"/>
      <c r="V22" s="180"/>
      <c r="W22" s="30">
        <v>0</v>
      </c>
      <c r="X22" s="52" t="s">
        <v>102</v>
      </c>
      <c r="Y22" s="157">
        <f>IFERROR(VLOOKUP(BO1,BL:BP,5,0),0)</f>
        <v>60000</v>
      </c>
      <c r="Z22" s="157"/>
      <c r="AA22" s="53" t="str">
        <f t="shared" si="17"/>
        <v>mo</v>
      </c>
      <c r="AB22" s="170">
        <f t="shared" ref="AB22:AB24" si="19">IFERROR(W22*Y22,0)</f>
        <v>0</v>
      </c>
      <c r="AC22" s="171"/>
      <c r="AD22" s="178" t="str">
        <f>IF(J24="Italiano","MAGO DEL CLIMA",(IF(J24="Español","MAGO DEL TIEMPO",(IF(J24="Deutsch","WETTERMAGIER",(IF(J24="Français","MAGE MÉTÉO","WEATHER MAGE")))))))</f>
        <v>MAGO DEL TIEMPO</v>
      </c>
      <c r="AE22" s="179"/>
      <c r="AF22" s="179"/>
      <c r="AG22" s="179"/>
      <c r="AH22" s="180"/>
      <c r="AI22" s="30">
        <v>0</v>
      </c>
      <c r="AJ22" s="52" t="s">
        <v>102</v>
      </c>
      <c r="AK22" s="157">
        <v>30000</v>
      </c>
      <c r="AL22" s="157"/>
      <c r="AM22" s="53" t="str">
        <f t="shared" si="18"/>
        <v>mo</v>
      </c>
      <c r="AN22" s="170">
        <f t="shared" ref="AN22:AN28" si="20">IFERROR(AI22*AK22,0)</f>
        <v>0</v>
      </c>
      <c r="AO22" s="171"/>
      <c r="AP22" s="213"/>
      <c r="AQ22" s="54"/>
      <c r="AR22" s="2"/>
      <c r="AV22" s="1"/>
      <c r="AW22" s="1"/>
      <c r="AX22" s="2"/>
      <c r="AY22" s="2"/>
      <c r="AZ22" s="2"/>
      <c r="BA22" s="2"/>
      <c r="BB22" s="2"/>
      <c r="BC22" s="2"/>
      <c r="BD22" s="2"/>
      <c r="BE22" s="2"/>
      <c r="BK22" s="2"/>
      <c r="BL22" s="2"/>
      <c r="BM22" s="21" t="str">
        <f t="shared" si="12"/>
        <v>No Muertos</v>
      </c>
      <c r="BN22" s="2"/>
      <c r="BO22" s="2"/>
      <c r="BP22" s="2">
        <v>60000</v>
      </c>
      <c r="BQ22" s="2">
        <v>50000</v>
      </c>
      <c r="BR22" s="2">
        <v>1</v>
      </c>
      <c r="BS22" s="42" t="str">
        <f>IF($J$24="Español","Superliga Lustriana y Clásica del Viejo Mundo",(IF($J$24="Deutsch","Lustria-Superliga und Alte-Welt-Klassiker",(IF($J$24="Français","Super-Ligue de Lustrie et Classique du Vieux Monde","Lustrian Superleague and Old World Classic")))))</f>
        <v>Superliga Lustriana y Clásica del Viejo Mundo</v>
      </c>
      <c r="BT22" s="3" t="s">
        <v>104</v>
      </c>
      <c r="BU22" s="3"/>
      <c r="BV22" s="3"/>
      <c r="BW22" s="3"/>
      <c r="BX22" s="3"/>
      <c r="BY22" s="2" t="s">
        <v>110</v>
      </c>
      <c r="BZ22" s="2" t="s">
        <v>113</v>
      </c>
      <c r="CA22" s="46" t="s">
        <v>114</v>
      </c>
      <c r="CB22" s="1" t="s">
        <v>115</v>
      </c>
      <c r="CC22" s="2"/>
      <c r="CD22" s="1"/>
      <c r="CE22" s="2" t="s">
        <v>110</v>
      </c>
      <c r="CF22" s="2" t="s">
        <v>130</v>
      </c>
      <c r="CG22" s="46" t="s">
        <v>121</v>
      </c>
      <c r="CH22" s="1" t="s">
        <v>108</v>
      </c>
      <c r="CI22" s="2"/>
      <c r="CJ22" s="2"/>
      <c r="CK22" s="2"/>
      <c r="CL22" s="2"/>
      <c r="CM22" s="2"/>
      <c r="CN22" s="2"/>
      <c r="CO22" s="2"/>
      <c r="CP22" s="2"/>
      <c r="CQ22" s="2"/>
      <c r="CR22" s="2"/>
      <c r="CS22" s="2"/>
      <c r="CT22" s="2"/>
      <c r="CU22" s="2"/>
      <c r="CV22" s="2"/>
      <c r="CW22" s="2"/>
      <c r="CX22" s="2"/>
      <c r="CY22" s="2"/>
      <c r="CZ22" s="2"/>
    </row>
    <row r="23" spans="1:104" ht="18.75" customHeight="1" x14ac:dyDescent="0.2">
      <c r="A23" s="166"/>
      <c r="B23" s="167"/>
      <c r="C23" s="172" t="str">
        <f>IF(J24="Italiano","RAZZA",(IF(J24="Español","RAZA",(IF(J24="Deutsch","RASSE",(IF(J24="Français","TYPE D’ÉQUIPE","RACE")))))))</f>
        <v>RAZA</v>
      </c>
      <c r="D23" s="173"/>
      <c r="E23" s="173"/>
      <c r="F23" s="173"/>
      <c r="G23" s="173"/>
      <c r="H23" s="173"/>
      <c r="I23" s="174"/>
      <c r="J23" s="194" t="s">
        <v>26</v>
      </c>
      <c r="K23" s="195"/>
      <c r="L23" s="195"/>
      <c r="M23" s="195"/>
      <c r="N23" s="195"/>
      <c r="O23" s="195"/>
      <c r="P23" s="195"/>
      <c r="Q23" s="196"/>
      <c r="R23" s="178" t="str">
        <f>IF(J24="Español","ANIMADORAS",(IF(J24="Deutsch","CHEERLEADER","CHEERLEADERS")))</f>
        <v>ANIMADORAS</v>
      </c>
      <c r="S23" s="179"/>
      <c r="T23" s="179"/>
      <c r="U23" s="179"/>
      <c r="V23" s="180"/>
      <c r="W23" s="30">
        <v>0</v>
      </c>
      <c r="X23" s="52" t="s">
        <v>102</v>
      </c>
      <c r="Y23" s="157">
        <v>10000</v>
      </c>
      <c r="Z23" s="157"/>
      <c r="AA23" s="53" t="str">
        <f t="shared" si="17"/>
        <v>mo</v>
      </c>
      <c r="AB23" s="170">
        <f t="shared" si="19"/>
        <v>0</v>
      </c>
      <c r="AC23" s="171"/>
      <c r="AD23" s="178"/>
      <c r="AE23" s="179"/>
      <c r="AF23" s="179"/>
      <c r="AG23" s="179"/>
      <c r="AH23" s="179"/>
      <c r="AI23" s="179"/>
      <c r="AJ23" s="179"/>
      <c r="AK23" s="179"/>
      <c r="AL23" s="179"/>
      <c r="AM23" s="179"/>
      <c r="AN23" s="179"/>
      <c r="AO23" s="180"/>
      <c r="AP23" s="213"/>
      <c r="AQ23" s="54"/>
      <c r="AR23" s="2"/>
      <c r="AS23" s="1"/>
      <c r="AT23" s="1"/>
      <c r="AU23" s="1"/>
      <c r="AV23" s="1"/>
      <c r="AW23" s="1"/>
      <c r="AX23" s="2"/>
      <c r="AY23" s="2"/>
      <c r="AZ23" s="2"/>
      <c r="BA23" s="2"/>
      <c r="BB23" s="2"/>
      <c r="BC23" s="2"/>
      <c r="BD23" s="2"/>
      <c r="BE23" s="2"/>
      <c r="BK23" s="2"/>
      <c r="BL23" s="2" t="s">
        <v>103</v>
      </c>
      <c r="BM23" s="21" t="str">
        <f t="shared" si="12"/>
        <v>Nobles Imperiales</v>
      </c>
      <c r="BN23" s="2" t="s">
        <v>103</v>
      </c>
      <c r="BP23" s="2">
        <v>60000</v>
      </c>
      <c r="BQ23" s="2">
        <v>50000</v>
      </c>
      <c r="BR23" s="2">
        <v>1</v>
      </c>
      <c r="BS23" s="3" t="str">
        <f>IF($J$24="Español","Clásica del Viejo Mundo o Elegido de Khorne o Caos",(IF($J$24="Deutsch","Alte-Welt-Klassiker o Auserwählte des Khorne o Chaos",(IF($J$24="Français","Classique du Vieux Monde o Favori de Khorne o Chaos","Old World Classic or Favoured of Khorne or Chaos")))))</f>
        <v>Clásica del Viejo Mundo o Elegido de Khorne o Caos</v>
      </c>
      <c r="BT23" s="3" t="s">
        <v>1182</v>
      </c>
      <c r="BU23" s="3"/>
      <c r="BX23" s="3"/>
      <c r="BY23" s="2" t="s">
        <v>118</v>
      </c>
      <c r="BZ23" s="2" t="s">
        <v>120</v>
      </c>
      <c r="CA23" s="46" t="s">
        <v>121</v>
      </c>
      <c r="CB23" s="1" t="s">
        <v>122</v>
      </c>
      <c r="CC23" s="2"/>
      <c r="CD23" s="1"/>
      <c r="CE23" s="2" t="s">
        <v>118</v>
      </c>
      <c r="CF23" s="23" t="s">
        <v>84</v>
      </c>
      <c r="CG23" s="46" t="s">
        <v>125</v>
      </c>
      <c r="CH23" s="1" t="s">
        <v>115</v>
      </c>
      <c r="CI23" s="2"/>
      <c r="CJ23" s="2"/>
      <c r="CK23" s="2"/>
      <c r="CL23" s="2"/>
      <c r="CM23" s="2"/>
      <c r="CN23" s="2"/>
      <c r="CO23" s="2"/>
      <c r="CP23" s="2"/>
      <c r="CQ23" s="2"/>
      <c r="CR23" s="2"/>
      <c r="CS23" s="2"/>
      <c r="CT23" s="2"/>
      <c r="CU23" s="2"/>
      <c r="CV23" s="2"/>
      <c r="CW23" s="2"/>
      <c r="CX23" s="2"/>
      <c r="CY23" s="2"/>
      <c r="CZ23" s="2"/>
    </row>
    <row r="24" spans="1:104" ht="18.75" customHeight="1" x14ac:dyDescent="0.2">
      <c r="A24" s="166"/>
      <c r="B24" s="167"/>
      <c r="C24" s="172" t="str">
        <f>IF(J24="Italiano","LINGUA",(IF(J24="Español","IDIOMA",(IF(J24="Deutsch","SPRACHE",(IF(J24="Français","LANGUE","LANGUAGE")))))))</f>
        <v>IDIOMA</v>
      </c>
      <c r="D24" s="173"/>
      <c r="E24" s="173"/>
      <c r="F24" s="173"/>
      <c r="G24" s="173"/>
      <c r="H24" s="173"/>
      <c r="I24" s="174"/>
      <c r="J24" s="191" t="s">
        <v>215</v>
      </c>
      <c r="K24" s="192"/>
      <c r="L24" s="192"/>
      <c r="M24" s="192"/>
      <c r="N24" s="192"/>
      <c r="O24" s="192"/>
      <c r="P24" s="192"/>
      <c r="Q24" s="193"/>
      <c r="R24" s="178" t="str">
        <f>IF(J24="Italiano","ASSISTENTI ALLENATORI",(IF(J24="Español","AYUDANTES ENTRENADOR",(IF(J24="Deutsch","TRAINERASSISTENTEN",(IF(J24="Français","COACHS ASSIST","ASSISTANT COACHES")))))))</f>
        <v>AYUDANTES ENTRENADOR</v>
      </c>
      <c r="S24" s="179"/>
      <c r="T24" s="179"/>
      <c r="U24" s="179"/>
      <c r="V24" s="180"/>
      <c r="W24" s="30">
        <v>0</v>
      </c>
      <c r="X24" s="52" t="s">
        <v>102</v>
      </c>
      <c r="Y24" s="157">
        <v>10000</v>
      </c>
      <c r="Z24" s="157"/>
      <c r="AA24" s="53" t="str">
        <f t="shared" si="17"/>
        <v>mo</v>
      </c>
      <c r="AB24" s="170">
        <f t="shared" si="19"/>
        <v>0</v>
      </c>
      <c r="AC24" s="171"/>
      <c r="AD24" s="181" t="s">
        <v>117</v>
      </c>
      <c r="AE24" s="182"/>
      <c r="AF24" s="182"/>
      <c r="AG24" s="182"/>
      <c r="AH24" s="183"/>
      <c r="AI24" s="30">
        <v>0</v>
      </c>
      <c r="AJ24" s="52" t="s">
        <v>102</v>
      </c>
      <c r="AK24" s="157">
        <f>IFERROR(VLOOKUP(AD24,BD64:BE88,2,FALSE),0)</f>
        <v>0</v>
      </c>
      <c r="AL24" s="157"/>
      <c r="AM24" s="53" t="str">
        <f t="shared" si="18"/>
        <v>mo</v>
      </c>
      <c r="AN24" s="170">
        <f t="shared" si="20"/>
        <v>0</v>
      </c>
      <c r="AO24" s="171"/>
      <c r="AP24" s="213"/>
      <c r="AQ24" s="54"/>
      <c r="AR24" s="2"/>
      <c r="AS24" s="1"/>
      <c r="AT24" s="1"/>
      <c r="AU24" s="1"/>
      <c r="AV24" s="1"/>
      <c r="AW24" s="1"/>
      <c r="AX24" s="2"/>
      <c r="AY24" s="2"/>
      <c r="AZ24" s="2"/>
      <c r="BA24" s="2"/>
      <c r="BB24" s="2"/>
      <c r="BC24" s="2"/>
      <c r="BD24" s="2"/>
      <c r="BE24" s="2"/>
      <c r="BK24" s="2"/>
      <c r="BL24" s="2" t="s">
        <v>105</v>
      </c>
      <c r="BM24" s="21" t="str">
        <f t="shared" si="12"/>
        <v xml:space="preserve">Nurgle </v>
      </c>
      <c r="BN24" s="2" t="s">
        <v>105</v>
      </c>
      <c r="BO24" s="2"/>
      <c r="BP24" s="2">
        <v>70000</v>
      </c>
      <c r="BQ24" s="2">
        <v>0</v>
      </c>
      <c r="BR24" s="2">
        <v>1</v>
      </c>
      <c r="BS24" s="42" t="str">
        <f>IF($J$24="Español","Elegido de Nurgle",(IF($J$24="Deutsch","Auserwählte des Nurgle",(IF($J$24="Français","Favori de Nurgle","Favoured of Nurgle")))))</f>
        <v>Elegido de Nurgle</v>
      </c>
      <c r="BT24" s="3" t="s">
        <v>31</v>
      </c>
      <c r="BU24" s="3"/>
      <c r="BV24" s="3"/>
      <c r="BW24" s="3"/>
      <c r="BX24" s="3"/>
      <c r="BY24" s="2" t="s">
        <v>123</v>
      </c>
      <c r="BZ24" s="2" t="s">
        <v>124</v>
      </c>
      <c r="CA24" s="46" t="s">
        <v>125</v>
      </c>
      <c r="CB24" s="1" t="s">
        <v>126</v>
      </c>
      <c r="CC24" s="2"/>
      <c r="CD24" s="1"/>
      <c r="CE24" s="2" t="s">
        <v>123</v>
      </c>
      <c r="CF24" s="2" t="s">
        <v>106</v>
      </c>
      <c r="CG24" s="46" t="s">
        <v>131</v>
      </c>
      <c r="CH24" s="1" t="s">
        <v>126</v>
      </c>
      <c r="CI24" s="2"/>
      <c r="CJ24" s="2"/>
      <c r="CK24" s="2"/>
      <c r="CL24" s="2"/>
      <c r="CM24" s="2"/>
      <c r="CN24" s="2"/>
      <c r="CO24" s="2"/>
      <c r="CP24" s="2"/>
      <c r="CQ24" s="2"/>
      <c r="CR24" s="2"/>
      <c r="CS24" s="2"/>
      <c r="CT24" s="2"/>
      <c r="CU24" s="2"/>
      <c r="CV24" s="2"/>
      <c r="CW24" s="2"/>
      <c r="CX24" s="2"/>
      <c r="CY24" s="2"/>
      <c r="CZ24" s="2"/>
    </row>
    <row r="25" spans="1:104" ht="18.75" customHeight="1" x14ac:dyDescent="0.2">
      <c r="A25" s="166"/>
      <c r="B25" s="167"/>
      <c r="C25" s="172" t="str">
        <f>IF(J24="Italiano","COSTI INCENTIVI &amp; EXTRA",(IF(J24="Español","COSTE INCENTIVOS Y EXTRAS",(IF(J24="Deutsch","GESAMTER TEAMWERT &amp; EXTRAS",(IF(J24="Français","COUPS DE POUCES &amp; STAFF","COST INDUCEMENTS &amp; EXTRAS")))))))</f>
        <v>COSTE INCENTIVOS Y EXTRAS</v>
      </c>
      <c r="D25" s="173"/>
      <c r="E25" s="173"/>
      <c r="F25" s="173"/>
      <c r="G25" s="173"/>
      <c r="H25" s="173"/>
      <c r="I25" s="174"/>
      <c r="J25" s="175">
        <f>(SUM(AB21:AC29,AN18:AO28))/1000</f>
        <v>0</v>
      </c>
      <c r="K25" s="176"/>
      <c r="L25" s="176"/>
      <c r="M25" s="176"/>
      <c r="N25" s="177" t="str">
        <f>IF(J24="Español","k mo",(IF(J24="Deutsch","k gm",(IF(J24="Français","k po","k gp")))))</f>
        <v>k mo</v>
      </c>
      <c r="O25" s="173"/>
      <c r="P25" s="173"/>
      <c r="Q25" s="174"/>
      <c r="R25" s="178" t="str">
        <f>IF(J24="Italiano","FUSTI DI BLOODWEISER",(IF(J24="Español","BARRILES BLOODWEISER",(IF(J24="Français","FÛTS DE BLOODWEISER","BLOODWEISER KEGS")))))</f>
        <v>BARRILES BLOODWEISER</v>
      </c>
      <c r="S25" s="179"/>
      <c r="T25" s="179"/>
      <c r="U25" s="179"/>
      <c r="V25" s="180"/>
      <c r="W25" s="30">
        <v>0</v>
      </c>
      <c r="X25" s="52" t="s">
        <v>102</v>
      </c>
      <c r="Y25" s="157">
        <v>50000</v>
      </c>
      <c r="Z25" s="157"/>
      <c r="AA25" s="53" t="str">
        <f t="shared" si="17"/>
        <v>mo</v>
      </c>
      <c r="AB25" s="170">
        <f>IFERROR((W25*Y25)-(AO35*Y25),0)</f>
        <v>0</v>
      </c>
      <c r="AC25" s="171"/>
      <c r="AD25" s="181" t="s">
        <v>117</v>
      </c>
      <c r="AE25" s="182"/>
      <c r="AF25" s="182"/>
      <c r="AG25" s="182"/>
      <c r="AH25" s="183"/>
      <c r="AI25" s="30">
        <v>0</v>
      </c>
      <c r="AJ25" s="52" t="s">
        <v>102</v>
      </c>
      <c r="AK25" s="157">
        <f>IFERROR(VLOOKUP(AD25,BD64:BE88,2,FALSE),0)</f>
        <v>0</v>
      </c>
      <c r="AL25" s="157"/>
      <c r="AM25" s="53" t="str">
        <f t="shared" si="18"/>
        <v>mo</v>
      </c>
      <c r="AN25" s="170">
        <f t="shared" si="20"/>
        <v>0</v>
      </c>
      <c r="AO25" s="171"/>
      <c r="AP25" s="213"/>
      <c r="AQ25" s="54"/>
      <c r="AR25" s="1"/>
      <c r="AS25" s="2"/>
      <c r="AT25" s="1"/>
      <c r="AU25" s="1"/>
      <c r="AV25" s="1"/>
      <c r="AW25" s="1"/>
      <c r="AX25" s="2"/>
      <c r="AY25" s="2"/>
      <c r="AZ25" s="2"/>
      <c r="BA25" s="2"/>
      <c r="BB25" s="2"/>
      <c r="BC25" s="2"/>
      <c r="BD25" s="2"/>
      <c r="BK25" s="2"/>
      <c r="BL25" s="2" t="s">
        <v>110</v>
      </c>
      <c r="BM25" s="21" t="str">
        <f t="shared" si="12"/>
        <v>Ogros</v>
      </c>
      <c r="BN25" s="2" t="s">
        <v>110</v>
      </c>
      <c r="BO25" s="2"/>
      <c r="BP25" s="2">
        <v>70000</v>
      </c>
      <c r="BQ25" s="2">
        <v>50000</v>
      </c>
      <c r="BR25" s="2">
        <v>6</v>
      </c>
      <c r="BS25" s="42"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Reyerta en las Yermas, Clásica del Viejo Mundo y Líneas Prescindibles</v>
      </c>
      <c r="BT25" s="3" t="s">
        <v>111</v>
      </c>
      <c r="BU25" s="3"/>
      <c r="BV25" s="3" t="s">
        <v>112</v>
      </c>
      <c r="BW25" s="3"/>
      <c r="BX25" s="3"/>
      <c r="BY25" s="2" t="s">
        <v>128</v>
      </c>
      <c r="BZ25" s="2" t="s">
        <v>130</v>
      </c>
      <c r="CA25" s="46" t="s">
        <v>131</v>
      </c>
      <c r="CB25" s="1" t="s">
        <v>132</v>
      </c>
      <c r="CC25" s="2"/>
      <c r="CD25" s="55"/>
      <c r="CE25" s="2" t="s">
        <v>128</v>
      </c>
      <c r="CF25" s="2" t="s">
        <v>113</v>
      </c>
      <c r="CG25" s="46" t="s">
        <v>141</v>
      </c>
      <c r="CH25" s="25" t="s">
        <v>28</v>
      </c>
      <c r="CI25" s="2"/>
      <c r="CJ25" s="2"/>
      <c r="CK25" s="2"/>
      <c r="CL25" s="2"/>
      <c r="CM25" s="2"/>
      <c r="CN25" s="2"/>
      <c r="CO25" s="2"/>
      <c r="CP25" s="2"/>
      <c r="CQ25" s="2"/>
      <c r="CR25" s="2"/>
      <c r="CS25" s="2"/>
      <c r="CT25" s="2"/>
      <c r="CU25" s="2"/>
      <c r="CV25" s="2"/>
      <c r="CW25" s="2"/>
      <c r="CX25" s="2"/>
      <c r="CY25" s="2"/>
      <c r="CZ25" s="2"/>
    </row>
    <row r="26" spans="1:104" ht="18.75" customHeight="1" x14ac:dyDescent="0.2">
      <c r="A26" s="166"/>
      <c r="B26" s="167"/>
      <c r="C26" s="187" t="str">
        <f>IF(J24="Italiano","COSTO GIOCATORI",(IF(J24="Español","PRECIO JUGADORES",(IF(J24="Deutsch","WERT SPIELER",(IF(J24="Français","VALEUR DES JOUEURS","COST PLAYERS")))))))</f>
        <v>PRECIO JUGADORES</v>
      </c>
      <c r="D26" s="173"/>
      <c r="E26" s="173"/>
      <c r="F26" s="173"/>
      <c r="G26" s="173"/>
      <c r="H26" s="173"/>
      <c r="I26" s="174"/>
      <c r="J26" s="175">
        <f>(SUM(AM2:AO17))/1000</f>
        <v>0</v>
      </c>
      <c r="K26" s="176"/>
      <c r="L26" s="176"/>
      <c r="M26" s="176"/>
      <c r="N26" s="177" t="str">
        <f>IF(J24="Español","k mo",(IF(J24="Deutsch","k gm",(IF(J24="Français","k po","k gp")))))</f>
        <v>k mo</v>
      </c>
      <c r="O26" s="173"/>
      <c r="P26" s="173"/>
      <c r="Q26" s="174"/>
      <c r="R26" s="178" t="str">
        <f>IF(J24="Italiano","MAZZETTE",(IF(J24="Español","SOBORNOS",(IF(J24="Deutsch","BESTECHUNGEN",(IF(J24="Français","POTS-DE-VIN","BRIBES")))))))</f>
        <v>SOBORNOS</v>
      </c>
      <c r="S26" s="179"/>
      <c r="T26" s="179"/>
      <c r="U26" s="179"/>
      <c r="V26" s="180"/>
      <c r="W26" s="30">
        <v>0</v>
      </c>
      <c r="X26" s="52" t="s">
        <v>102</v>
      </c>
      <c r="Y26" s="157">
        <f>IFERROR(IF(BV2="Bribery and Corruption",50000,100000),100000)</f>
        <v>50000</v>
      </c>
      <c r="Z26" s="157"/>
      <c r="AA26" s="53" t="str">
        <f t="shared" si="17"/>
        <v>mo</v>
      </c>
      <c r="AB26" s="170">
        <f>IFERROR((W26-Z35)*Y26,0)</f>
        <v>0</v>
      </c>
      <c r="AC26" s="171"/>
      <c r="AD26" s="181" t="s">
        <v>127</v>
      </c>
      <c r="AE26" s="182"/>
      <c r="AF26" s="182"/>
      <c r="AG26" s="182"/>
      <c r="AH26" s="183"/>
      <c r="AI26" s="30">
        <v>0</v>
      </c>
      <c r="AJ26" s="52" t="s">
        <v>102</v>
      </c>
      <c r="AK26" s="157">
        <f>IFERROR(VLOOKUP(AD26,BL64:BM80,2,FALSE),0)</f>
        <v>0</v>
      </c>
      <c r="AL26" s="157"/>
      <c r="AM26" s="53" t="str">
        <f t="shared" si="18"/>
        <v>mo</v>
      </c>
      <c r="AN26" s="170">
        <f t="shared" si="20"/>
        <v>0</v>
      </c>
      <c r="AO26" s="171"/>
      <c r="AP26" s="213"/>
      <c r="AQ26" s="54"/>
      <c r="AR26" s="1"/>
      <c r="AS26" s="2"/>
      <c r="AT26" s="2"/>
      <c r="AU26" s="2"/>
      <c r="AV26" s="2"/>
      <c r="AW26" s="2"/>
      <c r="AX26" s="2"/>
      <c r="AY26" s="2"/>
      <c r="AZ26" s="2"/>
      <c r="BA26" s="2"/>
      <c r="BB26" s="2"/>
      <c r="BC26" s="2"/>
      <c r="BD26" s="2"/>
      <c r="BE26" s="2"/>
      <c r="BF26" s="2"/>
      <c r="BG26" s="2"/>
      <c r="BK26" s="2"/>
      <c r="BL26" s="2" t="s">
        <v>118</v>
      </c>
      <c r="BM26" s="21" t="str">
        <f t="shared" si="12"/>
        <v>Orcos</v>
      </c>
      <c r="BN26" s="2" t="s">
        <v>119</v>
      </c>
      <c r="BO26" s="2"/>
      <c r="BP26" s="2">
        <v>70000</v>
      </c>
      <c r="BQ26" s="2">
        <v>50000</v>
      </c>
      <c r="BR26" s="2">
        <v>1</v>
      </c>
      <c r="BS26" s="42" t="str">
        <f>IF($J$24="Español","Clásica del Viejo Mundo",(IF($J$24="Deutsch","Alte-Welt-Klassiker",(IF($J$24="Français","Classique du Vieux Monde","Old World Classic")))))</f>
        <v>Clásica del Viejo Mundo</v>
      </c>
      <c r="BT26" s="3" t="s">
        <v>78</v>
      </c>
      <c r="BU26" s="3"/>
      <c r="BV26" s="3"/>
      <c r="BW26" s="3"/>
      <c r="BX26" s="3"/>
      <c r="BY26" s="2" t="s">
        <v>134</v>
      </c>
      <c r="BZ26" s="2" t="s">
        <v>135</v>
      </c>
      <c r="CA26" s="46" t="s">
        <v>136</v>
      </c>
      <c r="CB26" s="1" t="s">
        <v>137</v>
      </c>
      <c r="CC26" s="2"/>
      <c r="CD26" s="1"/>
      <c r="CE26" s="2" t="s">
        <v>138</v>
      </c>
      <c r="CF26" s="2" t="s">
        <v>124</v>
      </c>
      <c r="CG26" s="46" t="s">
        <v>136</v>
      </c>
      <c r="CH26" s="1" t="s">
        <v>45</v>
      </c>
      <c r="CI26" s="2"/>
      <c r="CJ26" s="2"/>
      <c r="CK26" s="2"/>
      <c r="CL26" s="2"/>
      <c r="CM26" s="2"/>
      <c r="CN26" s="2"/>
      <c r="CO26" s="2"/>
      <c r="CP26" s="2"/>
      <c r="CQ26" s="2"/>
      <c r="CR26" s="2"/>
      <c r="CS26" s="2"/>
      <c r="CT26" s="2"/>
      <c r="CU26" s="2"/>
      <c r="CV26" s="2"/>
      <c r="CW26" s="2"/>
      <c r="CX26" s="2"/>
      <c r="CY26" s="2"/>
      <c r="CZ26" s="2"/>
    </row>
    <row r="27" spans="1:104" ht="18.75" customHeight="1" x14ac:dyDescent="0.2">
      <c r="A27" s="166"/>
      <c r="B27" s="167"/>
      <c r="C27" s="172" t="str">
        <f>IF(J24="Italiano","COSTO SQUADRA",(IF(J24="Español","PRECIO EQUIPO",(IF(J24="Deutsch","GESAMTER TEAMWERT",(IF(J24="Français","VALEUR D’ÉQUIPE","TEAM COST")))))))</f>
        <v>PRECIO EQUIPO</v>
      </c>
      <c r="D27" s="173"/>
      <c r="E27" s="173"/>
      <c r="F27" s="173"/>
      <c r="G27" s="173"/>
      <c r="H27" s="173"/>
      <c r="I27" s="174"/>
      <c r="J27" s="175">
        <f>J25+J26</f>
        <v>0</v>
      </c>
      <c r="K27" s="176"/>
      <c r="L27" s="176"/>
      <c r="M27" s="176"/>
      <c r="N27" s="177" t="str">
        <f>IF(J24="Español","k mo",(IF(J24="Deutsch","k gm",(IF(J24="Français","k po","k gp")))))</f>
        <v>k mo</v>
      </c>
      <c r="O27" s="173"/>
      <c r="P27" s="173"/>
      <c r="Q27" s="174"/>
      <c r="R27" s="178" t="str">
        <f>IF(J24="Italiano","CAPOCUOCO",(IF(J24="Español","MASTER CHEF",(IF(J24="Deutsch","HALBLING-MEISTERKOCH",(IF(J24="Français","CHEF CUISTOT","MASTER CHEF")))))))</f>
        <v>MASTER CHEF</v>
      </c>
      <c r="S27" s="179"/>
      <c r="T27" s="179"/>
      <c r="U27" s="179"/>
      <c r="V27" s="180"/>
      <c r="W27" s="30">
        <v>0</v>
      </c>
      <c r="X27" s="52" t="s">
        <v>102</v>
      </c>
      <c r="Y27" s="157">
        <f>IFERROR(IF(OR(BO1="Halfling",BO1="Halflings",BO1="Halflinge"),100000,300000),300000)</f>
        <v>300000</v>
      </c>
      <c r="Z27" s="157"/>
      <c r="AA27" s="53" t="str">
        <f t="shared" si="17"/>
        <v>mo</v>
      </c>
      <c r="AB27" s="170">
        <f>IFERROR(IF(U35="NO",W27*Y27,0),0)</f>
        <v>0</v>
      </c>
      <c r="AC27" s="171"/>
      <c r="AD27" s="181" t="s">
        <v>133</v>
      </c>
      <c r="AE27" s="182"/>
      <c r="AF27" s="182"/>
      <c r="AG27" s="182"/>
      <c r="AH27" s="183"/>
      <c r="AI27" s="30">
        <v>0</v>
      </c>
      <c r="AJ27" s="52" t="s">
        <v>102</v>
      </c>
      <c r="AK27" s="157">
        <f>IFERROR(VLOOKUP(AD27,BO65:BP80,2,FALSE),0)</f>
        <v>0</v>
      </c>
      <c r="AL27" s="157"/>
      <c r="AM27" s="53" t="str">
        <f t="shared" si="18"/>
        <v>mo</v>
      </c>
      <c r="AN27" s="170">
        <f t="shared" si="20"/>
        <v>0</v>
      </c>
      <c r="AO27" s="171"/>
      <c r="AP27" s="213"/>
      <c r="AQ27" s="54"/>
      <c r="AR27" s="1"/>
      <c r="AS27" s="2"/>
      <c r="AT27" s="1"/>
      <c r="AU27" s="1"/>
      <c r="AV27" s="1"/>
      <c r="AW27" s="1"/>
      <c r="AX27" s="2"/>
      <c r="AY27" s="2"/>
      <c r="BA27" s="2"/>
      <c r="BB27" s="2"/>
      <c r="BC27" s="2"/>
      <c r="BD27" s="2"/>
      <c r="BK27" s="2"/>
      <c r="BL27" s="2" t="s">
        <v>123</v>
      </c>
      <c r="BM27" s="21" t="str">
        <f t="shared" si="12"/>
        <v>Orcos Negros</v>
      </c>
      <c r="BN27" s="2" t="s">
        <v>123</v>
      </c>
      <c r="BO27" s="2"/>
      <c r="BP27" s="2">
        <v>60000</v>
      </c>
      <c r="BQ27" s="2">
        <v>50000</v>
      </c>
      <c r="BR27" s="2">
        <v>1</v>
      </c>
      <c r="BS27" s="42" t="str">
        <f>IF($J$24="Español","Reyerta en las Yermas",(IF($J$24="Deutsch","Düsterland-Rauferei",(IF($J$24="Français","Bagarre des Terres Arides","Badlands Brawl")))))</f>
        <v>Reyerta en las Yermas</v>
      </c>
      <c r="BT27" s="3" t="s">
        <v>24</v>
      </c>
      <c r="BU27" s="3"/>
      <c r="BV27" s="3"/>
      <c r="BW27" s="3"/>
      <c r="BX27" s="3"/>
      <c r="BY27" s="2" t="s">
        <v>138</v>
      </c>
      <c r="BZ27" s="2" t="s">
        <v>140</v>
      </c>
      <c r="CA27" s="46" t="s">
        <v>141</v>
      </c>
      <c r="CB27" s="1" t="s">
        <v>142</v>
      </c>
      <c r="CC27" s="2"/>
      <c r="CD27" s="1"/>
      <c r="CE27" s="2" t="s">
        <v>134</v>
      </c>
      <c r="CF27" s="23" t="s">
        <v>26</v>
      </c>
      <c r="CG27" s="46" t="s">
        <v>146</v>
      </c>
      <c r="CH27" s="1" t="s">
        <v>153</v>
      </c>
      <c r="CI27" s="2"/>
      <c r="CJ27" s="2"/>
      <c r="CK27" s="2"/>
      <c r="CL27" s="2"/>
      <c r="CM27" s="2"/>
      <c r="CN27" s="2"/>
      <c r="CO27" s="2"/>
      <c r="CP27" s="2"/>
      <c r="CQ27" s="2"/>
      <c r="CR27" s="2"/>
      <c r="CS27" s="2"/>
      <c r="CT27" s="2"/>
      <c r="CU27" s="2"/>
      <c r="CV27" s="2"/>
      <c r="CW27" s="2"/>
      <c r="CX27" s="2"/>
      <c r="CY27" s="2"/>
      <c r="CZ27" s="2"/>
    </row>
    <row r="28" spans="1:104" ht="18.75" customHeight="1" x14ac:dyDescent="0.2">
      <c r="A28" s="166"/>
      <c r="B28" s="167"/>
      <c r="C28" s="172" t="str">
        <f>IF(J24="Italiano","COSTO AVANZAMENTI",(IF(J24="Español","PRECIO SUBIDAS",(IF(J24="Deutsch","WERT DER VERBESSERUNG",(IF(J24="Français","VALEUR AMÉLIORATION","COST UPGRADES")))))))</f>
        <v>PRECIO SUBIDAS</v>
      </c>
      <c r="D28" s="173"/>
      <c r="E28" s="173"/>
      <c r="F28" s="173"/>
      <c r="G28" s="173"/>
      <c r="H28" s="173"/>
      <c r="I28" s="174"/>
      <c r="J28" s="175">
        <f>(SUM(BI46:BI61))/1000</f>
        <v>0</v>
      </c>
      <c r="K28" s="176"/>
      <c r="L28" s="176"/>
      <c r="M28" s="176"/>
      <c r="N28" s="177" t="str">
        <f>IF(J24="Español","k mo",(IF(J24="Deutsch","k gm",(IF(J24="Français","k po","k gp")))))</f>
        <v>k mo</v>
      </c>
      <c r="O28" s="173"/>
      <c r="P28" s="173"/>
      <c r="Q28" s="174"/>
      <c r="R28" s="156" t="str">
        <f>IF(J24="Italiano","ESORDIENTI RIBELLI",(IF(J24="Español","NOVATOS ALBOROTADORES",(IF(J24="Deutsch","RANDALIERENDE NEULINGE",(IF(J24="Français","DÉBUTANTS DÉCHAINÉS","RIOTOUS ROOKIES")))))))</f>
        <v>NOVATOS ALBOROTADORES</v>
      </c>
      <c r="S28" s="157"/>
      <c r="T28" s="157"/>
      <c r="U28" s="157"/>
      <c r="V28" s="158"/>
      <c r="W28" s="31">
        <v>0</v>
      </c>
      <c r="X28" s="52" t="s">
        <v>102</v>
      </c>
      <c r="Y28" s="157">
        <f>IFERROR(IF(BW2="LowCost",100000,0),0)</f>
        <v>0</v>
      </c>
      <c r="Z28" s="157"/>
      <c r="AA28" s="56" t="str">
        <f t="shared" si="17"/>
        <v>mo</v>
      </c>
      <c r="AB28" s="170">
        <f>IFERROR(IF(AE35="NO",W28*Y28,0),0)</f>
        <v>0</v>
      </c>
      <c r="AC28" s="171"/>
      <c r="AD28" s="178" t="str">
        <f>IF(J24="Italiano","MEDICI VAGABONDI",(IF(J24="Español","MÉDICO ERRANTE",(IF(J24="Deutsch","WANDERNDER SANITÄTER",(IF(J24="Français","APO ITINÉRANT","WANDERING APO")))))))</f>
        <v>MÉDICO ERRANTE</v>
      </c>
      <c r="AE28" s="179"/>
      <c r="AF28" s="179"/>
      <c r="AG28" s="179"/>
      <c r="AH28" s="180"/>
      <c r="AI28" s="30">
        <v>0</v>
      </c>
      <c r="AJ28" s="52" t="s">
        <v>102</v>
      </c>
      <c r="AK28" s="157">
        <f>IFERROR(IF(AK21=0,0,100000),0)</f>
        <v>100000</v>
      </c>
      <c r="AL28" s="157"/>
      <c r="AM28" s="53" t="str">
        <f t="shared" si="18"/>
        <v>mo</v>
      </c>
      <c r="AN28" s="170">
        <f t="shared" si="20"/>
        <v>0</v>
      </c>
      <c r="AO28" s="171"/>
      <c r="AP28" s="213"/>
      <c r="AQ28" s="54"/>
      <c r="AR28" s="1"/>
      <c r="AS28" s="2"/>
      <c r="AT28" s="1"/>
      <c r="AU28" s="1"/>
      <c r="AV28" s="1"/>
      <c r="AW28" s="1"/>
      <c r="AX28" s="2"/>
      <c r="AY28" s="2"/>
      <c r="BA28" s="2"/>
      <c r="BB28" s="2"/>
      <c r="BC28" s="2"/>
      <c r="BD28" s="2"/>
      <c r="BK28" s="2"/>
      <c r="BL28" s="2" t="s">
        <v>128</v>
      </c>
      <c r="BM28" s="21" t="str">
        <f t="shared" si="12"/>
        <v>Pacto del Caos</v>
      </c>
      <c r="BN28" s="2" t="s">
        <v>129</v>
      </c>
      <c r="BO28" s="2"/>
      <c r="BP28" s="2">
        <v>70000</v>
      </c>
      <c r="BQ28" s="2">
        <v>0</v>
      </c>
      <c r="BR28" s="2">
        <v>0</v>
      </c>
      <c r="BS28" s="42" t="str">
        <f>IF($J$24="Español","Señores de los No Muertos, Selectiva de Sylvania",(IF($J$24="Deutsch","Masters of Undeath, Sylvanisches Rampenlicht",(IF($J$24="Français","Masters of Undeath, Spot de Sylvanie","Masters of Undeath, Sylvanian Spotlight")))))</f>
        <v>Señores de los No Muertos, Selectiva de Sylvania</v>
      </c>
      <c r="BT28" s="3" t="s">
        <v>97</v>
      </c>
      <c r="BU28" s="3" t="s">
        <v>98</v>
      </c>
      <c r="BV28" s="3"/>
      <c r="BW28" s="3"/>
      <c r="BX28" s="3"/>
      <c r="BY28" s="2" t="s">
        <v>144</v>
      </c>
      <c r="BZ28" s="2" t="s">
        <v>145</v>
      </c>
      <c r="CA28" s="46" t="s">
        <v>146</v>
      </c>
      <c r="CB28" s="1" t="s">
        <v>147</v>
      </c>
      <c r="CC28" s="2"/>
      <c r="CD28" s="1"/>
      <c r="CE28" s="2" t="s">
        <v>144</v>
      </c>
      <c r="CF28" s="23" t="s">
        <v>43</v>
      </c>
      <c r="CG28" s="46" t="s">
        <v>152</v>
      </c>
      <c r="CH28" s="1" t="s">
        <v>142</v>
      </c>
      <c r="CI28" s="2"/>
      <c r="CJ28" s="2"/>
      <c r="CK28" s="2"/>
      <c r="CL28" s="2"/>
      <c r="CM28" s="2"/>
      <c r="CN28" s="2"/>
      <c r="CO28" s="2"/>
      <c r="CP28" s="2"/>
      <c r="CQ28" s="2"/>
      <c r="CR28" s="2"/>
      <c r="CS28" s="2"/>
      <c r="CT28" s="2"/>
      <c r="CU28" s="2"/>
      <c r="CV28" s="2"/>
      <c r="CW28" s="2"/>
      <c r="CX28" s="2"/>
      <c r="CY28" s="2"/>
      <c r="CZ28" s="2"/>
    </row>
    <row r="29" spans="1:104" ht="18.75" customHeight="1" x14ac:dyDescent="0.2">
      <c r="A29" s="166"/>
      <c r="B29" s="167"/>
      <c r="C29" s="184" t="str">
        <f>IF(J24="Italiano","TESORERIA",(IF(J24="Español","TESORERÍA",(IF(J24="Deutsch","TEAMKASSE",(IF(J24="Français","TRÉSORERIE","TREASURY")))))))</f>
        <v>TESORERÍA</v>
      </c>
      <c r="D29" s="185"/>
      <c r="E29" s="185"/>
      <c r="F29" s="185"/>
      <c r="G29" s="185"/>
      <c r="H29" s="185"/>
      <c r="I29" s="186"/>
      <c r="J29" s="175">
        <f>(C35/1000)-J27</f>
        <v>1090</v>
      </c>
      <c r="K29" s="176"/>
      <c r="L29" s="176"/>
      <c r="M29" s="176"/>
      <c r="N29" s="177" t="str">
        <f>IF(J24="Español","k mo",(IF(J24="Deutsch","k gm",(IF(J24="Français","k po","k gp")))))</f>
        <v>k mo</v>
      </c>
      <c r="O29" s="173"/>
      <c r="P29" s="173"/>
      <c r="Q29" s="174"/>
      <c r="R29" s="178"/>
      <c r="S29" s="179"/>
      <c r="T29" s="179"/>
      <c r="U29" s="179"/>
      <c r="V29" s="179"/>
      <c r="W29" s="179"/>
      <c r="X29" s="179"/>
      <c r="Y29" s="179"/>
      <c r="Z29" s="179"/>
      <c r="AA29" s="179"/>
      <c r="AB29" s="179"/>
      <c r="AC29" s="180"/>
      <c r="AD29" s="178"/>
      <c r="AE29" s="179"/>
      <c r="AF29" s="179"/>
      <c r="AG29" s="179"/>
      <c r="AH29" s="179"/>
      <c r="AI29" s="179"/>
      <c r="AJ29" s="179"/>
      <c r="AK29" s="179"/>
      <c r="AL29" s="179"/>
      <c r="AM29" s="179"/>
      <c r="AN29" s="179"/>
      <c r="AO29" s="180"/>
      <c r="AP29" s="213"/>
      <c r="AQ29" s="54"/>
      <c r="AR29" s="2"/>
      <c r="AS29" s="1"/>
      <c r="AT29" s="2"/>
      <c r="AU29" s="1"/>
      <c r="AV29" s="1"/>
      <c r="AW29" s="1"/>
      <c r="AX29" s="2"/>
      <c r="AY29" s="2"/>
      <c r="BA29" s="2"/>
      <c r="BB29" s="2"/>
      <c r="BC29" s="2"/>
      <c r="BD29" s="2"/>
      <c r="BK29" s="2"/>
      <c r="BL29" s="2" t="s">
        <v>134</v>
      </c>
      <c r="BM29" s="21" t="str">
        <f t="shared" si="12"/>
        <v xml:space="preserve">Skaven </v>
      </c>
      <c r="BN29" s="2" t="s">
        <v>134</v>
      </c>
      <c r="BO29" s="2"/>
      <c r="BP29" s="2">
        <v>50000</v>
      </c>
      <c r="BQ29" s="2">
        <v>50000</v>
      </c>
      <c r="BR29" s="2">
        <v>1</v>
      </c>
      <c r="BS29" s="42" t="str">
        <f>IF($J$24="Español","Superliga Lustriana",(IF($J$24="Deutsch","Lustria-Superliga",(IF($J$24="Français","Super-Ligue de Lustrie","Lustrian Superleague")))))</f>
        <v>Superliga Lustriana</v>
      </c>
      <c r="BT29" s="3" t="s">
        <v>21</v>
      </c>
      <c r="BU29" s="3"/>
      <c r="BV29" s="3"/>
      <c r="BW29" s="3"/>
      <c r="BX29" s="3"/>
      <c r="BY29" s="2" t="s">
        <v>149</v>
      </c>
      <c r="BZ29" s="2" t="s">
        <v>151</v>
      </c>
      <c r="CA29" s="46" t="s">
        <v>152</v>
      </c>
      <c r="CB29" s="1" t="s">
        <v>153</v>
      </c>
      <c r="CC29" s="1"/>
      <c r="CD29" s="1"/>
      <c r="CE29" s="2" t="s">
        <v>149</v>
      </c>
      <c r="CF29" s="2" t="s">
        <v>140</v>
      </c>
      <c r="CG29" s="46" t="s">
        <v>157</v>
      </c>
      <c r="CH29" s="1" t="s">
        <v>137</v>
      </c>
      <c r="CI29" s="2"/>
      <c r="CJ29" s="2"/>
      <c r="CK29" s="2"/>
      <c r="CL29" s="2"/>
      <c r="CM29" s="2"/>
      <c r="CN29" s="2"/>
      <c r="CO29" s="2"/>
      <c r="CP29" s="2"/>
      <c r="CQ29" s="2"/>
      <c r="CR29" s="2"/>
      <c r="CS29" s="2"/>
      <c r="CT29" s="2"/>
      <c r="CU29" s="2"/>
      <c r="CV29" s="2"/>
      <c r="CW29" s="2"/>
      <c r="CX29" s="2"/>
      <c r="CY29" s="2"/>
      <c r="CZ29" s="2"/>
    </row>
    <row r="30" spans="1:104" ht="18.75" customHeight="1" x14ac:dyDescent="0.2">
      <c r="A30" s="168"/>
      <c r="B30" s="169"/>
      <c r="C30" s="151" t="str">
        <f>IF(J24="Italiano","VALORE SQUADRA",(IF(J24="Español","VALOR DEL EQUIPO",(IF(J24="Deutsch","TEAMWERT",(IF(J24="Français","VALEUR D’ÉQUIPE ACTUELLE","TEAM VALUE")))))))</f>
        <v>VALOR DEL EQUIPO</v>
      </c>
      <c r="D30" s="152"/>
      <c r="E30" s="152"/>
      <c r="F30" s="152"/>
      <c r="G30" s="152"/>
      <c r="H30" s="152"/>
      <c r="I30" s="153"/>
      <c r="J30" s="154">
        <f>(J25+(SUM(AQ2:AQ17)))</f>
        <v>0</v>
      </c>
      <c r="K30" s="154"/>
      <c r="L30" s="154"/>
      <c r="M30" s="154"/>
      <c r="N30" s="154"/>
      <c r="O30" s="154"/>
      <c r="P30" s="154"/>
      <c r="Q30" s="155"/>
      <c r="R30" s="156" t="str">
        <f>IF(J24="Italiano","REGOLE SPECIALI",(IF(J24="Español","REGLA ESPECIAL",(IF(J24="Deutsch","SONDERREGELN",(IF(J24="Français","RÈGLES SPÉCIALES","SPECIAL RULES")))))))</f>
        <v>REGLA ESPECIAL</v>
      </c>
      <c r="S30" s="157"/>
      <c r="T30" s="157"/>
      <c r="U30" s="157"/>
      <c r="V30" s="158"/>
      <c r="W30" s="159" t="str">
        <f>IFERROR(VLOOKUP(BO1,BL:BU,8,0),"")</f>
        <v>Reyerta en las Yermas y Sobornos y Corrupción</v>
      </c>
      <c r="X30" s="160"/>
      <c r="Y30" s="160"/>
      <c r="Z30" s="160"/>
      <c r="AA30" s="160"/>
      <c r="AB30" s="160"/>
      <c r="AC30" s="160"/>
      <c r="AD30" s="160"/>
      <c r="AE30" s="160"/>
      <c r="AF30" s="160"/>
      <c r="AG30" s="160"/>
      <c r="AH30" s="160"/>
      <c r="AI30" s="160"/>
      <c r="AJ30" s="161" t="s">
        <v>148</v>
      </c>
      <c r="AK30" s="161"/>
      <c r="AL30" s="161"/>
      <c r="AM30" s="162"/>
      <c r="AN30" s="162"/>
      <c r="AO30" s="163"/>
      <c r="AP30" s="213"/>
      <c r="AQ30" s="54"/>
      <c r="AR30" s="2"/>
      <c r="AS30" s="2"/>
      <c r="AT30" s="2"/>
      <c r="AU30" s="2"/>
      <c r="AV30" s="2"/>
      <c r="AW30" s="2"/>
      <c r="AX30" s="2"/>
      <c r="AY30" s="2"/>
      <c r="AZ30" s="2"/>
      <c r="BA30" s="2"/>
      <c r="BB30" s="2"/>
      <c r="BC30" s="2"/>
      <c r="BD30" s="2"/>
      <c r="BK30" s="2"/>
      <c r="BL30" s="2" t="s">
        <v>138</v>
      </c>
      <c r="BM30" s="21" t="str">
        <f t="shared" si="12"/>
        <v xml:space="preserve">Slann </v>
      </c>
      <c r="BN30" s="2" t="s">
        <v>138</v>
      </c>
      <c r="BO30" s="2"/>
      <c r="BP30" s="2">
        <v>50000</v>
      </c>
      <c r="BQ30" s="2">
        <v>50000</v>
      </c>
      <c r="BR30" s="2">
        <v>1</v>
      </c>
      <c r="BS30" s="42" t="str">
        <f>IF($J$24="Español","Reto del Inframundo",(IF($J$24="Deutsch","Unterwelt-Herausforderung",(IF($J$24="Français","Défi des Bas-Fonds","Underworld Challenge")))))</f>
        <v>Reto del Inframundo</v>
      </c>
      <c r="BT30" s="3" t="s">
        <v>139</v>
      </c>
      <c r="BU30" s="3"/>
      <c r="BV30" s="3"/>
      <c r="BW30" s="3"/>
      <c r="BX30" s="3"/>
      <c r="BY30" s="2" t="s">
        <v>154</v>
      </c>
      <c r="BZ30" s="2" t="s">
        <v>156</v>
      </c>
      <c r="CA30" s="46" t="s">
        <v>157</v>
      </c>
      <c r="CB30" s="1" t="s">
        <v>158</v>
      </c>
      <c r="CC30" s="1"/>
      <c r="CD30" s="1"/>
      <c r="CE30" s="2" t="s">
        <v>154</v>
      </c>
      <c r="CF30" s="2" t="s">
        <v>135</v>
      </c>
      <c r="CG30" s="46" t="s">
        <v>1686</v>
      </c>
      <c r="CH30" s="1" t="s">
        <v>147</v>
      </c>
      <c r="CI30" s="2"/>
      <c r="CJ30" s="2"/>
      <c r="CK30" s="2"/>
      <c r="CL30" s="2"/>
      <c r="CM30" s="2"/>
      <c r="CN30" s="2"/>
      <c r="CO30" s="2"/>
      <c r="CP30" s="2"/>
      <c r="CQ30" s="2"/>
      <c r="CR30" s="2"/>
      <c r="CS30" s="2"/>
      <c r="CT30" s="2"/>
      <c r="CU30" s="2"/>
      <c r="CV30" s="2"/>
      <c r="CW30" s="2"/>
      <c r="CX30" s="2"/>
      <c r="CY30" s="2"/>
      <c r="CZ30" s="2"/>
    </row>
    <row r="31" spans="1:104" ht="45" customHeight="1" x14ac:dyDescent="0.2">
      <c r="A31" s="145" t="str">
        <f>IF(J24="Italiano","Creato da dreamscreator",(IF(J24="Español","Creado por dreamscreator",(IF(J24="Deutsch","Erstellt von dreamscreator",(IF(J24="Français","Créé par dreamscreator","Created by dreamscreator")))))))</f>
        <v>Creado por dreamscreator</v>
      </c>
      <c r="B31" s="145"/>
      <c r="C31" s="145"/>
      <c r="D31" s="146" t="str">
        <f>B65&amp;B66&amp;B67&amp;B68&amp;B69&amp;B70&amp;B71&amp;B72&amp;B73&amp;B74</f>
        <v xml:space="preserve">¡DEBES TENER 6 HABILIDAES PRIMARIAS Y 1 HABILIDAD SECUNDARIA O 7 HABILIDADES PRIMARIAS!   ¡NECESITAS 11 JUGADORES!   ¡DEBES PONER EL NOMBRE DEL ENTRENADOR!   ¡DEBES PONER EL NUMERO NAF (si no tienes pon 0)!   </v>
      </c>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213"/>
      <c r="AQ31" s="54"/>
      <c r="AR31" s="1"/>
      <c r="AS31" s="2"/>
      <c r="AT31" s="1"/>
      <c r="AU31" s="1"/>
      <c r="AV31" s="1"/>
      <c r="AW31" s="1"/>
      <c r="AX31" s="2"/>
      <c r="AY31" s="2"/>
      <c r="BC31" s="2"/>
      <c r="BD31" s="2"/>
      <c r="BK31" s="2"/>
      <c r="BL31" s="2" t="s">
        <v>144</v>
      </c>
      <c r="BM31" s="21" t="str">
        <f t="shared" si="12"/>
        <v xml:space="preserve">Snotling </v>
      </c>
      <c r="BN31" s="2" t="s">
        <v>144</v>
      </c>
      <c r="BO31" s="2"/>
      <c r="BP31" s="2">
        <v>60000</v>
      </c>
      <c r="BQ31" s="2">
        <v>50000</v>
      </c>
      <c r="BR31" s="2">
        <v>4</v>
      </c>
      <c r="BS31" s="42"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Reto del Inframundo, Sobornos y Corrupción y Líneas Prescindibles</v>
      </c>
      <c r="BT31" s="3" t="s">
        <v>139</v>
      </c>
      <c r="BU31" s="3" t="s">
        <v>25</v>
      </c>
      <c r="BV31" s="3" t="s">
        <v>112</v>
      </c>
      <c r="BW31" s="3"/>
      <c r="BX31" s="3"/>
      <c r="BY31" s="2" t="s">
        <v>159</v>
      </c>
      <c r="BZ31" s="2" t="s">
        <v>1685</v>
      </c>
      <c r="CA31" s="46" t="s">
        <v>1686</v>
      </c>
      <c r="CB31" s="1" t="s">
        <v>1687</v>
      </c>
      <c r="CC31" s="1"/>
      <c r="CD31" s="1"/>
      <c r="CE31" s="2" t="s">
        <v>159</v>
      </c>
      <c r="CF31" s="2" t="s">
        <v>145</v>
      </c>
      <c r="CG31" s="46" t="s">
        <v>163</v>
      </c>
      <c r="CH31" s="23" t="s">
        <v>61</v>
      </c>
      <c r="CI31" s="2"/>
      <c r="CJ31" s="2"/>
      <c r="CK31" s="2"/>
      <c r="CL31" s="2"/>
      <c r="CM31" s="2"/>
      <c r="CN31" s="2"/>
      <c r="CO31" s="2"/>
      <c r="CP31" s="2"/>
      <c r="CQ31" s="2"/>
      <c r="CR31" s="2"/>
      <c r="CS31" s="2"/>
      <c r="CT31" s="2"/>
      <c r="CU31" s="2"/>
      <c r="CV31" s="2"/>
      <c r="CW31" s="2"/>
      <c r="CX31" s="2"/>
      <c r="CY31" s="2"/>
      <c r="CZ31" s="2"/>
    </row>
    <row r="32" spans="1:104" ht="18" customHeight="1" x14ac:dyDescent="0.2">
      <c r="A32" s="147" t="str">
        <f>IF(J24="Italiano","REGOLE",(IF(J24="Español","REGLAS",(IF(J24="Deutsch","REGELN",(IF(J24="Français","RÈGLES","RULESET")))))))</f>
        <v>REGLAS</v>
      </c>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213"/>
      <c r="AQ32" s="54"/>
      <c r="AR32" s="148" t="s">
        <v>1634</v>
      </c>
      <c r="AS32" s="148"/>
      <c r="AT32" s="148"/>
      <c r="AU32" s="148"/>
      <c r="AV32" s="148"/>
      <c r="AW32" s="1"/>
      <c r="AX32" s="2"/>
      <c r="AY32" s="2"/>
      <c r="BC32" s="2"/>
      <c r="BD32" s="2"/>
      <c r="BK32" s="2"/>
      <c r="BL32" s="2" t="s">
        <v>149</v>
      </c>
      <c r="BM32" s="21" t="str">
        <f t="shared" si="12"/>
        <v>Vampiros</v>
      </c>
      <c r="BN32" s="2" t="s">
        <v>150</v>
      </c>
      <c r="BO32" s="2"/>
      <c r="BP32" s="2">
        <v>70000</v>
      </c>
      <c r="BQ32" s="2">
        <v>0</v>
      </c>
      <c r="BR32" s="2">
        <v>0</v>
      </c>
      <c r="BS32" s="42" t="str">
        <f>IF($J$24="Español","Selectiva de Sylvania",(IF($J$24="Deutsch","Sylvanisches Rampenlicht",(IF($J$24="Français","Spot de Sylvanie","Sylvanian Spotlight")))))</f>
        <v>Selectiva de Sylvania</v>
      </c>
      <c r="BT32" s="3" t="s">
        <v>97</v>
      </c>
      <c r="BU32" s="3" t="s">
        <v>98</v>
      </c>
      <c r="BV32" s="3"/>
      <c r="BW32" s="3"/>
      <c r="BX32" s="3"/>
      <c r="BY32" s="2" t="s">
        <v>160</v>
      </c>
      <c r="BZ32" s="2" t="s">
        <v>162</v>
      </c>
      <c r="CA32" s="46" t="s">
        <v>163</v>
      </c>
      <c r="CB32" s="1" t="s">
        <v>164</v>
      </c>
      <c r="CC32" s="7"/>
      <c r="CD32" s="1"/>
      <c r="CE32" s="2" t="s">
        <v>160</v>
      </c>
      <c r="CF32" s="2" t="s">
        <v>1685</v>
      </c>
      <c r="CG32" s="24" t="s">
        <v>55</v>
      </c>
      <c r="CH32" s="1" t="s">
        <v>1687</v>
      </c>
      <c r="CI32" s="2"/>
      <c r="CJ32" s="2"/>
      <c r="CK32" s="2"/>
      <c r="CL32" s="2"/>
      <c r="CM32" s="2"/>
      <c r="CN32" s="2"/>
      <c r="CO32" s="2"/>
      <c r="CP32" s="2"/>
      <c r="CQ32" s="2"/>
      <c r="CR32" s="2"/>
      <c r="CS32" s="2"/>
      <c r="CT32" s="2"/>
      <c r="CU32" s="2"/>
      <c r="CV32" s="2"/>
      <c r="CW32" s="2"/>
      <c r="CX32" s="2"/>
      <c r="CY32" s="2"/>
      <c r="CZ32" s="2"/>
    </row>
    <row r="33" spans="1:104" ht="67.5" customHeight="1" x14ac:dyDescent="0.2">
      <c r="A33" s="57"/>
      <c r="B33" s="149" t="str">
        <f>IF(J24="Italiano",AV33,(IF(J24="Español",AS33,(IF(J24="Deutsch",AT33,(IF(J24="Français",AU33,AR33)))))))</f>
        <v>1.090.000GC + 6 Habilidades Primarias + 1 Habilidad Secundaria (se pueden elegir Habilidad Primaria en lugar de la Habilidades Secundaria).
Se permite apilar 2 Habilidades Primarias en un único jugador teniendo que gastar para ello la Habilidad Secundaria.</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213"/>
      <c r="AQ33" s="54"/>
      <c r="AR33" s="58" t="s">
        <v>1689</v>
      </c>
      <c r="AS33" s="58" t="s">
        <v>1688</v>
      </c>
      <c r="AT33" s="58" t="s">
        <v>1690</v>
      </c>
      <c r="AU33" s="58" t="s">
        <v>1691</v>
      </c>
      <c r="AV33" s="58" t="s">
        <v>1692</v>
      </c>
      <c r="BL33" s="2" t="s">
        <v>154</v>
      </c>
      <c r="BM33" s="21"/>
      <c r="BN33" s="2" t="s">
        <v>155</v>
      </c>
      <c r="BO33" s="2"/>
      <c r="BP33" s="2">
        <v>70000</v>
      </c>
      <c r="BQ33" s="2">
        <v>50000</v>
      </c>
      <c r="BR33" s="2">
        <v>1</v>
      </c>
      <c r="BS33" s="42" t="str">
        <f>IF($J$24="Español","Reto del Inframundo y Sobornos y Corrupción",(IF($J$24="Deutsch","Unterwelt-Herausforderung, Bestechung und Korruption",(IF($J$24="Français","Défi des Bas-Fonds et Chantage &amp; Corruption","Underworld Challenge and Bribery and Corruption")))))</f>
        <v>Reto del Inframundo y Sobornos y Corrupción</v>
      </c>
      <c r="BT33" s="3" t="s">
        <v>139</v>
      </c>
      <c r="BU33" s="3" t="s">
        <v>25</v>
      </c>
      <c r="BV33" s="3"/>
      <c r="BW33" s="3"/>
      <c r="CC33" s="7"/>
      <c r="CD33" s="1"/>
    </row>
    <row r="34" spans="1:104" ht="21" hidden="1" customHeight="1" x14ac:dyDescent="0.2">
      <c r="A34" s="57"/>
      <c r="B34" s="150" t="str">
        <f>IF(J24="Italiano","Regole Generali",(IF(J24="Español","Reglas generales",(IF(J24="Deutsch","Allgemeine Regeln",(IF(J24="Français","Règles générales","General rules")))))))</f>
        <v>Reglas generales</v>
      </c>
      <c r="C34" s="150"/>
      <c r="D34" s="150"/>
      <c r="E34" s="150"/>
      <c r="F34" s="150"/>
      <c r="G34" s="150"/>
      <c r="H34" s="150"/>
      <c r="I34" s="150"/>
      <c r="J34" s="150"/>
      <c r="K34" s="150"/>
      <c r="L34" s="150"/>
      <c r="M34" s="150"/>
      <c r="N34" s="150"/>
      <c r="O34" s="150"/>
      <c r="P34" s="138"/>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213"/>
      <c r="AQ34" s="54"/>
      <c r="BL34" s="2"/>
      <c r="BM34" s="21"/>
      <c r="BN34" s="2"/>
      <c r="BO34" s="2"/>
      <c r="BP34" s="2">
        <v>70000</v>
      </c>
      <c r="BQ34" s="2">
        <v>50000</v>
      </c>
      <c r="BR34" s="2">
        <v>0</v>
      </c>
      <c r="BS34" s="42" t="str">
        <f>IF($J$24="Español","Selectiva de Sylvania",(IF($J$24="Deutsch","Sylvanisches Rampenlicht",(IF($J$24="Français","Spot de Sylvanie","Sylvanian Spotlight")))))</f>
        <v>Selectiva de Sylvania</v>
      </c>
      <c r="BT34" s="3" t="s">
        <v>97</v>
      </c>
      <c r="BU34" s="3" t="s">
        <v>98</v>
      </c>
      <c r="BV34" s="3"/>
      <c r="BW34" s="3"/>
      <c r="CC34"/>
      <c r="CD34"/>
    </row>
    <row r="35" spans="1:104" ht="21" hidden="1" customHeight="1" x14ac:dyDescent="0.2">
      <c r="A35" s="57"/>
      <c r="B35" s="59" t="str">
        <f>IF(J24="Italiano","VALORE SQUADRA",(IF(J24="Español","VALOR DEL EQUIPO",(IF(J24="Deutsch","TEAMWERT",(IF(J24="Français","VALEUR D’ÉQUIPE ACTUELLE","TEAM VALUE")))))))</f>
        <v>VALOR DEL EQUIPO</v>
      </c>
      <c r="C35" s="143">
        <v>1090000</v>
      </c>
      <c r="D35" s="144"/>
      <c r="E35" s="139" t="str">
        <f>IF(J24="Español","MAX. ESTRELLAS Y MERCENARIOS",(IF(J24="Deutsch","MAX. STARSPIELER &amp; MERCENARIES",(IF(J24="Français","MERCENAIRE &amp; STARS MAX","MAX. STARS &amp; MERCENARIES")))))</f>
        <v>MAX. ESTRELLAS Y MERCENARIOS</v>
      </c>
      <c r="F35" s="140"/>
      <c r="G35" s="140"/>
      <c r="H35" s="140"/>
      <c r="I35" s="140"/>
      <c r="J35" s="141"/>
      <c r="K35" s="61">
        <v>0</v>
      </c>
      <c r="L35" s="139" t="str">
        <f>IF(J24="Español","LINEMEN PRESCINDIBLES",(IF(J24="Deutsch","BILLIGE LINEMEN",(IF(J24="Français","LINEMEN A VIL PRIX","LOW COST LINEMEN")))))</f>
        <v>LINEMEN PRESCINDIBLES</v>
      </c>
      <c r="M35" s="140"/>
      <c r="N35" s="140"/>
      <c r="O35" s="140"/>
      <c r="P35" s="62" t="s">
        <v>165</v>
      </c>
      <c r="Q35" s="140" t="str">
        <f>IF(J24="Italiano","CAPOCUOCO GRATUITO",(IF(J24="Español","MASTER CHEF GRATIS",(IF(J24="Deutsch","FREIER HALBLING-MEISTERKOCH",(IF(J24="Français","CHEF CUISTOT GRATUIT","FREE MASTER CHEF")))))))</f>
        <v>MASTER CHEF GRATIS</v>
      </c>
      <c r="R35" s="140"/>
      <c r="S35" s="140"/>
      <c r="T35" s="141"/>
      <c r="U35" s="63" t="s">
        <v>165</v>
      </c>
      <c r="V35" s="139" t="str">
        <f>IF(J24="Italiano","MAZZETTE GRATUITE",(IF(J24="Español","SOBORNOS GRATIS",(IF(J24="Deutsch","FREIE BESTECHUNGEN",(IF(J24="Français","POTS-DE-VIN GRATUIT","FREE BRIBES")))))))</f>
        <v>SOBORNOS GRATIS</v>
      </c>
      <c r="W35" s="140"/>
      <c r="X35" s="140"/>
      <c r="Y35" s="141"/>
      <c r="Z35" s="63">
        <v>0</v>
      </c>
      <c r="AA35" s="139" t="str">
        <f>IF(J24="Italiano","ESORDIENTI RIBELLI GRATUITI",(IF(J24="Español","NOVATOS ALBOROTADORES GRATIS",(IF(J24="Deutsch","FREIE RANDALIE- RENDE NEULINGE",(IF(J24="Français","DÉBUTANTS DÉCHAÎNÉS GRATUITS","FREE RIOTOUS ROOKIES")))))))</f>
        <v>NOVATOS ALBOROTADORES GRATIS</v>
      </c>
      <c r="AB35" s="140"/>
      <c r="AC35" s="140"/>
      <c r="AD35" s="141"/>
      <c r="AE35" s="63" t="s">
        <v>165</v>
      </c>
      <c r="AF35" s="139" t="str">
        <f>IF(J24="Italiano","MEDICO GRATUITO",(IF(J24="Español","MÉDICO GRATIS",(IF(J24="Deutsch","FREIER SANITÄTER",(IF(J24="Français","APOTHICAIRE GRATUIT","FREE APOTHECARY")))))))</f>
        <v>MÉDICO GRATIS</v>
      </c>
      <c r="AG35" s="140"/>
      <c r="AH35" s="140"/>
      <c r="AI35" s="141"/>
      <c r="AJ35" s="61" t="s">
        <v>165</v>
      </c>
      <c r="AK35" s="139" t="str">
        <f>IF(J24="Italiano","FUSTO BLOODWEISER GRATUITO",(IF(J24="Español","BARRILES BLOODWEISER GRATIS",(IF(J24="Deutsch","FREIE BLOOD- WEISER FÄSSER",(IF(J24="Français","FÛTS DE BLOOWEISER GRATUIT","FREE BLOODWEISER KEGS")))))))</f>
        <v>BARRILES BLOODWEISER GRATIS</v>
      </c>
      <c r="AL35" s="140"/>
      <c r="AM35" s="140"/>
      <c r="AN35" s="141"/>
      <c r="AO35" s="63">
        <v>0</v>
      </c>
      <c r="AP35" s="213"/>
      <c r="AQ35" s="54"/>
      <c r="AR35" s="1"/>
      <c r="AS35" s="122" t="s">
        <v>1633</v>
      </c>
      <c r="AT35" s="122"/>
      <c r="AU35" s="122"/>
      <c r="AV35" s="122"/>
      <c r="AW35" s="1"/>
      <c r="AX35" s="2"/>
      <c r="AY35" s="2"/>
      <c r="BC35" s="2"/>
      <c r="BD35" s="2"/>
      <c r="BK35" s="2"/>
      <c r="BL35" s="2" t="s">
        <v>159</v>
      </c>
      <c r="BM35" s="21"/>
      <c r="BN35" s="2" t="s">
        <v>159</v>
      </c>
      <c r="BO35" s="2"/>
      <c r="BP35" s="2">
        <v>60000</v>
      </c>
      <c r="BQ35" s="2">
        <v>50000</v>
      </c>
      <c r="BR35" s="2">
        <v>1</v>
      </c>
      <c r="BS35" s="42" t="str">
        <f>IF($J$24="Español","Selectiva de Sylvania",(IF($J$24="Deutsch","Sylvanisches Rampenlicht",(IF($J$24="Français","Spot de Sylvanie","Sylvanian Spotlight")))))</f>
        <v>Selectiva de Sylvania</v>
      </c>
      <c r="BT35" s="3" t="s">
        <v>97</v>
      </c>
      <c r="BU35" s="3" t="s">
        <v>98</v>
      </c>
      <c r="BV35" s="3"/>
      <c r="BW35" s="3"/>
      <c r="BX35" s="3"/>
      <c r="CC35"/>
      <c r="CD35"/>
      <c r="CI35" s="2"/>
      <c r="CJ35" s="2"/>
      <c r="CK35" s="2"/>
      <c r="CL35" s="2"/>
      <c r="CM35" s="2"/>
      <c r="CN35" s="2"/>
      <c r="CO35" s="2"/>
      <c r="CP35" s="2"/>
      <c r="CQ35" s="2"/>
      <c r="CR35" s="2"/>
      <c r="CS35" s="2"/>
      <c r="CT35" s="2"/>
      <c r="CU35" s="2"/>
      <c r="CV35" s="2"/>
      <c r="CW35" s="2"/>
      <c r="CX35" s="2"/>
      <c r="CY35" s="2"/>
      <c r="CZ35" s="2"/>
    </row>
    <row r="36" spans="1:104" ht="21" hidden="1" customHeight="1" x14ac:dyDescent="0.2">
      <c r="A36" s="57"/>
      <c r="B36" s="142" t="str">
        <f>IF(J24="Italiano","Regole Abilità",(IF(J24="Español","Reglas habilidades",(IF(J24="Deutsch","Regelkenntnisse",(IF(J24="Français","Compétences en matière de règles","Rules skills")))))))</f>
        <v>Reglas habilidades</v>
      </c>
      <c r="C36" s="142"/>
      <c r="D36" s="142"/>
      <c r="E36" s="142"/>
      <c r="F36" s="142"/>
      <c r="G36" s="142"/>
      <c r="H36" s="142"/>
      <c r="I36" s="142"/>
      <c r="J36" s="142"/>
      <c r="K36" s="142"/>
      <c r="L36" s="142"/>
      <c r="M36" s="142"/>
      <c r="N36" s="142"/>
      <c r="O36" s="142"/>
      <c r="P36" s="138"/>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213"/>
      <c r="AQ36" s="54"/>
      <c r="AR36" s="1"/>
      <c r="AS36" s="23" t="s">
        <v>1241</v>
      </c>
      <c r="AT36" s="1">
        <f>IF($C$18=AS36,1,0)</f>
        <v>0</v>
      </c>
      <c r="AU36" s="1">
        <f>IF($C$19=AS36,1,0)</f>
        <v>0</v>
      </c>
      <c r="AV36" s="1">
        <f>(SUM(AT36:AU41))</f>
        <v>0</v>
      </c>
      <c r="AW36" s="1"/>
      <c r="AX36" s="2"/>
      <c r="AY36" s="2"/>
      <c r="BC36" s="2"/>
      <c r="BD36" s="2"/>
      <c r="BK36" s="2"/>
      <c r="BL36" s="2" t="s">
        <v>160</v>
      </c>
      <c r="BM36" s="21"/>
      <c r="BN36" s="2" t="s">
        <v>161</v>
      </c>
      <c r="BO36" s="2"/>
      <c r="BP36" s="2">
        <v>50000</v>
      </c>
      <c r="BQ36" s="2">
        <v>50000</v>
      </c>
      <c r="BR36" s="2">
        <v>1</v>
      </c>
      <c r="BS36" s="42" t="str">
        <f>IF($J$24="Español","Liga de los Reinos Elfos",(IF($J$24="Deutsch","Liga der Elfenkönigreiche",(IF($J$24="Français","Ligue des Royaumes Elfiques","Elven Kingdoms League")))))</f>
        <v>Liga de los Reinos Elfos</v>
      </c>
      <c r="BT36" s="3" t="s">
        <v>48</v>
      </c>
      <c r="BX36" s="3"/>
      <c r="CC36" s="7"/>
      <c r="CD36" s="1"/>
      <c r="CI36" s="2"/>
      <c r="CJ36" s="2"/>
      <c r="CK36" s="2"/>
      <c r="CL36" s="2"/>
      <c r="CM36" s="2"/>
      <c r="CN36" s="2"/>
      <c r="CO36" s="2"/>
      <c r="CP36" s="2"/>
      <c r="CQ36" s="2"/>
      <c r="CR36" s="2"/>
      <c r="CS36" s="2"/>
      <c r="CT36" s="2"/>
      <c r="CU36" s="2"/>
      <c r="CV36" s="2"/>
      <c r="CW36" s="2"/>
      <c r="CX36" s="2"/>
      <c r="CY36" s="2"/>
      <c r="CZ36" s="2"/>
    </row>
    <row r="37" spans="1:104" ht="21" hidden="1" customHeight="1" x14ac:dyDescent="0.2">
      <c r="A37" s="57"/>
      <c r="B37" s="60" t="str">
        <f>IF(J24="Italiano","MAX. ABILITÀ TOTALI",(IF(J24="Español","MAX. TOTAL HABILIDADES",(IF(J24="Deutsch","MAX. FERTIG- KEITEN GESAMT",(IF(J24="Français","NB COMPÉTENCES MAX","MAX. TOTAL SKILLS")))))))</f>
        <v>MAX. TOTAL HABILIDADES</v>
      </c>
      <c r="C37" s="133">
        <v>7</v>
      </c>
      <c r="D37" s="134"/>
      <c r="E37" s="139" t="str">
        <f>IF(J24="Italiano","MAX. PRIMARIE",(IF(J24="Español","MAX. PRIMARIAS",(IF(J24="Deutsch","MAX. PRIMÄRE",(IF(J24="Français","COMP PRIMAIRES MAX","MAX. PRIMARY")))))))</f>
        <v>MAX. PRIMARIAS</v>
      </c>
      <c r="F37" s="140"/>
      <c r="G37" s="140"/>
      <c r="H37" s="140"/>
      <c r="I37" s="140"/>
      <c r="J37" s="141"/>
      <c r="K37" s="133">
        <v>7</v>
      </c>
      <c r="L37" s="134"/>
      <c r="M37" s="139" t="str">
        <f>IF(J24="Italiano","MAX. SECONDARIE",(IF(J24="Español","MAX. SECUNDARIAS",(IF(J24="Deutsch","MAX. SEKUNDÄRE",(IF(J24="Français","COMP SECONDAIRES MAX","MAX. SECONDARY")))))))</f>
        <v>MAX. SECUNDARIAS</v>
      </c>
      <c r="N37" s="140"/>
      <c r="O37" s="140"/>
      <c r="P37" s="141"/>
      <c r="Q37" s="143">
        <v>1</v>
      </c>
      <c r="R37" s="134"/>
      <c r="S37" s="139" t="str">
        <f>IF(J24="Italiano","MAX. STATISTICHE",(IF(J24="Español","MAX. ATRIBUTOS",(IF(J24="Deutsch","MAX. EIGENSCHAFTEN",(IF(J24="Français","CARACTÉRISTIQUES MAX","MAX. STATS")))))))</f>
        <v>MAX. ATRIBUTOS</v>
      </c>
      <c r="T37" s="140"/>
      <c r="U37" s="140"/>
      <c r="V37" s="141"/>
      <c r="W37" s="133" t="s">
        <v>165</v>
      </c>
      <c r="X37" s="134"/>
      <c r="Y37" s="135" t="str">
        <f>IF(J24="Italiano","SPP DA SPENDERE",(IF(J24="Español","SPP PARA GASTAR",(IF(J24="Deutsch","SPP ZUM AUSGEBEN",(IF(J24="Français","PSP À DÉPENSER","SPP TO EXPEND")))))))</f>
        <v>SPP PARA GASTAR</v>
      </c>
      <c r="Z37" s="136"/>
      <c r="AA37" s="136"/>
      <c r="AB37" s="137"/>
      <c r="AC37" s="133" t="s">
        <v>165</v>
      </c>
      <c r="AD37" s="134"/>
      <c r="AE37" s="135" t="str">
        <f>IF(J24="Italiano","MAX. TESORO PER ABILITÀ E STATISTICHE",(IF(J24="Español","MAX. DINERO PARA HABILIDADES Y ATRIBUTOS",(IF(J24="Deutsch","MAX. GELD FÜR FERTIGKEITEN UND EIGENSCHAFTEN",(IF(J24="Français","ARGENT POUR COMPÉTENCES ET CARACTÉRISTIQUES MAX","MAX. MONEY TO SKILLS AND STATS")))))))</f>
        <v>MAX. DINERO PARA HABILIDADES Y ATRIBUTOS</v>
      </c>
      <c r="AF37" s="136"/>
      <c r="AG37" s="136"/>
      <c r="AH37" s="136"/>
      <c r="AI37" s="137"/>
      <c r="AJ37" s="133" t="s">
        <v>165</v>
      </c>
      <c r="AK37" s="134"/>
      <c r="AL37" s="54"/>
      <c r="AM37" s="54"/>
      <c r="AN37" s="54"/>
      <c r="AO37" s="54"/>
      <c r="AP37" s="213"/>
      <c r="AQ37" s="54"/>
      <c r="AR37" s="1"/>
      <c r="AS37" s="23" t="s">
        <v>1111</v>
      </c>
      <c r="AT37" s="1">
        <f t="shared" ref="AT37:AT41" si="21">IF($C$18=AS37,1,0)</f>
        <v>0</v>
      </c>
      <c r="AU37" s="1">
        <f t="shared" ref="AU37:AU41" si="22">IF($C$19=AS37,1,0)</f>
        <v>0</v>
      </c>
      <c r="AV37" s="1">
        <f>IF(AV36&gt;0,3,0)</f>
        <v>0</v>
      </c>
      <c r="AW37" s="1"/>
      <c r="AX37" s="2"/>
      <c r="AY37" s="2"/>
      <c r="BC37" s="2"/>
      <c r="BD37" s="2"/>
      <c r="BK37" s="2"/>
      <c r="BL37" s="2"/>
      <c r="BM37" s="2"/>
      <c r="BN37" s="2"/>
      <c r="BP37" s="2"/>
      <c r="BQ37" s="2"/>
      <c r="BR37" s="2"/>
      <c r="BS37" s="3"/>
      <c r="BT37" s="3"/>
      <c r="BU37" s="3"/>
      <c r="BV37" s="3"/>
      <c r="BW37" s="3"/>
      <c r="BX37" s="3"/>
      <c r="BY37" s="2"/>
      <c r="BZ37" s="2"/>
      <c r="CA37" s="46"/>
      <c r="CB37" s="1"/>
      <c r="CC37" s="7"/>
      <c r="CD37" s="1"/>
      <c r="CE37" s="1"/>
      <c r="CF37" s="1"/>
      <c r="CG37" s="1"/>
      <c r="CH37" s="1"/>
      <c r="CI37" s="2"/>
      <c r="CJ37" s="2"/>
      <c r="CK37" s="2"/>
      <c r="CL37" s="2"/>
      <c r="CM37" s="2"/>
      <c r="CN37" s="2"/>
      <c r="CO37" s="2"/>
      <c r="CP37" s="2"/>
      <c r="CQ37" s="2"/>
      <c r="CR37" s="2"/>
      <c r="CS37" s="2"/>
      <c r="CT37" s="2"/>
      <c r="CU37" s="2"/>
      <c r="CV37" s="2"/>
      <c r="CW37" s="2"/>
      <c r="CX37" s="2"/>
      <c r="CY37" s="2"/>
      <c r="CZ37" s="2"/>
    </row>
    <row r="38" spans="1:104" ht="21" hidden="1" customHeight="1" x14ac:dyDescent="0.2">
      <c r="A38" s="57"/>
      <c r="B38" s="64" t="str">
        <f>IF(J24="Italiano","COSTO PRIMARIE",(IF(J24="Español","COSTE PRIMARIAS",(IF(J24="Deutsch","Σ PRIMÄRE",(IF(J24="Français","COÛT EN PRIMAIRES","COST PRIMARY")))))))</f>
        <v>COSTE PRIMARIAS</v>
      </c>
      <c r="C38" s="133" t="s">
        <v>165</v>
      </c>
      <c r="D38" s="134"/>
      <c r="E38" s="135" t="str">
        <f>IF(J24="Italiano","COSTO SECONDARIE",(IF(J24="Español","COSTE SECUNDARIAS",(IF(J24="Deutsch","Σ SEKUNDÄRE",(IF(J24="Français","COÛT EN SECONDAIRES","COST SECONDARY")))))))</f>
        <v>COSTE SECUNDARIAS</v>
      </c>
      <c r="F38" s="136"/>
      <c r="G38" s="136"/>
      <c r="H38" s="136"/>
      <c r="I38" s="136"/>
      <c r="J38" s="137"/>
      <c r="K38" s="133" t="s">
        <v>165</v>
      </c>
      <c r="L38" s="134"/>
      <c r="M38" s="135" t="str">
        <f>IF(J24="Italiano","COSTO MA",(IF(J24="Español","COSTE MO",(IF(J24="Deutsch","Σ BE",(IF(J24="Français","COÛT EN M","COST MA")))))))</f>
        <v>COSTE MO</v>
      </c>
      <c r="N38" s="136"/>
      <c r="O38" s="137"/>
      <c r="P38" s="133" t="s">
        <v>165</v>
      </c>
      <c r="Q38" s="134"/>
      <c r="R38" s="135" t="str">
        <f>IF(J24="Italiano","COSTO ST",(IF(J24="Español","COSTE FU",(IF(J24="Deutsch","Σ ST",(IF(J24="Français","COÛT EN F","COST ST")))))))</f>
        <v>COSTE FU</v>
      </c>
      <c r="S38" s="136"/>
      <c r="T38" s="137"/>
      <c r="U38" s="133" t="s">
        <v>165</v>
      </c>
      <c r="V38" s="134"/>
      <c r="W38" s="135" t="str">
        <f>IF(J24="Italiano","COSTO PA",(IF(J24="Español","COSTE PA",(IF(J24="Deutsch","Σ WG",(IF(J24="Français","COÛT EN CP","COST PA")))))))</f>
        <v>COSTE PA</v>
      </c>
      <c r="X38" s="136"/>
      <c r="Y38" s="137"/>
      <c r="Z38" s="133" t="s">
        <v>165</v>
      </c>
      <c r="AA38" s="134"/>
      <c r="AB38" s="135" t="str">
        <f>IF(J24="Italiano","COSTO AG",(IF(J24="Español","COSTE AG",(IF(J24="Deutsch","Σ GE",(IF(J24="Français","COÛT EN AG","COST AG")))))))</f>
        <v>COSTE AG</v>
      </c>
      <c r="AC38" s="136"/>
      <c r="AD38" s="137"/>
      <c r="AE38" s="133" t="s">
        <v>165</v>
      </c>
      <c r="AF38" s="134"/>
      <c r="AG38" s="135" t="str">
        <f>IF(J24="Italiano","COSTO AV",(IF(J24="Español","COSTE AR",(IF(J24="Deutsch","Σ RW",(IF(J24="Français","COÛT EN AR","COST AV")))))))</f>
        <v>COSTE AR</v>
      </c>
      <c r="AH38" s="136"/>
      <c r="AI38" s="137"/>
      <c r="AJ38" s="133" t="s">
        <v>165</v>
      </c>
      <c r="AK38" s="134"/>
      <c r="AL38" s="54"/>
      <c r="AM38" s="54"/>
      <c r="AN38" s="54"/>
      <c r="AO38" s="54"/>
      <c r="AP38" s="213"/>
      <c r="AQ38" s="54"/>
      <c r="AR38" s="1"/>
      <c r="AS38" s="23" t="s">
        <v>1420</v>
      </c>
      <c r="AT38" s="1">
        <f t="shared" si="21"/>
        <v>0</v>
      </c>
      <c r="AU38" s="1">
        <f t="shared" si="22"/>
        <v>0</v>
      </c>
      <c r="AV38" s="1"/>
      <c r="AW38" s="1"/>
      <c r="AX38" s="2"/>
      <c r="AY38" s="2"/>
      <c r="BC38" s="2"/>
      <c r="BD38" s="2"/>
      <c r="BK38" s="2"/>
      <c r="BL38" s="2"/>
      <c r="BM38" s="2"/>
      <c r="BN38" s="2"/>
      <c r="BO38" s="2"/>
      <c r="BP38" s="2"/>
      <c r="BQ38" s="2"/>
      <c r="BR38" s="2"/>
      <c r="BS38" s="3"/>
      <c r="BT38" s="3"/>
      <c r="BU38" s="3"/>
      <c r="BV38" s="3"/>
      <c r="BW38" s="3"/>
      <c r="BX38" s="3"/>
      <c r="BY38" s="2"/>
      <c r="BZ38" s="2"/>
      <c r="CA38" s="46"/>
      <c r="CB38" s="1"/>
      <c r="CC38" s="7"/>
      <c r="CD38" s="1"/>
      <c r="CE38" s="1"/>
      <c r="CF38" s="1"/>
      <c r="CG38" s="1"/>
      <c r="CH38" s="1"/>
      <c r="CI38" s="2"/>
      <c r="CJ38" s="2"/>
      <c r="CK38" s="2"/>
      <c r="CL38" s="2"/>
      <c r="CM38" s="2"/>
      <c r="CN38" s="2"/>
      <c r="CO38" s="2"/>
      <c r="CP38" s="2"/>
      <c r="CQ38" s="2"/>
      <c r="CR38" s="2"/>
      <c r="CS38" s="2"/>
      <c r="CT38" s="2"/>
      <c r="CU38" s="2"/>
      <c r="CV38" s="2"/>
      <c r="CW38" s="2"/>
      <c r="CX38" s="2"/>
      <c r="CY38" s="2"/>
      <c r="CZ38" s="2"/>
    </row>
    <row r="39" spans="1:104" ht="21" hidden="1" customHeight="1" x14ac:dyDescent="0.2">
      <c r="A39" s="57"/>
      <c r="B39" s="138" t="str">
        <f>IF(J24="Italiano","Riassunto della squadra",(IF(J24="Español","Resumen del equipo",(IF(J24="Deutsch","Zusammenfassung der Mannschaft",(IF(J24="Français","Résumé de l'équipe","Team summary")))))))</f>
        <v>Resumen del equipo</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213"/>
      <c r="AQ39" s="2"/>
      <c r="AR39" s="2"/>
      <c r="AS39" s="23" t="s">
        <v>789</v>
      </c>
      <c r="AT39" s="1">
        <f t="shared" si="21"/>
        <v>0</v>
      </c>
      <c r="AU39" s="1">
        <f t="shared" si="22"/>
        <v>0</v>
      </c>
      <c r="AV39" s="1"/>
      <c r="AW39" s="1"/>
      <c r="AX39" s="2"/>
      <c r="AY39" s="2"/>
      <c r="BC39" s="2"/>
      <c r="BD39" s="2"/>
      <c r="BK39" s="2"/>
      <c r="BL39" s="2"/>
      <c r="BM39" s="2"/>
      <c r="BN39" s="2"/>
      <c r="BO39" s="2"/>
      <c r="BP39" s="2"/>
      <c r="BQ39" s="2"/>
      <c r="BR39" s="2"/>
      <c r="BS39" s="3"/>
      <c r="BT39" s="3"/>
      <c r="BU39" s="3"/>
      <c r="BV39" s="3"/>
      <c r="BW39" s="3"/>
      <c r="BX39" s="3"/>
      <c r="BY39" s="2"/>
      <c r="BZ39" s="2"/>
      <c r="CA39" s="46"/>
      <c r="CB39" s="1"/>
      <c r="CC39" s="7"/>
      <c r="CD39" s="1"/>
      <c r="CE39" s="1"/>
      <c r="CF39" s="1"/>
      <c r="CG39" s="1"/>
      <c r="CH39" s="1"/>
      <c r="CI39" s="2"/>
      <c r="CJ39" s="2"/>
      <c r="CK39" s="2"/>
      <c r="CL39" s="2"/>
      <c r="CM39" s="2"/>
      <c r="CN39" s="2"/>
      <c r="CO39" s="2"/>
      <c r="CP39" s="2"/>
      <c r="CQ39" s="2"/>
      <c r="CR39" s="2"/>
      <c r="CS39" s="2"/>
      <c r="CT39" s="2"/>
      <c r="CU39" s="2"/>
      <c r="CV39" s="2"/>
      <c r="CW39" s="2"/>
      <c r="CX39" s="2"/>
      <c r="CY39" s="2"/>
      <c r="CZ39" s="2"/>
    </row>
    <row r="40" spans="1:104" ht="21" hidden="1" customHeight="1" x14ac:dyDescent="0.2">
      <c r="A40" s="65"/>
      <c r="B40" s="66" t="str">
        <f>IF(J24="Italiano","VALORE SQUADRA",(IF(J24="Español","VALOR DEL EQUIPO",(IF(J24="Deutsch","TEAMWERT",(IF(J24="Français","VALEUR D’ÉQUIPE ACTUELLE","TEAM VALUE")))))))</f>
        <v>VALOR DEL EQUIPO</v>
      </c>
      <c r="C40" s="132">
        <f>J30</f>
        <v>0</v>
      </c>
      <c r="D40" s="132"/>
      <c r="E40" s="130" t="str">
        <f>IF(J24="Italiano","NUMERO DI GIOCATORI",(IF(J24="Español","NÚMERO JUGADORES",(IF(J24="Deutsch","ANZAHL DER SPIELER",(IF(J24="Français","NOMBRE DE JOUEURS","NUMBER OF PLAYERS")))))))</f>
        <v>NÚMERO JUGADORES</v>
      </c>
      <c r="F40" s="130"/>
      <c r="G40" s="130"/>
      <c r="H40" s="130"/>
      <c r="I40" s="130"/>
      <c r="J40" s="130"/>
      <c r="K40" s="130"/>
      <c r="L40" s="132">
        <f>COUNTA(C2:F17)</f>
        <v>0</v>
      </c>
      <c r="M40" s="132"/>
      <c r="N40" s="130" t="str">
        <f>IF(J24="Italiano","NUMERO DI GIOCATORI DI SPICCO",(IF(J24="Español","NÚMERO JUGADORES ESTRELLA",(IF(J24="Deutsch","ANZAHL DER STARSPIELER",(IF(J24="Français","NOMBRE DE JOUEURS VEDETTES","NUMBER OF STAR PLAYERS")))))))</f>
        <v>NÚMERO JUGADORES ESTRELLA</v>
      </c>
      <c r="O40" s="130"/>
      <c r="P40" s="130"/>
      <c r="Q40" s="130"/>
      <c r="R40" s="130"/>
      <c r="S40" s="132">
        <f>COUNTA(C18:F20)</f>
        <v>0</v>
      </c>
      <c r="T40" s="132"/>
      <c r="U40" s="130" t="str">
        <f>IF(J24="Italiano","NUMERO DI ABILITÀ",(IF(J24="Español","NÚMERO HABILIDADES",(IF(J24="Deutsch","ZIFFERNKENNTNISSE",(IF(J24="Français","NOMBRE DE COMPÉTENCES","NUMBER OF SKILLS")))))))</f>
        <v>NÚMERO HABILIDADES</v>
      </c>
      <c r="V40" s="130"/>
      <c r="W40" s="130"/>
      <c r="X40" s="130"/>
      <c r="Y40" s="130"/>
      <c r="Z40" s="129">
        <f>AZ65</f>
        <v>0</v>
      </c>
      <c r="AA40" s="129"/>
      <c r="AB40" s="130" t="str">
        <f>IF(J24="Italiano","COSTO TOTAL ABILITÀ",(IF(J24="Español","COSTE TOTAL HABILIDADES",(IF(J24="Deutsch","TOTAL KOSTENKOMPETENZEN",(IF(J24="Français","TOTAL COÛT EN COMPÉTENCES","TOTAL COST SKILLS")))))))</f>
        <v>COSTE TOTAL HABILIDADES</v>
      </c>
      <c r="AC40" s="130"/>
      <c r="AD40" s="130"/>
      <c r="AE40" s="130"/>
      <c r="AF40" s="130"/>
      <c r="AG40" s="128">
        <f>L41+Z41+AN41</f>
        <v>0</v>
      </c>
      <c r="AH40" s="129"/>
      <c r="AI40" s="130" t="str">
        <f>IF(J24="Italiano","SPP TOTALI",(IF(J24="Español","SPP TOTALES",(IF(J24="Deutsch","GESAMTE SPP",(IF(J24="Français","TOTAL PSP","TOTAL SPP")))))))</f>
        <v>SPP TOTALES</v>
      </c>
      <c r="AJ40" s="130"/>
      <c r="AK40" s="130"/>
      <c r="AL40" s="130"/>
      <c r="AM40" s="130"/>
      <c r="AN40" s="128">
        <f>SUM(AM2:AM17)</f>
        <v>0</v>
      </c>
      <c r="AO40" s="129"/>
      <c r="AP40" s="65"/>
      <c r="AQ40" s="65"/>
      <c r="AR40" s="2"/>
      <c r="AS40" s="23" t="s">
        <v>860</v>
      </c>
      <c r="AT40" s="1">
        <f t="shared" si="21"/>
        <v>0</v>
      </c>
      <c r="AU40" s="1">
        <f t="shared" si="22"/>
        <v>0</v>
      </c>
      <c r="AV40" s="10"/>
      <c r="AW40" s="10"/>
      <c r="AX40" s="2"/>
      <c r="AY40" s="2"/>
      <c r="AZ40" s="2"/>
      <c r="BA40" s="2"/>
      <c r="BB40" s="2"/>
      <c r="BC40" s="2"/>
      <c r="BD40" s="2"/>
      <c r="BK40" s="2"/>
      <c r="BM40" s="2"/>
      <c r="BN40" s="2"/>
      <c r="BO40" s="2"/>
      <c r="BP40" s="2"/>
      <c r="BQ40" s="2"/>
      <c r="BR40" s="2"/>
      <c r="BS40" s="2"/>
      <c r="BT40" s="2"/>
      <c r="BU40" s="3"/>
      <c r="BV40" s="3"/>
      <c r="BW40" s="3"/>
      <c r="BX40" s="3"/>
      <c r="BY40" s="2"/>
      <c r="BZ40" s="2"/>
      <c r="CA40" s="2"/>
      <c r="CB40" s="2"/>
      <c r="CC40" s="2"/>
      <c r="CD40" s="1"/>
      <c r="CE40" s="1"/>
      <c r="CF40" s="1"/>
      <c r="CG40" s="1"/>
      <c r="CH40" s="1"/>
      <c r="CI40" s="2"/>
      <c r="CJ40" s="2"/>
      <c r="CK40" s="2"/>
      <c r="CL40" s="2"/>
      <c r="CM40" s="2"/>
      <c r="CN40" s="2"/>
      <c r="CO40" s="2"/>
      <c r="CP40" s="2"/>
      <c r="CQ40" s="2"/>
      <c r="CR40" s="2"/>
      <c r="CS40" s="2"/>
      <c r="CT40" s="2"/>
      <c r="CU40" s="2"/>
      <c r="CV40" s="2"/>
      <c r="CW40" s="2"/>
      <c r="CX40" s="2"/>
      <c r="CY40" s="2"/>
      <c r="CZ40" s="2"/>
    </row>
    <row r="41" spans="1:104" ht="21" hidden="1" customHeight="1" x14ac:dyDescent="0.2">
      <c r="A41" s="65"/>
      <c r="B41" s="66" t="str">
        <f>IF(J24="Italiano","NUMERO DI ABILITÀ PRIMARIE",(IF(J24="Español","NÚMERO HABILIDADES PRIMARIAS",(IF(J24="Deutsch","ANZAHL DER GRUNDFERTIGKEITEN",(IF(J24="Français","NOMBRE DE COMPÉTENCES PRIMAIRES","NUMBER OF PRIMARY SKILLS")))))))</f>
        <v>NÚMERO HABILIDADES PRIMARIAS</v>
      </c>
      <c r="C41" s="132">
        <f>AX65</f>
        <v>0</v>
      </c>
      <c r="D41" s="132"/>
      <c r="E41" s="130" t="str">
        <f>IF(J24="Italiano","COSTO PRIMARIE",(IF(J24="Español","COSTE PRIMARIAS",(IF(J24="Deutsch","Σ PRIMÄRE",(IF(J24="Français","COÛT EN PRIMAIRES","COST PRIMARY")))))))</f>
        <v>COSTE PRIMARIAS</v>
      </c>
      <c r="F41" s="130"/>
      <c r="G41" s="130"/>
      <c r="H41" s="130"/>
      <c r="I41" s="130"/>
      <c r="J41" s="130"/>
      <c r="K41" s="130"/>
      <c r="L41" s="132">
        <f>IFERROR(((COUNTIF(CG46:CL61,C38))*C38),0)</f>
        <v>0</v>
      </c>
      <c r="M41" s="132"/>
      <c r="N41" s="130" t="str">
        <f>IF(J24="Italiano","NUMERO DI ABILITÀ SECONDARIE",(IF(J24="Español","NÚMERO HABILIDADES SECUNDARIAS",(IF(J24="Deutsch","ANZAHL DER SEKUNDÄREN FÄHIGKEITEN",(IF(J24="Français","NOMBRE DE COMPÉTENCES SECONDAIRES","NUMBER OF SECONDARY SKILLS")))))))</f>
        <v>NÚMERO HABILIDADES SECUNDARIAS</v>
      </c>
      <c r="O41" s="130"/>
      <c r="P41" s="130"/>
      <c r="Q41" s="130"/>
      <c r="R41" s="130"/>
      <c r="S41" s="129">
        <f>AY65</f>
        <v>0</v>
      </c>
      <c r="T41" s="129"/>
      <c r="U41" s="130" t="str">
        <f>IF(J24="Italiano","COSTO SECONDARIE",(IF(J24="Español","COSTE SECUNDARIAS",(IF(J24="Deutsch","Σ SEKUNDÄRE",(IF(J24="Français","COÛT EN SECONDAIRES","COST SECONDARY")))))))</f>
        <v>COSTE SECUNDARIAS</v>
      </c>
      <c r="V41" s="130"/>
      <c r="W41" s="130"/>
      <c r="X41" s="130"/>
      <c r="Y41" s="130"/>
      <c r="Z41" s="128">
        <f>IFERROR(((COUNTIF(CG46:CL61,K38))*K38),0)</f>
        <v>0</v>
      </c>
      <c r="AA41" s="129"/>
      <c r="AB41" s="130" t="str">
        <f>IF(J24="Italiano","NUMERO DI STATISTICHE",(IF(J24="Español","NÚMERO ATRIBUTOS",(IF(J24="Deutsch","ANZAHL DER ATTRIBUTE",(IF(J24="Français","NOMBRE DE CARACTÉRISTIQUES","NUMBER OF STATS")))))))</f>
        <v>NÚMERO ATRIBUTOS</v>
      </c>
      <c r="AC41" s="130"/>
      <c r="AD41" s="130"/>
      <c r="AE41" s="130"/>
      <c r="AF41" s="130"/>
      <c r="AG41" s="129">
        <f>BA65</f>
        <v>0</v>
      </c>
      <c r="AH41" s="129"/>
      <c r="AI41" s="130" t="str">
        <f>IF(J24="Italiano","COSTO STATISTICHE",(IF(J24="Español","COSTE ATRIBUTOS",(IF(J24="Deutsch","Σ  EIGENSCHAFTEN",(IF(J24="Français","COÛT EN CARACTÉRISTIQUES","COST STATS")))))))</f>
        <v>COSTE ATRIBUTOS</v>
      </c>
      <c r="AJ41" s="130"/>
      <c r="AK41" s="130"/>
      <c r="AL41" s="130"/>
      <c r="AM41" s="130"/>
      <c r="AN41" s="128">
        <f>SUM(CN46:CS61)</f>
        <v>0</v>
      </c>
      <c r="AO41" s="129"/>
      <c r="AP41" s="65"/>
      <c r="AQ41" s="65"/>
      <c r="AR41" s="2"/>
      <c r="AS41" s="23" t="s">
        <v>778</v>
      </c>
      <c r="AT41" s="1">
        <f t="shared" si="21"/>
        <v>0</v>
      </c>
      <c r="AU41" s="1">
        <f t="shared" si="22"/>
        <v>0</v>
      </c>
      <c r="AV41" s="10"/>
      <c r="AW41" s="10"/>
      <c r="AX41" s="2"/>
      <c r="AY41" s="2"/>
      <c r="AZ41" s="2"/>
      <c r="BA41" s="2"/>
      <c r="BB41" s="2"/>
      <c r="BC41" s="2"/>
      <c r="BD41" s="2"/>
      <c r="BK41" s="2"/>
      <c r="BM41" s="2"/>
      <c r="BN41" s="2"/>
      <c r="BO41" s="2"/>
      <c r="BP41" s="2"/>
      <c r="BQ41" s="2"/>
      <c r="BR41" s="2"/>
      <c r="BS41" s="2"/>
      <c r="BT41" s="2"/>
      <c r="BU41" s="2"/>
      <c r="BV41" s="2"/>
      <c r="BW41" s="2"/>
      <c r="BX41" s="2"/>
      <c r="BY41" s="2"/>
      <c r="BZ41" s="2"/>
      <c r="CA41" s="2"/>
      <c r="CB41" s="2"/>
      <c r="CC41" s="2"/>
      <c r="CD41" s="1"/>
      <c r="CE41" s="1"/>
      <c r="CF41" s="1"/>
      <c r="CG41" s="1"/>
      <c r="CH41" s="1"/>
      <c r="CI41" s="2"/>
      <c r="CJ41" s="2"/>
      <c r="CK41" s="2"/>
      <c r="CL41" s="2"/>
      <c r="CM41" s="2"/>
      <c r="CN41" s="2"/>
      <c r="CO41" s="2"/>
      <c r="CP41" s="2"/>
      <c r="CQ41" s="2"/>
      <c r="CR41" s="2"/>
      <c r="CS41" s="2"/>
      <c r="CT41" s="2"/>
      <c r="CU41" s="2"/>
      <c r="CV41" s="2"/>
      <c r="CW41" s="2"/>
      <c r="CX41" s="2"/>
      <c r="CY41" s="2"/>
      <c r="CZ41" s="2"/>
    </row>
    <row r="42" spans="1:104" ht="11.25" hidden="1" customHeight="1" x14ac:dyDescent="0.2">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0"/>
      <c r="AS42" s="10"/>
      <c r="AT42" s="10"/>
      <c r="AU42" s="10"/>
      <c r="AV42" s="10"/>
      <c r="AW42" s="10"/>
      <c r="AX42" s="2"/>
      <c r="AY42" s="2"/>
      <c r="AZ42" s="2"/>
      <c r="BA42" s="2"/>
      <c r="BB42" s="2"/>
      <c r="BC42" s="2"/>
      <c r="BD42" s="2"/>
      <c r="BK42" s="2"/>
      <c r="BM42" s="2"/>
      <c r="BN42" s="2"/>
      <c r="BO42" s="2"/>
      <c r="BP42" s="2"/>
      <c r="BQ42" s="2"/>
      <c r="BR42" s="2"/>
      <c r="BS42" s="2"/>
      <c r="BT42" s="2"/>
      <c r="BU42" s="3"/>
      <c r="BV42" s="3"/>
      <c r="BW42" s="2"/>
      <c r="BX42" s="2"/>
      <c r="BY42" s="2"/>
      <c r="BZ42" s="2"/>
      <c r="CA42" s="2"/>
      <c r="CB42" s="2"/>
      <c r="CC42" s="2"/>
      <c r="CD42" s="1"/>
      <c r="CE42" s="1"/>
      <c r="CF42" s="1"/>
      <c r="CG42" s="1"/>
      <c r="CH42" s="1"/>
      <c r="CI42" s="2"/>
      <c r="CJ42" s="2"/>
      <c r="CK42" s="2"/>
      <c r="CL42" s="2"/>
      <c r="CM42" s="2"/>
      <c r="CN42" s="2"/>
      <c r="CO42" s="2"/>
      <c r="CP42" s="2"/>
      <c r="CQ42" s="2"/>
      <c r="CR42" s="2"/>
      <c r="CS42" s="2"/>
      <c r="CT42" s="2"/>
      <c r="CU42" s="2"/>
      <c r="CV42" s="2"/>
      <c r="CW42" s="2"/>
      <c r="CX42" s="2"/>
      <c r="CY42" s="2"/>
      <c r="CZ42" s="2"/>
    </row>
    <row r="43" spans="1:104" ht="18" hidden="1"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0" t="s">
        <v>1635</v>
      </c>
      <c r="AS43" s="10"/>
      <c r="AT43" s="10"/>
      <c r="AU43" s="10"/>
      <c r="AV43" s="10"/>
      <c r="AW43" s="10"/>
      <c r="AX43" s="2"/>
      <c r="AY43" s="2"/>
      <c r="AZ43" s="2"/>
      <c r="BA43" s="2"/>
      <c r="BB43" s="2"/>
      <c r="BC43" s="2"/>
      <c r="BD43" s="2"/>
      <c r="BK43" s="2"/>
      <c r="BM43" s="2"/>
      <c r="BN43" s="2"/>
      <c r="BO43" s="2"/>
      <c r="BP43" s="2"/>
      <c r="BQ43" s="2"/>
      <c r="BR43" s="2"/>
      <c r="BS43" s="2"/>
      <c r="BT43" s="2">
        <f>(16-COUNT(BT46:BT61))</f>
        <v>0</v>
      </c>
      <c r="BU43" s="3"/>
      <c r="BV43" s="3"/>
      <c r="BW43" s="2"/>
      <c r="BX43" s="2"/>
      <c r="BY43" s="2"/>
      <c r="BZ43" s="2"/>
      <c r="CA43" s="2"/>
      <c r="CB43" s="2"/>
      <c r="CC43" s="2"/>
      <c r="CD43" s="1"/>
      <c r="CE43" s="1"/>
      <c r="CF43" s="1"/>
      <c r="CG43" s="1"/>
      <c r="CH43" s="1"/>
      <c r="CI43" s="2"/>
      <c r="CJ43" s="2"/>
      <c r="CK43" s="2"/>
      <c r="CL43" s="2"/>
      <c r="CM43" s="2"/>
      <c r="CN43" s="2"/>
      <c r="CO43" s="2"/>
      <c r="CP43" s="2"/>
      <c r="CQ43" s="2"/>
      <c r="CR43" s="2"/>
      <c r="CS43" s="2"/>
      <c r="CT43" s="2"/>
      <c r="CU43" s="2"/>
      <c r="CV43" s="2"/>
      <c r="CW43" s="2"/>
      <c r="CX43" s="2"/>
      <c r="CY43" s="2"/>
      <c r="CZ43" s="2"/>
    </row>
    <row r="44" spans="1:104" ht="18" hidden="1"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f>16-(COUNTIF(J2:J17,0))</f>
        <v>0</v>
      </c>
      <c r="AS44" s="10"/>
      <c r="AT44" s="10"/>
      <c r="AU44" s="10"/>
      <c r="AV44" s="10"/>
      <c r="AW44" s="10"/>
      <c r="AX44" s="2"/>
      <c r="AY44" s="1"/>
      <c r="AZ44" s="2"/>
      <c r="BA44" s="2"/>
      <c r="BB44" s="2"/>
      <c r="BC44" s="2"/>
      <c r="BD44" s="2"/>
      <c r="BJ44">
        <f>COUNT(BT46:BT61)</f>
        <v>16</v>
      </c>
      <c r="BK44" s="2"/>
      <c r="BM44" s="2"/>
      <c r="BN44" s="2"/>
      <c r="BO44" s="2"/>
      <c r="BP44" s="2"/>
      <c r="BQ44" s="2"/>
      <c r="BR44" s="2"/>
      <c r="BS44" s="2"/>
      <c r="BT44" s="67"/>
      <c r="BU44" s="67"/>
      <c r="BV44" s="67"/>
      <c r="BW44" s="67"/>
      <c r="BX44" s="67"/>
      <c r="BY44" s="2"/>
      <c r="BZ44" s="2"/>
      <c r="CA44" s="2"/>
      <c r="CB44" s="2"/>
      <c r="CC44" s="2"/>
      <c r="CD44" s="2"/>
      <c r="CE44" s="2"/>
      <c r="CF44" s="1"/>
      <c r="CG44" s="2"/>
      <c r="CH44" s="5"/>
      <c r="CI44" s="67"/>
      <c r="CJ44" s="67"/>
      <c r="CK44" s="67"/>
      <c r="CL44" s="67"/>
      <c r="CM44" s="2"/>
      <c r="CN44" s="2"/>
      <c r="CO44" s="2"/>
      <c r="CP44" s="2"/>
      <c r="CQ44" s="2"/>
      <c r="CR44" s="2"/>
      <c r="CS44" s="2"/>
      <c r="CT44" s="2"/>
      <c r="CU44" s="2"/>
      <c r="CV44" s="2"/>
      <c r="CW44" s="2"/>
      <c r="CX44" s="2"/>
      <c r="CY44" s="2"/>
      <c r="CZ44" s="2"/>
    </row>
    <row r="45" spans="1:104" ht="18" hidden="1"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S45" s="10"/>
      <c r="AT45" s="10"/>
      <c r="AU45" s="10"/>
      <c r="AV45" s="67" t="s">
        <v>1677</v>
      </c>
      <c r="AW45" s="10"/>
      <c r="AX45" s="68" t="s">
        <v>166</v>
      </c>
      <c r="AY45" s="5" t="s">
        <v>167</v>
      </c>
      <c r="AZ45" s="5" t="s">
        <v>168</v>
      </c>
      <c r="BA45" s="5" t="s">
        <v>169</v>
      </c>
      <c r="BB45" s="5" t="s">
        <v>170</v>
      </c>
      <c r="BC45" s="5" t="s">
        <v>171</v>
      </c>
      <c r="BD45" s="5" t="s">
        <v>172</v>
      </c>
      <c r="BE45" s="5" t="s">
        <v>173</v>
      </c>
      <c r="BF45" s="5" t="s">
        <v>174</v>
      </c>
      <c r="BG45" s="5" t="s">
        <v>175</v>
      </c>
      <c r="BH45" s="5" t="s">
        <v>176</v>
      </c>
      <c r="BI45" s="5" t="s">
        <v>177</v>
      </c>
      <c r="BJ45" s="2"/>
      <c r="BK45" s="126" t="s">
        <v>178</v>
      </c>
      <c r="BL45" s="123"/>
      <c r="BM45" s="123"/>
      <c r="BN45" s="123"/>
      <c r="BO45" s="123"/>
      <c r="BP45" s="123"/>
      <c r="BQ45" s="2"/>
      <c r="BR45" s="2"/>
      <c r="BS45" s="126" t="s">
        <v>179</v>
      </c>
      <c r="BT45" s="123"/>
      <c r="BU45" s="123"/>
      <c r="BV45" s="123"/>
      <c r="BW45" s="123"/>
      <c r="BX45" s="123"/>
      <c r="BY45" s="2"/>
      <c r="BZ45" s="126" t="s">
        <v>180</v>
      </c>
      <c r="CA45" s="127"/>
      <c r="CB45" s="127"/>
      <c r="CC45" s="127"/>
      <c r="CD45" s="127"/>
      <c r="CE45" s="127"/>
      <c r="CF45" s="2"/>
      <c r="CG45" s="126" t="s">
        <v>181</v>
      </c>
      <c r="CH45" s="123"/>
      <c r="CI45" s="123"/>
      <c r="CJ45" s="123"/>
      <c r="CK45" s="123"/>
      <c r="CL45" s="123"/>
      <c r="CM45" s="2"/>
      <c r="CN45" s="126" t="s">
        <v>182</v>
      </c>
      <c r="CO45" s="123"/>
      <c r="CP45" s="123"/>
      <c r="CQ45" s="123"/>
      <c r="CR45" s="123"/>
      <c r="CS45" s="123"/>
      <c r="CT45" s="2"/>
      <c r="CU45" s="126" t="s">
        <v>183</v>
      </c>
      <c r="CV45" s="123"/>
      <c r="CW45" s="123"/>
      <c r="CX45" s="123"/>
      <c r="CY45" s="123"/>
      <c r="CZ45" s="123"/>
    </row>
    <row r="46" spans="1:104" ht="18" hidden="1"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0" t="s">
        <v>1636</v>
      </c>
      <c r="AS46" s="10"/>
      <c r="AT46" s="10"/>
      <c r="AU46" s="10"/>
      <c r="AV46" s="10">
        <f t="shared" ref="AV46:AV61" si="23">(IF(AE2="",0,(IF(ISNUMBER(SEARCH(AE2,O2)),1,0))))+(IF(AI2="",0,(IF(ISNUMBER(SEARCH(AI2,O2)),1,0))))</f>
        <v>0</v>
      </c>
      <c r="AW46" s="10"/>
      <c r="AX46" s="2">
        <f t="shared" ref="AX46:AX61" si="24">C2</f>
        <v>0</v>
      </c>
      <c r="AY46" s="2">
        <f>IFERROR((VLOOKUP($BO$1&amp;C2,TeamsProPlayer!D:S,12,0)),0)</f>
        <v>0</v>
      </c>
      <c r="AZ46" s="2">
        <f>IFERROR((VLOOKUP($BO$1&amp;C2,TeamsProPlayer!D:S,13,0)),0)</f>
        <v>0</v>
      </c>
      <c r="BA46" s="2">
        <f>IFERROR((VLOOKUP($BO$1&amp;C2,TeamsProPlayer!D:S,14,0)),0)</f>
        <v>0</v>
      </c>
      <c r="BB46" s="2">
        <f>IFERROR((VLOOKUP($BO$1&amp;C2,TeamsProPlayer!D:S,15,0)),0)</f>
        <v>0</v>
      </c>
      <c r="BC46" s="2">
        <f>IFERROR((VLOOKUP($BO$1&amp;C2,TeamsProPlayer!D:S,16,0)),0)</f>
        <v>0</v>
      </c>
      <c r="BD46" s="2">
        <f>IF($P$38="NO",0,$P$38)</f>
        <v>0</v>
      </c>
      <c r="BE46" s="2">
        <f t="shared" ref="BE46:BE61" si="25">IF($AJ$38="NO",0,$AJ$38)</f>
        <v>0</v>
      </c>
      <c r="BF46" s="2">
        <f t="shared" ref="BF46:BF61" si="26">IF($AE$38="NO",0,$AE$38)</f>
        <v>0</v>
      </c>
      <c r="BG46" s="2">
        <f t="shared" ref="BG46:BG61" si="27">IF($Z$38="NO",0,$Z$38)</f>
        <v>0</v>
      </c>
      <c r="BH46" s="2">
        <f t="shared" ref="BH46:BH61" si="28">IF($U$38="NO",0,$U$38)</f>
        <v>0</v>
      </c>
      <c r="BI46" s="2">
        <f t="shared" ref="BI46:BI60" si="29">SUM(CG46:CS46)</f>
        <v>0</v>
      </c>
      <c r="BJ46">
        <f>IF(BS46="S",(IF(BT46="P",1,0)),(IF(BS46="P",(IF(BT46="S",1,0)),0)))</f>
        <v>0</v>
      </c>
      <c r="BK46" s="2">
        <f>IF(AE2="",0,(VLOOKUP(AE2,$CC$64:$CD$164,2,0)))</f>
        <v>0</v>
      </c>
      <c r="BL46" s="2">
        <f>IF(AI2="",0,(VLOOKUP(AI2,$CC$64:$CD$164,2,0)))</f>
        <v>0</v>
      </c>
      <c r="BM46" s="2">
        <f t="shared" ref="BM46:BM61" si="30">IF(AC2="",0,(VLOOKUP(AC2,$CC$64:$CD$164,2,0)))</f>
        <v>0</v>
      </c>
      <c r="BN46" s="2">
        <f t="shared" ref="BN46:BN61" si="31">IF(AE2="",0,(VLOOKUP(AE2,$CC$64:$CD$164,2,0)))</f>
        <v>0</v>
      </c>
      <c r="BO46" s="2"/>
      <c r="BP46" s="2"/>
      <c r="BS46" s="2">
        <f t="shared" ref="BS46:BS61" si="32">(IF(BK46="G",AY46,IF(BK46="A",AZ46,IF(BK46="S",BA46,IF(BK46="P",BB46,IF(BK46="M",BC46,IF(BK46="X",0,IF(OR(BK46="MA",BK46="AV",BK46="ST",BK46="PA",BK46="AG"),"STAT",0))))))))</f>
        <v>0</v>
      </c>
      <c r="BT46" s="2">
        <f>(IF(BL46="G",AY46,IF(BL46="A",AZ46,IF(BL46="S",BA46,IF(BL46="P",BB46,IF(BL46="M",BC46,IF(BL46="X",0,IF(OR(BL46="MA",BL46="AV",BL46="ST",BL46="PA",BL46="AG"),"STAT",0))))))))</f>
        <v>0</v>
      </c>
      <c r="BU46" s="2"/>
      <c r="BV46" s="2"/>
      <c r="BW46" s="2"/>
      <c r="BX46" s="2">
        <f t="shared" ref="BX46:BX60" si="33">(IF(BP46="G",AY46,IF(BP46="A",AZ46,IF(BP46="S",BA46,IF(BP46="P",BB46,IF(BP46="M",BC46,IF(BP46="X",0,IF(OR(BP46="MA",BP46="AV",BP46="ST",BP46="PA",BP46="AG"),"STAT",0))))))))</f>
        <v>0</v>
      </c>
      <c r="BY46" s="2"/>
      <c r="BZ46" s="2">
        <f t="shared" ref="BZ46:BZ61" si="34">IF(E43="Chosen","Chosen",(IF(E43="Elegida","Chosen",(IF(E43="Gewählt","Chosen",(IF(E43="Choisie","Chosen",(IF(E43="Random","Random",(IF(E43="Aleatoria","Random",(IF(E43="Zufällig","Random",(IF(E43="Aléatoire","Random",0)))))))))))))))</f>
        <v>0</v>
      </c>
      <c r="CA46" s="2">
        <f t="shared" ref="CA46:CA61" si="35">IF(K43="Chosen","Chosen",(IF(K43="Elegida","Chosen",(IF(K43="Gewählt","Chosen",(IF(K43="Choisie","Chosen",(IF(K43="Random","Random",(IF(K43="Aleatoria","Random",(IF(K43="Zufällig","Random",(IF(K43="Aléatoire","Random",0)))))))))))))))</f>
        <v>0</v>
      </c>
      <c r="CB46" s="2">
        <f t="shared" ref="CB46:CB61" si="36">IF(O43="Chosen","Chosen",(IF(O43="Elegida","Chosen",(IF(O43="Gewählt","Chosen",(IF(O43="Choisie","Chosen",(IF(O43="Random","Random",(IF(O43="Aleatoria","Random",(IF(O43="Zufällig","Random",(IF(O43="Aléatoire","Random",0)))))))))))))))</f>
        <v>0</v>
      </c>
      <c r="CC46" s="2">
        <f t="shared" ref="CC46:CC61" si="37">IF(S43="Chosen","Chosen",(IF(S43="Elegida","Chosen",(IF(S43="Gewählt","Chosen",(IF(S43="Choisie","Chosen",(IF(S43="Random","Random",(IF(S43="Aleatoria","Random",(IF(S43="Zufällig","Random",(IF(S43="Aléatoire","Random",0)))))))))))))))</f>
        <v>0</v>
      </c>
      <c r="CD46" s="2">
        <f t="shared" ref="CD46:CD61" si="38">IF(W43="Chosen","Chosen",(IF(W43="Elegida","Chosen",(IF(W43="Gewählt","Chosen",(IF(W43="Choisie","Chosen",(IF(W43="Random","Random",(IF(T43="Aleatoria","Random",(IF(W43="Zufällig","Random",(IF(W43="Aléatoire","Random",0)))))))))))))))</f>
        <v>0</v>
      </c>
      <c r="CE46" s="2">
        <f t="shared" ref="CE46:CE61" si="39">IF(AA43="Chosen","Chosen",(IF(AA43="Elegida","Chosen",(IF(AA43="Gewählt","Chosen",(IF(AA43="Choisie","Chosen",(IF(AA43="Random","Random",(IF(U43="Aleatoria","Random",(IF(AA43="Zufällig","Random",(IF(AA43="Aléatoire","Random",0)))))))))))))))</f>
        <v>0</v>
      </c>
      <c r="CF46" s="2"/>
      <c r="CG46" s="2">
        <f>IF(BS46="P",$C$38,(IF(BS46="S",$K$38,0)))</f>
        <v>0</v>
      </c>
      <c r="CH46" s="2">
        <f t="shared" ref="CH46:CL46" si="40">IF(BT46="P",$C$38,(IF(BT46="S",$K$38,0)))</f>
        <v>0</v>
      </c>
      <c r="CI46" s="2">
        <f>IF(BU46="P",$C$38,(IF(BU46="S",$K$38,0)))</f>
        <v>0</v>
      </c>
      <c r="CJ46" s="2">
        <f t="shared" si="40"/>
        <v>0</v>
      </c>
      <c r="CK46" s="2">
        <f t="shared" si="40"/>
        <v>0</v>
      </c>
      <c r="CL46" s="2">
        <f t="shared" si="40"/>
        <v>0</v>
      </c>
      <c r="CM46" s="2"/>
      <c r="CN46" s="2">
        <f>IF(BK46="MA",$P$38,(IF(BK46="ST",$U$38,(IF(BK46="PA",$Z$38,(IF(BK46="AG",$AE$38,(IF(BK46="AV",$AJ$38,0)))))))))</f>
        <v>0</v>
      </c>
      <c r="CO46" s="2">
        <f t="shared" ref="CO46:CS61" si="41">IF(BL46="MA",$P$38,(IF(BL46="ST",$U$38,(IF(BL46="PA",$Z$38,(IF(BL46="AG",$AE$38,(IF(BL46="AV",$AJ$38,0)))))))))</f>
        <v>0</v>
      </c>
      <c r="CP46" s="2">
        <f t="shared" si="41"/>
        <v>0</v>
      </c>
      <c r="CQ46" s="2">
        <f t="shared" si="41"/>
        <v>0</v>
      </c>
      <c r="CR46" s="2">
        <f t="shared" si="41"/>
        <v>0</v>
      </c>
      <c r="CS46" s="2">
        <f t="shared" si="41"/>
        <v>0</v>
      </c>
      <c r="CT46" s="2"/>
      <c r="CU46" s="2">
        <f t="shared" ref="CU46:CU61" si="42">IF(BS46="P",6,IF(BS46="S",12,IF(BS46="STAT",18,0)))</f>
        <v>0</v>
      </c>
      <c r="CV46" s="2">
        <f t="shared" ref="CV46:CV61" si="43">IF(BT46="P",8,IF(BT46="S",14,IF(BT46="STAT",20,0)))</f>
        <v>0</v>
      </c>
      <c r="CW46" s="2">
        <f t="shared" ref="CW46:CW61" si="44">IF(BU46="P",12,IF(BU46="S",18,IF(BU46="STAT",24,0)))</f>
        <v>0</v>
      </c>
      <c r="CX46" s="2">
        <f>IF(BV46="P",16,IF(BV46="S",22,IF(BV46="STAT",28,0)))</f>
        <v>0</v>
      </c>
      <c r="CY46" s="2">
        <f>IF(BW46="P",20,IF(BW46="S",26,IF(BW46="STAT",32,0)))</f>
        <v>0</v>
      </c>
      <c r="CZ46" s="2">
        <f>IF(BX46="P",30,IF(BX46="S",40,IF(BX46="STAT",50,0)))</f>
        <v>0</v>
      </c>
    </row>
    <row r="47" spans="1:104" ht="18" hidden="1"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f>2-(COUNTIF(J18:J19,0))</f>
        <v>2</v>
      </c>
      <c r="AS47" s="10"/>
      <c r="AT47" s="10"/>
      <c r="AU47" s="10"/>
      <c r="AV47" s="10">
        <f t="shared" si="23"/>
        <v>0</v>
      </c>
      <c r="AW47" s="10"/>
      <c r="AX47" s="2">
        <f t="shared" si="24"/>
        <v>0</v>
      </c>
      <c r="AY47" s="2">
        <f>IFERROR((VLOOKUP($BO$1&amp;C3,TeamsProPlayer!D:S,12,0)),0)</f>
        <v>0</v>
      </c>
      <c r="AZ47" s="2">
        <f>IFERROR((VLOOKUP($BO$1&amp;C3,TeamsProPlayer!D:S,13,0)),0)</f>
        <v>0</v>
      </c>
      <c r="BA47" s="2">
        <f>IFERROR((VLOOKUP($BO$1&amp;C3,TeamsProPlayer!D:S,14,0)),0)</f>
        <v>0</v>
      </c>
      <c r="BB47" s="2">
        <f>IFERROR((VLOOKUP($BO$1&amp;C3,TeamsProPlayer!D:S,15,0)),0)</f>
        <v>0</v>
      </c>
      <c r="BC47" s="2">
        <f>IFERROR((VLOOKUP($BO$1&amp;C3,TeamsProPlayer!D:S,16,0)),0)</f>
        <v>0</v>
      </c>
      <c r="BD47" s="2">
        <f t="shared" ref="BD47:BD61" si="45">IF($P$38="NO",0,$P$38)</f>
        <v>0</v>
      </c>
      <c r="BE47" s="2">
        <f t="shared" si="25"/>
        <v>0</v>
      </c>
      <c r="BF47" s="2">
        <f t="shared" si="26"/>
        <v>0</v>
      </c>
      <c r="BG47" s="2">
        <f t="shared" si="27"/>
        <v>0</v>
      </c>
      <c r="BH47" s="2">
        <f t="shared" si="28"/>
        <v>0</v>
      </c>
      <c r="BI47" s="2">
        <f t="shared" si="29"/>
        <v>0</v>
      </c>
      <c r="BJ47">
        <f t="shared" ref="BJ47:BJ61" si="46">IF(BS47="S",(IF(BT47="P",1,0)),(IF(BS47="P",(IF(BT47="S",1,0)),0)))</f>
        <v>0</v>
      </c>
      <c r="BK47" s="2">
        <f t="shared" ref="BK47:BK61" si="47">IF(AE3="",0,(VLOOKUP(AE3,$CC$64:$CD$164,2,0)))</f>
        <v>0</v>
      </c>
      <c r="BL47" s="2">
        <f t="shared" ref="BL47:BL61" si="48">IF(AI3="",0,(VLOOKUP(AI3,$CC$64:$CD$164,2,0)))</f>
        <v>0</v>
      </c>
      <c r="BM47" s="2">
        <f t="shared" si="30"/>
        <v>0</v>
      </c>
      <c r="BN47" s="2">
        <f t="shared" si="31"/>
        <v>0</v>
      </c>
      <c r="BO47" s="2"/>
      <c r="BP47" s="2"/>
      <c r="BS47" s="2">
        <f t="shared" si="32"/>
        <v>0</v>
      </c>
      <c r="BT47" s="2">
        <f t="shared" ref="BT47:BT61" si="49">(IF(BL47="G",AY47,IF(BL47="A",AZ47,IF(BL47="S",BA47,IF(BL47="P",BB47,IF(BL47="M",BC47,IF(BL47="X",0,IF(OR(BL47="MA",BL47="AV",BL47="ST",BL47="PA",BL47="AG"),"STAT",0))))))))</f>
        <v>0</v>
      </c>
      <c r="BU47" s="2"/>
      <c r="BV47" s="2"/>
      <c r="BW47" s="2"/>
      <c r="BX47" s="2">
        <f t="shared" si="33"/>
        <v>0</v>
      </c>
      <c r="BY47" s="2"/>
      <c r="BZ47" s="2">
        <f t="shared" si="34"/>
        <v>0</v>
      </c>
      <c r="CA47" s="2">
        <f t="shared" si="35"/>
        <v>0</v>
      </c>
      <c r="CB47" s="2">
        <f t="shared" si="36"/>
        <v>0</v>
      </c>
      <c r="CC47" s="2">
        <f t="shared" si="37"/>
        <v>0</v>
      </c>
      <c r="CD47" s="2">
        <f t="shared" si="38"/>
        <v>0</v>
      </c>
      <c r="CE47" s="2">
        <f t="shared" si="39"/>
        <v>0</v>
      </c>
      <c r="CF47" s="2"/>
      <c r="CG47" s="2">
        <f t="shared" ref="CG47:CL61" si="50">IF(BS47="P",$C$38,(IF(BS47="S",$K$38,0)))</f>
        <v>0</v>
      </c>
      <c r="CH47" s="2">
        <f t="shared" si="50"/>
        <v>0</v>
      </c>
      <c r="CI47" s="2">
        <f t="shared" si="50"/>
        <v>0</v>
      </c>
      <c r="CJ47" s="2">
        <f t="shared" si="50"/>
        <v>0</v>
      </c>
      <c r="CK47" s="2">
        <f t="shared" si="50"/>
        <v>0</v>
      </c>
      <c r="CL47" s="2">
        <f t="shared" si="50"/>
        <v>0</v>
      </c>
      <c r="CM47" s="2"/>
      <c r="CN47" s="2">
        <f t="shared" ref="CN47:CN61" si="51">IF(BK47="MA",$P$38,(IF(BK47="ST",$U$38,(IF(BK47="PA",$Z$38,(IF(BK47="AG",$AE$38,(IF(BK47="AV",$AJ$38,0)))))))))</f>
        <v>0</v>
      </c>
      <c r="CO47" s="2">
        <f t="shared" si="41"/>
        <v>0</v>
      </c>
      <c r="CP47" s="2">
        <f t="shared" si="41"/>
        <v>0</v>
      </c>
      <c r="CQ47" s="2">
        <f t="shared" si="41"/>
        <v>0</v>
      </c>
      <c r="CR47" s="2">
        <f t="shared" si="41"/>
        <v>0</v>
      </c>
      <c r="CS47" s="2">
        <f t="shared" si="41"/>
        <v>0</v>
      </c>
      <c r="CT47" s="2"/>
      <c r="CU47" s="2">
        <f t="shared" si="42"/>
        <v>0</v>
      </c>
      <c r="CV47" s="2">
        <f t="shared" si="43"/>
        <v>0</v>
      </c>
      <c r="CW47" s="2">
        <f t="shared" si="44"/>
        <v>0</v>
      </c>
      <c r="CX47" s="2">
        <f t="shared" ref="CX47:CX61" si="52">IF(BV47="P",16,IF(BV47="S",22,IF(BV47="STAT",28,0)))</f>
        <v>0</v>
      </c>
      <c r="CY47" s="2">
        <f t="shared" ref="CY47:CY61" si="53">IF(BW47="P",20,IF(BW47="S",26,IF(BW47="STAT",32,0)))</f>
        <v>0</v>
      </c>
      <c r="CZ47" s="2">
        <f t="shared" ref="CZ47:CZ61" si="54">IF(AND(BX47="P",CE47="Random"),15,IF(AND(BX47="P",CE47="Chosen"),30,IF(AND(BX47="S",CE47="Random"),30,IF(AND(BX47="S",CE47="Chosen"),40,IF(OR(BX47="STAT"),50,0)))))</f>
        <v>0</v>
      </c>
    </row>
    <row r="48" spans="1:104" ht="18" hidden="1"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S48" s="10"/>
      <c r="AT48" s="10"/>
      <c r="AU48" s="10"/>
      <c r="AV48" s="10">
        <f t="shared" si="23"/>
        <v>0</v>
      </c>
      <c r="AW48" s="10"/>
      <c r="AX48" s="2">
        <f t="shared" si="24"/>
        <v>0</v>
      </c>
      <c r="AY48" s="2">
        <f>IFERROR((VLOOKUP($BO$1&amp;C4,TeamsProPlayer!D:S,12,0)),0)</f>
        <v>0</v>
      </c>
      <c r="AZ48" s="2">
        <f>IFERROR((VLOOKUP($BO$1&amp;C4,TeamsProPlayer!D:S,13,0)),0)</f>
        <v>0</v>
      </c>
      <c r="BA48" s="2">
        <f>IFERROR((VLOOKUP($BO$1&amp;C4,TeamsProPlayer!D:S,14,0)),0)</f>
        <v>0</v>
      </c>
      <c r="BB48" s="2">
        <f>IFERROR((VLOOKUP($BO$1&amp;C4,TeamsProPlayer!D:S,15,0)),0)</f>
        <v>0</v>
      </c>
      <c r="BC48" s="2">
        <f>IFERROR((VLOOKUP($BO$1&amp;C4,TeamsProPlayer!D:S,16,0)),0)</f>
        <v>0</v>
      </c>
      <c r="BD48" s="2">
        <f t="shared" si="45"/>
        <v>0</v>
      </c>
      <c r="BE48" s="2">
        <f t="shared" si="25"/>
        <v>0</v>
      </c>
      <c r="BF48" s="2">
        <f t="shared" si="26"/>
        <v>0</v>
      </c>
      <c r="BG48" s="2">
        <f t="shared" si="27"/>
        <v>0</v>
      </c>
      <c r="BH48" s="2">
        <f t="shared" si="28"/>
        <v>0</v>
      </c>
      <c r="BI48" s="2">
        <f t="shared" si="29"/>
        <v>0</v>
      </c>
      <c r="BJ48">
        <f t="shared" si="46"/>
        <v>0</v>
      </c>
      <c r="BK48" s="2">
        <f t="shared" si="47"/>
        <v>0</v>
      </c>
      <c r="BL48" s="2">
        <f t="shared" si="48"/>
        <v>0</v>
      </c>
      <c r="BM48" s="2">
        <f t="shared" si="30"/>
        <v>0</v>
      </c>
      <c r="BN48" s="2">
        <f t="shared" si="31"/>
        <v>0</v>
      </c>
      <c r="BO48" s="2"/>
      <c r="BP48" s="2"/>
      <c r="BS48" s="2">
        <f t="shared" si="32"/>
        <v>0</v>
      </c>
      <c r="BT48" s="2">
        <f t="shared" si="49"/>
        <v>0</v>
      </c>
      <c r="BU48" s="2"/>
      <c r="BV48" s="2"/>
      <c r="BW48" s="2"/>
      <c r="BX48" s="2">
        <f t="shared" si="33"/>
        <v>0</v>
      </c>
      <c r="BY48" s="2"/>
      <c r="BZ48" s="2">
        <f t="shared" si="34"/>
        <v>0</v>
      </c>
      <c r="CA48" s="2">
        <f t="shared" si="35"/>
        <v>0</v>
      </c>
      <c r="CB48" s="2">
        <f t="shared" si="36"/>
        <v>0</v>
      </c>
      <c r="CC48" s="2">
        <f t="shared" si="37"/>
        <v>0</v>
      </c>
      <c r="CD48" s="2">
        <f t="shared" si="38"/>
        <v>0</v>
      </c>
      <c r="CE48" s="2">
        <f t="shared" si="39"/>
        <v>0</v>
      </c>
      <c r="CF48" s="2"/>
      <c r="CG48" s="2">
        <f t="shared" si="50"/>
        <v>0</v>
      </c>
      <c r="CH48" s="2">
        <f t="shared" si="50"/>
        <v>0</v>
      </c>
      <c r="CI48" s="2">
        <f t="shared" si="50"/>
        <v>0</v>
      </c>
      <c r="CJ48" s="2">
        <f t="shared" si="50"/>
        <v>0</v>
      </c>
      <c r="CK48" s="2">
        <f t="shared" si="50"/>
        <v>0</v>
      </c>
      <c r="CL48" s="2">
        <f t="shared" si="50"/>
        <v>0</v>
      </c>
      <c r="CM48" s="2"/>
      <c r="CN48" s="2">
        <f t="shared" si="51"/>
        <v>0</v>
      </c>
      <c r="CO48" s="2">
        <f t="shared" si="41"/>
        <v>0</v>
      </c>
      <c r="CP48" s="2">
        <f t="shared" si="41"/>
        <v>0</v>
      </c>
      <c r="CQ48" s="2">
        <f t="shared" si="41"/>
        <v>0</v>
      </c>
      <c r="CR48" s="2">
        <f t="shared" si="41"/>
        <v>0</v>
      </c>
      <c r="CS48" s="2">
        <f t="shared" si="41"/>
        <v>0</v>
      </c>
      <c r="CT48" s="2"/>
      <c r="CU48" s="2">
        <f t="shared" si="42"/>
        <v>0</v>
      </c>
      <c r="CV48" s="2">
        <f t="shared" si="43"/>
        <v>0</v>
      </c>
      <c r="CW48" s="2">
        <f t="shared" si="44"/>
        <v>0</v>
      </c>
      <c r="CX48" s="2">
        <f t="shared" si="52"/>
        <v>0</v>
      </c>
      <c r="CY48" s="2">
        <f t="shared" si="53"/>
        <v>0</v>
      </c>
      <c r="CZ48" s="2">
        <f t="shared" si="54"/>
        <v>0</v>
      </c>
    </row>
    <row r="49" spans="2:104" ht="18" hidden="1" customHeight="1" x14ac:dyDescent="0.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S49" s="10"/>
      <c r="AT49" s="10"/>
      <c r="AU49" s="10"/>
      <c r="AV49" s="10">
        <f t="shared" si="23"/>
        <v>0</v>
      </c>
      <c r="AW49" s="10"/>
      <c r="AX49" s="2">
        <f t="shared" si="24"/>
        <v>0</v>
      </c>
      <c r="AY49" s="2">
        <f>IFERROR((VLOOKUP($BO$1&amp;C5,TeamsProPlayer!D:S,12,0)),0)</f>
        <v>0</v>
      </c>
      <c r="AZ49" s="2">
        <f>IFERROR((VLOOKUP($BO$1&amp;C5,TeamsProPlayer!D:S,13,0)),0)</f>
        <v>0</v>
      </c>
      <c r="BA49" s="2">
        <f>IFERROR((VLOOKUP($BO$1&amp;C5,TeamsProPlayer!D:S,14,0)),0)</f>
        <v>0</v>
      </c>
      <c r="BB49" s="2">
        <f>IFERROR((VLOOKUP($BO$1&amp;C5,TeamsProPlayer!D:S,15,0)),0)</f>
        <v>0</v>
      </c>
      <c r="BC49" s="2">
        <f>IFERROR((VLOOKUP($BO$1&amp;C5,TeamsProPlayer!D:S,16,0)),0)</f>
        <v>0</v>
      </c>
      <c r="BD49" s="2">
        <f t="shared" si="45"/>
        <v>0</v>
      </c>
      <c r="BE49" s="2">
        <f t="shared" si="25"/>
        <v>0</v>
      </c>
      <c r="BF49" s="2">
        <f t="shared" si="26"/>
        <v>0</v>
      </c>
      <c r="BG49" s="2">
        <f t="shared" si="27"/>
        <v>0</v>
      </c>
      <c r="BH49" s="2">
        <f t="shared" si="28"/>
        <v>0</v>
      </c>
      <c r="BI49" s="2">
        <f t="shared" si="29"/>
        <v>0</v>
      </c>
      <c r="BJ49">
        <f t="shared" si="46"/>
        <v>0</v>
      </c>
      <c r="BK49" s="2">
        <f t="shared" si="47"/>
        <v>0</v>
      </c>
      <c r="BL49" s="2">
        <f t="shared" si="48"/>
        <v>0</v>
      </c>
      <c r="BM49" s="2">
        <f t="shared" si="30"/>
        <v>0</v>
      </c>
      <c r="BN49" s="2">
        <f t="shared" si="31"/>
        <v>0</v>
      </c>
      <c r="BO49" s="2"/>
      <c r="BP49" s="2"/>
      <c r="BS49" s="2">
        <f t="shared" si="32"/>
        <v>0</v>
      </c>
      <c r="BT49" s="2">
        <f t="shared" si="49"/>
        <v>0</v>
      </c>
      <c r="BU49" s="2"/>
      <c r="BV49" s="2"/>
      <c r="BW49" s="2"/>
      <c r="BX49" s="2">
        <f t="shared" si="33"/>
        <v>0</v>
      </c>
      <c r="BY49" s="2"/>
      <c r="BZ49" s="2">
        <f t="shared" si="34"/>
        <v>0</v>
      </c>
      <c r="CA49" s="2">
        <f t="shared" si="35"/>
        <v>0</v>
      </c>
      <c r="CB49" s="2">
        <f t="shared" si="36"/>
        <v>0</v>
      </c>
      <c r="CC49" s="2">
        <f t="shared" si="37"/>
        <v>0</v>
      </c>
      <c r="CD49" s="2">
        <f t="shared" si="38"/>
        <v>0</v>
      </c>
      <c r="CE49" s="2">
        <f t="shared" si="39"/>
        <v>0</v>
      </c>
      <c r="CF49" s="2"/>
      <c r="CG49" s="2">
        <f t="shared" si="50"/>
        <v>0</v>
      </c>
      <c r="CH49" s="2">
        <f t="shared" si="50"/>
        <v>0</v>
      </c>
      <c r="CI49" s="2">
        <f t="shared" si="50"/>
        <v>0</v>
      </c>
      <c r="CJ49" s="2">
        <f t="shared" si="50"/>
        <v>0</v>
      </c>
      <c r="CK49" s="2">
        <f t="shared" si="50"/>
        <v>0</v>
      </c>
      <c r="CL49" s="2">
        <f t="shared" si="50"/>
        <v>0</v>
      </c>
      <c r="CM49" s="2"/>
      <c r="CN49" s="2">
        <f t="shared" si="51"/>
        <v>0</v>
      </c>
      <c r="CO49" s="2">
        <f t="shared" si="41"/>
        <v>0</v>
      </c>
      <c r="CP49" s="2">
        <f t="shared" si="41"/>
        <v>0</v>
      </c>
      <c r="CQ49" s="2">
        <f t="shared" si="41"/>
        <v>0</v>
      </c>
      <c r="CR49" s="2">
        <f t="shared" si="41"/>
        <v>0</v>
      </c>
      <c r="CS49" s="2">
        <f t="shared" si="41"/>
        <v>0</v>
      </c>
      <c r="CT49" s="2"/>
      <c r="CU49" s="2">
        <f t="shared" si="42"/>
        <v>0</v>
      </c>
      <c r="CV49" s="2">
        <f t="shared" si="43"/>
        <v>0</v>
      </c>
      <c r="CW49" s="2">
        <f t="shared" si="44"/>
        <v>0</v>
      </c>
      <c r="CX49" s="2">
        <f t="shared" si="52"/>
        <v>0</v>
      </c>
      <c r="CY49" s="2">
        <f t="shared" si="53"/>
        <v>0</v>
      </c>
      <c r="CZ49" s="2">
        <f t="shared" si="54"/>
        <v>0</v>
      </c>
    </row>
    <row r="50" spans="2:104" ht="18" hidden="1" customHeight="1" x14ac:dyDescent="0.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S50" s="10"/>
      <c r="AT50" s="10"/>
      <c r="AU50" s="10"/>
      <c r="AV50" s="10">
        <f t="shared" si="23"/>
        <v>0</v>
      </c>
      <c r="AW50" s="10"/>
      <c r="AX50" s="2">
        <f t="shared" si="24"/>
        <v>0</v>
      </c>
      <c r="AY50" s="2">
        <f>IFERROR((VLOOKUP($BO$1&amp;C6,TeamsProPlayer!D:S,12,0)),0)</f>
        <v>0</v>
      </c>
      <c r="AZ50" s="2">
        <f>IFERROR((VLOOKUP($BO$1&amp;C6,TeamsProPlayer!D:S,13,0)),0)</f>
        <v>0</v>
      </c>
      <c r="BA50" s="2">
        <f>IFERROR((VLOOKUP($BO$1&amp;C6,TeamsProPlayer!D:S,14,0)),0)</f>
        <v>0</v>
      </c>
      <c r="BB50" s="2">
        <f>IFERROR((VLOOKUP($BO$1&amp;C6,TeamsProPlayer!D:S,15,0)),0)</f>
        <v>0</v>
      </c>
      <c r="BC50" s="2">
        <f>IFERROR((VLOOKUP($BO$1&amp;C6,TeamsProPlayer!D:S,16,0)),0)</f>
        <v>0</v>
      </c>
      <c r="BD50" s="2">
        <f t="shared" si="45"/>
        <v>0</v>
      </c>
      <c r="BE50" s="2">
        <f t="shared" si="25"/>
        <v>0</v>
      </c>
      <c r="BF50" s="2">
        <f t="shared" si="26"/>
        <v>0</v>
      </c>
      <c r="BG50" s="2">
        <f t="shared" si="27"/>
        <v>0</v>
      </c>
      <c r="BH50" s="2">
        <f t="shared" si="28"/>
        <v>0</v>
      </c>
      <c r="BI50" s="2">
        <f t="shared" si="29"/>
        <v>0</v>
      </c>
      <c r="BJ50">
        <f t="shared" si="46"/>
        <v>0</v>
      </c>
      <c r="BK50" s="2">
        <f t="shared" si="47"/>
        <v>0</v>
      </c>
      <c r="BL50" s="2">
        <f t="shared" si="48"/>
        <v>0</v>
      </c>
      <c r="BM50" s="2">
        <f t="shared" si="30"/>
        <v>0</v>
      </c>
      <c r="BN50" s="2">
        <f t="shared" si="31"/>
        <v>0</v>
      </c>
      <c r="BO50" s="2"/>
      <c r="BP50" s="2"/>
      <c r="BS50" s="2">
        <f t="shared" si="32"/>
        <v>0</v>
      </c>
      <c r="BT50" s="2">
        <f t="shared" si="49"/>
        <v>0</v>
      </c>
      <c r="BU50" s="2"/>
      <c r="BV50" s="2"/>
      <c r="BW50" s="2"/>
      <c r="BX50" s="2">
        <f t="shared" si="33"/>
        <v>0</v>
      </c>
      <c r="BY50" s="2"/>
      <c r="BZ50" s="2">
        <f t="shared" si="34"/>
        <v>0</v>
      </c>
      <c r="CA50" s="2">
        <f t="shared" si="35"/>
        <v>0</v>
      </c>
      <c r="CB50" s="2">
        <f t="shared" si="36"/>
        <v>0</v>
      </c>
      <c r="CC50" s="2">
        <f t="shared" si="37"/>
        <v>0</v>
      </c>
      <c r="CD50" s="2">
        <f t="shared" si="38"/>
        <v>0</v>
      </c>
      <c r="CE50" s="2">
        <f t="shared" si="39"/>
        <v>0</v>
      </c>
      <c r="CF50" s="2"/>
      <c r="CG50" s="2">
        <f t="shared" si="50"/>
        <v>0</v>
      </c>
      <c r="CH50" s="2">
        <f t="shared" si="50"/>
        <v>0</v>
      </c>
      <c r="CI50" s="2">
        <f t="shared" si="50"/>
        <v>0</v>
      </c>
      <c r="CJ50" s="2">
        <f t="shared" si="50"/>
        <v>0</v>
      </c>
      <c r="CK50" s="2">
        <f t="shared" si="50"/>
        <v>0</v>
      </c>
      <c r="CL50" s="2">
        <f t="shared" si="50"/>
        <v>0</v>
      </c>
      <c r="CM50" s="2"/>
      <c r="CN50" s="2">
        <f t="shared" si="51"/>
        <v>0</v>
      </c>
      <c r="CO50" s="2">
        <f t="shared" si="41"/>
        <v>0</v>
      </c>
      <c r="CP50" s="2">
        <f t="shared" si="41"/>
        <v>0</v>
      </c>
      <c r="CQ50" s="2">
        <f t="shared" si="41"/>
        <v>0</v>
      </c>
      <c r="CR50" s="2">
        <f t="shared" si="41"/>
        <v>0</v>
      </c>
      <c r="CS50" s="2">
        <f t="shared" si="41"/>
        <v>0</v>
      </c>
      <c r="CT50" s="2"/>
      <c r="CU50" s="2">
        <f t="shared" si="42"/>
        <v>0</v>
      </c>
      <c r="CV50" s="2">
        <f t="shared" si="43"/>
        <v>0</v>
      </c>
      <c r="CW50" s="2">
        <f t="shared" si="44"/>
        <v>0</v>
      </c>
      <c r="CX50" s="2">
        <f t="shared" si="52"/>
        <v>0</v>
      </c>
      <c r="CY50" s="2">
        <f t="shared" si="53"/>
        <v>0</v>
      </c>
      <c r="CZ50" s="2">
        <f t="shared" si="54"/>
        <v>0</v>
      </c>
    </row>
    <row r="51" spans="2:104" ht="18" hidden="1" customHeight="1" x14ac:dyDescent="0.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S51" s="10"/>
      <c r="AT51" s="10"/>
      <c r="AU51" s="10"/>
      <c r="AV51" s="10">
        <f t="shared" si="23"/>
        <v>0</v>
      </c>
      <c r="AW51" s="10"/>
      <c r="AX51" s="2">
        <f t="shared" si="24"/>
        <v>0</v>
      </c>
      <c r="AY51" s="2">
        <f>IFERROR((VLOOKUP($BO$1&amp;C7,TeamsProPlayer!D:S,12,0)),0)</f>
        <v>0</v>
      </c>
      <c r="AZ51" s="2">
        <f>IFERROR((VLOOKUP($BO$1&amp;C7,TeamsProPlayer!D:S,13,0)),0)</f>
        <v>0</v>
      </c>
      <c r="BA51" s="2">
        <f>IFERROR((VLOOKUP($BO$1&amp;C7,TeamsProPlayer!D:S,14,0)),0)</f>
        <v>0</v>
      </c>
      <c r="BB51" s="2">
        <f>IFERROR((VLOOKUP($BO$1&amp;C7,TeamsProPlayer!D:S,15,0)),0)</f>
        <v>0</v>
      </c>
      <c r="BC51" s="2">
        <f>IFERROR((VLOOKUP($BO$1&amp;C7,TeamsProPlayer!D:S,16,0)),0)</f>
        <v>0</v>
      </c>
      <c r="BD51" s="2">
        <f t="shared" si="45"/>
        <v>0</v>
      </c>
      <c r="BE51" s="2">
        <f t="shared" si="25"/>
        <v>0</v>
      </c>
      <c r="BF51" s="2">
        <f t="shared" si="26"/>
        <v>0</v>
      </c>
      <c r="BG51" s="2">
        <f t="shared" si="27"/>
        <v>0</v>
      </c>
      <c r="BH51" s="2">
        <f t="shared" si="28"/>
        <v>0</v>
      </c>
      <c r="BI51" s="2">
        <f>SUM(CG51:CS51)</f>
        <v>0</v>
      </c>
      <c r="BJ51">
        <f t="shared" si="46"/>
        <v>0</v>
      </c>
      <c r="BK51" s="2">
        <f t="shared" si="47"/>
        <v>0</v>
      </c>
      <c r="BL51" s="2">
        <f t="shared" si="48"/>
        <v>0</v>
      </c>
      <c r="BM51" s="2">
        <f t="shared" si="30"/>
        <v>0</v>
      </c>
      <c r="BN51" s="2">
        <f t="shared" si="31"/>
        <v>0</v>
      </c>
      <c r="BO51" s="2"/>
      <c r="BP51" s="2"/>
      <c r="BS51" s="2">
        <f t="shared" si="32"/>
        <v>0</v>
      </c>
      <c r="BT51" s="2">
        <f>(IF(BL51="G",AY51,IF(BL51="A",AZ51,IF(BL51="S",BA51,IF(BL51="P",BB51,IF(BL51="M",BC51,IF(BL51="X",0,IF(OR(BL51="MA",BL51="AV",BL51="ST",BL51="PA",BL51="AG"),"STAT",0))))))))</f>
        <v>0</v>
      </c>
      <c r="BU51" s="2"/>
      <c r="BV51" s="2"/>
      <c r="BW51" s="2"/>
      <c r="BX51" s="2">
        <f t="shared" si="33"/>
        <v>0</v>
      </c>
      <c r="BY51" s="2"/>
      <c r="BZ51" s="2">
        <f t="shared" si="34"/>
        <v>0</v>
      </c>
      <c r="CA51" s="2">
        <f t="shared" si="35"/>
        <v>0</v>
      </c>
      <c r="CB51" s="2">
        <f t="shared" si="36"/>
        <v>0</v>
      </c>
      <c r="CC51" s="2">
        <f t="shared" si="37"/>
        <v>0</v>
      </c>
      <c r="CD51" s="2">
        <f t="shared" si="38"/>
        <v>0</v>
      </c>
      <c r="CE51" s="2">
        <f t="shared" si="39"/>
        <v>0</v>
      </c>
      <c r="CF51" s="2"/>
      <c r="CG51" s="2">
        <f t="shared" si="50"/>
        <v>0</v>
      </c>
      <c r="CH51" s="2">
        <f t="shared" si="50"/>
        <v>0</v>
      </c>
      <c r="CI51" s="2">
        <f t="shared" si="50"/>
        <v>0</v>
      </c>
      <c r="CJ51" s="2">
        <f t="shared" si="50"/>
        <v>0</v>
      </c>
      <c r="CK51" s="2">
        <f t="shared" si="50"/>
        <v>0</v>
      </c>
      <c r="CL51" s="2">
        <f t="shared" si="50"/>
        <v>0</v>
      </c>
      <c r="CM51" s="2"/>
      <c r="CN51" s="2">
        <f t="shared" si="51"/>
        <v>0</v>
      </c>
      <c r="CO51" s="2">
        <f t="shared" si="41"/>
        <v>0</v>
      </c>
      <c r="CP51" s="2">
        <f t="shared" si="41"/>
        <v>0</v>
      </c>
      <c r="CQ51" s="2">
        <f t="shared" si="41"/>
        <v>0</v>
      </c>
      <c r="CR51" s="2">
        <f t="shared" si="41"/>
        <v>0</v>
      </c>
      <c r="CS51" s="2">
        <f t="shared" si="41"/>
        <v>0</v>
      </c>
      <c r="CT51" s="2"/>
      <c r="CU51" s="2">
        <f>IF(BS51="P",6,IF(BS51="S",12,IF(BS51="STAT",18,0)))</f>
        <v>0</v>
      </c>
      <c r="CV51" s="2">
        <f>IF(BT51="P",8,IF(BT51="S",14,IF(BT51="STAT",20,0)))</f>
        <v>0</v>
      </c>
      <c r="CW51" s="2">
        <f t="shared" si="44"/>
        <v>0</v>
      </c>
      <c r="CX51" s="2">
        <f t="shared" si="52"/>
        <v>0</v>
      </c>
      <c r="CY51" s="2">
        <f t="shared" si="53"/>
        <v>0</v>
      </c>
      <c r="CZ51" s="2">
        <f t="shared" si="54"/>
        <v>0</v>
      </c>
    </row>
    <row r="52" spans="2:104" ht="18" hidden="1" customHeight="1" x14ac:dyDescent="0.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S52" s="10"/>
      <c r="AT52" s="10"/>
      <c r="AU52" s="10"/>
      <c r="AV52" s="10">
        <f t="shared" si="23"/>
        <v>0</v>
      </c>
      <c r="AW52" s="10"/>
      <c r="AX52" s="2">
        <f t="shared" si="24"/>
        <v>0</v>
      </c>
      <c r="AY52" s="2">
        <f>IFERROR((VLOOKUP($BO$1&amp;C8,TeamsProPlayer!D:S,12,0)),0)</f>
        <v>0</v>
      </c>
      <c r="AZ52" s="2">
        <f>IFERROR((VLOOKUP($BO$1&amp;C8,TeamsProPlayer!D:S,13,0)),0)</f>
        <v>0</v>
      </c>
      <c r="BA52" s="2">
        <f>IFERROR((VLOOKUP($BO$1&amp;C8,TeamsProPlayer!D:S,14,0)),0)</f>
        <v>0</v>
      </c>
      <c r="BB52" s="2">
        <f>IFERROR((VLOOKUP($BO$1&amp;C8,TeamsProPlayer!D:S,15,0)),0)</f>
        <v>0</v>
      </c>
      <c r="BC52" s="2">
        <f>IFERROR((VLOOKUP($BO$1&amp;C8,TeamsProPlayer!D:S,16,0)),0)</f>
        <v>0</v>
      </c>
      <c r="BD52" s="2">
        <f t="shared" si="45"/>
        <v>0</v>
      </c>
      <c r="BE52" s="2">
        <f t="shared" si="25"/>
        <v>0</v>
      </c>
      <c r="BF52" s="2">
        <f t="shared" si="26"/>
        <v>0</v>
      </c>
      <c r="BG52" s="2">
        <f t="shared" si="27"/>
        <v>0</v>
      </c>
      <c r="BH52" s="2">
        <f t="shared" si="28"/>
        <v>0</v>
      </c>
      <c r="BI52" s="2">
        <f t="shared" si="29"/>
        <v>0</v>
      </c>
      <c r="BJ52">
        <f t="shared" si="46"/>
        <v>0</v>
      </c>
      <c r="BK52" s="2">
        <f t="shared" si="47"/>
        <v>0</v>
      </c>
      <c r="BL52" s="2">
        <f t="shared" si="48"/>
        <v>0</v>
      </c>
      <c r="BM52" s="2">
        <f t="shared" si="30"/>
        <v>0</v>
      </c>
      <c r="BN52" s="2">
        <f t="shared" si="31"/>
        <v>0</v>
      </c>
      <c r="BO52" s="2"/>
      <c r="BP52" s="2"/>
      <c r="BS52" s="2">
        <f t="shared" si="32"/>
        <v>0</v>
      </c>
      <c r="BT52" s="2">
        <f t="shared" si="49"/>
        <v>0</v>
      </c>
      <c r="BU52" s="2"/>
      <c r="BV52" s="2"/>
      <c r="BW52" s="2"/>
      <c r="BX52" s="2">
        <f t="shared" si="33"/>
        <v>0</v>
      </c>
      <c r="BY52" s="2"/>
      <c r="BZ52" s="2">
        <f t="shared" si="34"/>
        <v>0</v>
      </c>
      <c r="CA52" s="2">
        <f t="shared" si="35"/>
        <v>0</v>
      </c>
      <c r="CB52" s="2">
        <f t="shared" si="36"/>
        <v>0</v>
      </c>
      <c r="CC52" s="2">
        <f t="shared" si="37"/>
        <v>0</v>
      </c>
      <c r="CD52" s="2">
        <f t="shared" si="38"/>
        <v>0</v>
      </c>
      <c r="CE52" s="2">
        <f t="shared" si="39"/>
        <v>0</v>
      </c>
      <c r="CF52" s="2"/>
      <c r="CG52" s="2">
        <f t="shared" si="50"/>
        <v>0</v>
      </c>
      <c r="CH52" s="2">
        <f t="shared" si="50"/>
        <v>0</v>
      </c>
      <c r="CI52" s="2">
        <f t="shared" si="50"/>
        <v>0</v>
      </c>
      <c r="CJ52" s="2">
        <f t="shared" si="50"/>
        <v>0</v>
      </c>
      <c r="CK52" s="2">
        <f t="shared" si="50"/>
        <v>0</v>
      </c>
      <c r="CL52" s="2">
        <f t="shared" si="50"/>
        <v>0</v>
      </c>
      <c r="CM52" s="2"/>
      <c r="CN52" s="2">
        <f t="shared" si="51"/>
        <v>0</v>
      </c>
      <c r="CO52" s="2">
        <f t="shared" si="41"/>
        <v>0</v>
      </c>
      <c r="CP52" s="2">
        <f t="shared" si="41"/>
        <v>0</v>
      </c>
      <c r="CQ52" s="2">
        <f t="shared" si="41"/>
        <v>0</v>
      </c>
      <c r="CR52" s="2">
        <f t="shared" si="41"/>
        <v>0</v>
      </c>
      <c r="CS52" s="2">
        <f t="shared" si="41"/>
        <v>0</v>
      </c>
      <c r="CT52" s="2"/>
      <c r="CU52" s="2">
        <f t="shared" si="42"/>
        <v>0</v>
      </c>
      <c r="CV52" s="2">
        <f t="shared" si="43"/>
        <v>0</v>
      </c>
      <c r="CW52" s="2">
        <f t="shared" si="44"/>
        <v>0</v>
      </c>
      <c r="CX52" s="2">
        <f t="shared" si="52"/>
        <v>0</v>
      </c>
      <c r="CY52" s="2">
        <f t="shared" si="53"/>
        <v>0</v>
      </c>
      <c r="CZ52" s="2">
        <f t="shared" si="54"/>
        <v>0</v>
      </c>
    </row>
    <row r="53" spans="2:104" ht="18" hidden="1" customHeight="1" x14ac:dyDescent="0.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10"/>
      <c r="AS53" s="10"/>
      <c r="AT53" s="10"/>
      <c r="AU53" s="10"/>
      <c r="AV53" s="10">
        <f t="shared" si="23"/>
        <v>0</v>
      </c>
      <c r="AW53" s="10"/>
      <c r="AX53" s="2">
        <f t="shared" si="24"/>
        <v>0</v>
      </c>
      <c r="AY53" s="2">
        <f>IFERROR((VLOOKUP($BO$1&amp;C9,TeamsProPlayer!D:S,12,0)),0)</f>
        <v>0</v>
      </c>
      <c r="AZ53" s="2">
        <f>IFERROR((VLOOKUP($BO$1&amp;C9,TeamsProPlayer!D:S,13,0)),0)</f>
        <v>0</v>
      </c>
      <c r="BA53" s="2">
        <f>IFERROR((VLOOKUP($BO$1&amp;C9,TeamsProPlayer!D:S,14,0)),0)</f>
        <v>0</v>
      </c>
      <c r="BB53" s="2">
        <f>IFERROR((VLOOKUP($BO$1&amp;C9,TeamsProPlayer!D:S,15,0)),0)</f>
        <v>0</v>
      </c>
      <c r="BC53" s="2">
        <f>IFERROR((VLOOKUP($BO$1&amp;C9,TeamsProPlayer!D:S,16,0)),0)</f>
        <v>0</v>
      </c>
      <c r="BD53" s="2">
        <f t="shared" si="45"/>
        <v>0</v>
      </c>
      <c r="BE53" s="2">
        <f t="shared" si="25"/>
        <v>0</v>
      </c>
      <c r="BF53" s="2">
        <f t="shared" si="26"/>
        <v>0</v>
      </c>
      <c r="BG53" s="2">
        <f t="shared" si="27"/>
        <v>0</v>
      </c>
      <c r="BH53" s="2">
        <f t="shared" si="28"/>
        <v>0</v>
      </c>
      <c r="BI53" s="2">
        <f t="shared" si="29"/>
        <v>0</v>
      </c>
      <c r="BJ53">
        <f t="shared" si="46"/>
        <v>0</v>
      </c>
      <c r="BK53" s="2">
        <f t="shared" si="47"/>
        <v>0</v>
      </c>
      <c r="BL53" s="2">
        <f t="shared" si="48"/>
        <v>0</v>
      </c>
      <c r="BM53" s="2">
        <f t="shared" si="30"/>
        <v>0</v>
      </c>
      <c r="BN53" s="2">
        <f t="shared" si="31"/>
        <v>0</v>
      </c>
      <c r="BO53" s="2"/>
      <c r="BP53" s="2"/>
      <c r="BS53" s="2">
        <f t="shared" si="32"/>
        <v>0</v>
      </c>
      <c r="BT53" s="2">
        <f t="shared" si="49"/>
        <v>0</v>
      </c>
      <c r="BU53" s="2"/>
      <c r="BV53" s="2"/>
      <c r="BW53" s="2"/>
      <c r="BX53" s="2">
        <f t="shared" si="33"/>
        <v>0</v>
      </c>
      <c r="BY53" s="2"/>
      <c r="BZ53" s="2">
        <f t="shared" si="34"/>
        <v>0</v>
      </c>
      <c r="CA53" s="2">
        <f t="shared" si="35"/>
        <v>0</v>
      </c>
      <c r="CB53" s="2">
        <f t="shared" si="36"/>
        <v>0</v>
      </c>
      <c r="CC53" s="2">
        <f t="shared" si="37"/>
        <v>0</v>
      </c>
      <c r="CD53" s="2">
        <f t="shared" si="38"/>
        <v>0</v>
      </c>
      <c r="CE53" s="2">
        <f t="shared" si="39"/>
        <v>0</v>
      </c>
      <c r="CF53" s="2"/>
      <c r="CG53" s="2">
        <f t="shared" si="50"/>
        <v>0</v>
      </c>
      <c r="CH53" s="2">
        <f t="shared" si="50"/>
        <v>0</v>
      </c>
      <c r="CI53" s="2">
        <f t="shared" si="50"/>
        <v>0</v>
      </c>
      <c r="CJ53" s="2">
        <f t="shared" si="50"/>
        <v>0</v>
      </c>
      <c r="CK53" s="2">
        <f t="shared" si="50"/>
        <v>0</v>
      </c>
      <c r="CL53" s="2">
        <f t="shared" si="50"/>
        <v>0</v>
      </c>
      <c r="CM53" s="2"/>
      <c r="CN53" s="2">
        <f t="shared" si="51"/>
        <v>0</v>
      </c>
      <c r="CO53" s="2">
        <f t="shared" si="41"/>
        <v>0</v>
      </c>
      <c r="CP53" s="2">
        <f t="shared" si="41"/>
        <v>0</v>
      </c>
      <c r="CQ53" s="2">
        <f t="shared" si="41"/>
        <v>0</v>
      </c>
      <c r="CR53" s="2">
        <f t="shared" si="41"/>
        <v>0</v>
      </c>
      <c r="CS53" s="2">
        <f t="shared" si="41"/>
        <v>0</v>
      </c>
      <c r="CT53" s="2"/>
      <c r="CU53" s="2">
        <f t="shared" si="42"/>
        <v>0</v>
      </c>
      <c r="CV53" s="2">
        <f t="shared" si="43"/>
        <v>0</v>
      </c>
      <c r="CW53" s="2">
        <f t="shared" si="44"/>
        <v>0</v>
      </c>
      <c r="CX53" s="2">
        <f t="shared" si="52"/>
        <v>0</v>
      </c>
      <c r="CY53" s="2">
        <f t="shared" si="53"/>
        <v>0</v>
      </c>
      <c r="CZ53" s="2">
        <f t="shared" si="54"/>
        <v>0</v>
      </c>
    </row>
    <row r="54" spans="2:104" ht="18" hidden="1" customHeight="1" x14ac:dyDescent="0.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0"/>
      <c r="AS54" s="10"/>
      <c r="AT54" s="10"/>
      <c r="AU54" s="10"/>
      <c r="AV54" s="10">
        <f t="shared" si="23"/>
        <v>0</v>
      </c>
      <c r="AW54" s="10"/>
      <c r="AX54" s="2">
        <f t="shared" si="24"/>
        <v>0</v>
      </c>
      <c r="AY54" s="2">
        <f>IFERROR((VLOOKUP($BO$1&amp;C10,TeamsProPlayer!D:S,12,0)),0)</f>
        <v>0</v>
      </c>
      <c r="AZ54" s="2">
        <f>IFERROR((VLOOKUP($BO$1&amp;C10,TeamsProPlayer!D:S,13,0)),0)</f>
        <v>0</v>
      </c>
      <c r="BA54" s="2">
        <f>IFERROR((VLOOKUP($BO$1&amp;C10,TeamsProPlayer!D:S,14,0)),0)</f>
        <v>0</v>
      </c>
      <c r="BB54" s="2">
        <f>IFERROR((VLOOKUP($BO$1&amp;C10,TeamsProPlayer!D:S,15,0)),0)</f>
        <v>0</v>
      </c>
      <c r="BC54" s="2">
        <f>IFERROR((VLOOKUP($BO$1&amp;C10,TeamsProPlayer!D:S,16,0)),0)</f>
        <v>0</v>
      </c>
      <c r="BD54" s="2">
        <f t="shared" si="45"/>
        <v>0</v>
      </c>
      <c r="BE54" s="2">
        <f t="shared" si="25"/>
        <v>0</v>
      </c>
      <c r="BF54" s="2">
        <f t="shared" si="26"/>
        <v>0</v>
      </c>
      <c r="BG54" s="2">
        <f t="shared" si="27"/>
        <v>0</v>
      </c>
      <c r="BH54" s="2">
        <f t="shared" si="28"/>
        <v>0</v>
      </c>
      <c r="BI54" s="2">
        <f t="shared" si="29"/>
        <v>0</v>
      </c>
      <c r="BJ54">
        <f t="shared" si="46"/>
        <v>0</v>
      </c>
      <c r="BK54" s="2">
        <f t="shared" si="47"/>
        <v>0</v>
      </c>
      <c r="BL54" s="2">
        <f t="shared" si="48"/>
        <v>0</v>
      </c>
      <c r="BM54" s="2">
        <f t="shared" si="30"/>
        <v>0</v>
      </c>
      <c r="BN54" s="2">
        <f t="shared" si="31"/>
        <v>0</v>
      </c>
      <c r="BO54" s="2"/>
      <c r="BP54" s="2"/>
      <c r="BS54" s="2">
        <f t="shared" si="32"/>
        <v>0</v>
      </c>
      <c r="BT54" s="2">
        <f t="shared" si="49"/>
        <v>0</v>
      </c>
      <c r="BU54" s="2"/>
      <c r="BV54" s="2"/>
      <c r="BW54" s="2"/>
      <c r="BX54" s="2">
        <f t="shared" si="33"/>
        <v>0</v>
      </c>
      <c r="BY54" s="2"/>
      <c r="BZ54" s="2">
        <f t="shared" si="34"/>
        <v>0</v>
      </c>
      <c r="CA54" s="2">
        <f t="shared" si="35"/>
        <v>0</v>
      </c>
      <c r="CB54" s="2">
        <f t="shared" si="36"/>
        <v>0</v>
      </c>
      <c r="CC54" s="2">
        <f t="shared" si="37"/>
        <v>0</v>
      </c>
      <c r="CD54" s="2">
        <f t="shared" si="38"/>
        <v>0</v>
      </c>
      <c r="CE54" s="2">
        <f t="shared" si="39"/>
        <v>0</v>
      </c>
      <c r="CF54" s="2"/>
      <c r="CG54" s="2">
        <f t="shared" si="50"/>
        <v>0</v>
      </c>
      <c r="CH54" s="2">
        <f t="shared" si="50"/>
        <v>0</v>
      </c>
      <c r="CI54" s="2">
        <f t="shared" si="50"/>
        <v>0</v>
      </c>
      <c r="CJ54" s="2">
        <f t="shared" si="50"/>
        <v>0</v>
      </c>
      <c r="CK54" s="2">
        <f t="shared" si="50"/>
        <v>0</v>
      </c>
      <c r="CL54" s="2">
        <f t="shared" si="50"/>
        <v>0</v>
      </c>
      <c r="CM54" s="2"/>
      <c r="CN54" s="2">
        <f t="shared" si="51"/>
        <v>0</v>
      </c>
      <c r="CO54" s="2">
        <f t="shared" si="41"/>
        <v>0</v>
      </c>
      <c r="CP54" s="2">
        <f t="shared" si="41"/>
        <v>0</v>
      </c>
      <c r="CQ54" s="2">
        <f t="shared" si="41"/>
        <v>0</v>
      </c>
      <c r="CR54" s="2">
        <f t="shared" si="41"/>
        <v>0</v>
      </c>
      <c r="CS54" s="2">
        <f t="shared" si="41"/>
        <v>0</v>
      </c>
      <c r="CT54" s="2"/>
      <c r="CU54" s="2">
        <f t="shared" si="42"/>
        <v>0</v>
      </c>
      <c r="CV54" s="2">
        <f t="shared" si="43"/>
        <v>0</v>
      </c>
      <c r="CW54" s="2">
        <f t="shared" si="44"/>
        <v>0</v>
      </c>
      <c r="CX54" s="2">
        <f t="shared" si="52"/>
        <v>0</v>
      </c>
      <c r="CY54" s="2">
        <f t="shared" si="53"/>
        <v>0</v>
      </c>
      <c r="CZ54" s="2">
        <f t="shared" si="54"/>
        <v>0</v>
      </c>
    </row>
    <row r="55" spans="2:104" ht="18" hidden="1" customHeight="1" x14ac:dyDescent="0.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10"/>
      <c r="AS55" s="10"/>
      <c r="AT55" s="10"/>
      <c r="AU55" s="10"/>
      <c r="AV55" s="10">
        <f t="shared" si="23"/>
        <v>0</v>
      </c>
      <c r="AW55" s="10"/>
      <c r="AX55" s="2">
        <f t="shared" si="24"/>
        <v>0</v>
      </c>
      <c r="AY55" s="2">
        <f>IFERROR((VLOOKUP($BO$1&amp;C11,TeamsProPlayer!D:S,12,0)),0)</f>
        <v>0</v>
      </c>
      <c r="AZ55" s="2">
        <f>IFERROR((VLOOKUP($BO$1&amp;C11,TeamsProPlayer!D:S,13,0)),0)</f>
        <v>0</v>
      </c>
      <c r="BA55" s="2">
        <f>IFERROR((VLOOKUP($BO$1&amp;C11,TeamsProPlayer!D:S,14,0)),0)</f>
        <v>0</v>
      </c>
      <c r="BB55" s="2">
        <f>IFERROR((VLOOKUP($BO$1&amp;C11,TeamsProPlayer!D:S,15,0)),0)</f>
        <v>0</v>
      </c>
      <c r="BC55" s="2">
        <f>IFERROR((VLOOKUP($BO$1&amp;C11,TeamsProPlayer!D:S,16,0)),0)</f>
        <v>0</v>
      </c>
      <c r="BD55" s="2">
        <f t="shared" si="45"/>
        <v>0</v>
      </c>
      <c r="BE55" s="2">
        <f t="shared" si="25"/>
        <v>0</v>
      </c>
      <c r="BF55" s="2">
        <f t="shared" si="26"/>
        <v>0</v>
      </c>
      <c r="BG55" s="2">
        <f t="shared" si="27"/>
        <v>0</v>
      </c>
      <c r="BH55" s="2">
        <f t="shared" si="28"/>
        <v>0</v>
      </c>
      <c r="BI55" s="2">
        <f t="shared" si="29"/>
        <v>0</v>
      </c>
      <c r="BJ55">
        <f t="shared" si="46"/>
        <v>0</v>
      </c>
      <c r="BK55" s="2">
        <f t="shared" si="47"/>
        <v>0</v>
      </c>
      <c r="BL55" s="2">
        <f t="shared" si="48"/>
        <v>0</v>
      </c>
      <c r="BM55" s="2">
        <f t="shared" si="30"/>
        <v>0</v>
      </c>
      <c r="BN55" s="2">
        <f t="shared" si="31"/>
        <v>0</v>
      </c>
      <c r="BO55" s="2"/>
      <c r="BP55" s="2"/>
      <c r="BS55" s="2">
        <f t="shared" si="32"/>
        <v>0</v>
      </c>
      <c r="BT55" s="2">
        <f t="shared" si="49"/>
        <v>0</v>
      </c>
      <c r="BU55" s="2"/>
      <c r="BV55" s="2"/>
      <c r="BW55" s="2"/>
      <c r="BX55" s="2">
        <f t="shared" si="33"/>
        <v>0</v>
      </c>
      <c r="BY55" s="2"/>
      <c r="BZ55" s="2">
        <f t="shared" si="34"/>
        <v>0</v>
      </c>
      <c r="CA55" s="2">
        <f t="shared" si="35"/>
        <v>0</v>
      </c>
      <c r="CB55" s="2">
        <f t="shared" si="36"/>
        <v>0</v>
      </c>
      <c r="CC55" s="2">
        <f t="shared" si="37"/>
        <v>0</v>
      </c>
      <c r="CD55" s="2">
        <f t="shared" si="38"/>
        <v>0</v>
      </c>
      <c r="CE55" s="2">
        <f t="shared" si="39"/>
        <v>0</v>
      </c>
      <c r="CF55" s="2"/>
      <c r="CG55" s="2">
        <f t="shared" si="50"/>
        <v>0</v>
      </c>
      <c r="CH55" s="2">
        <f t="shared" si="50"/>
        <v>0</v>
      </c>
      <c r="CI55" s="2">
        <f t="shared" si="50"/>
        <v>0</v>
      </c>
      <c r="CJ55" s="2">
        <f t="shared" si="50"/>
        <v>0</v>
      </c>
      <c r="CK55" s="2">
        <f t="shared" si="50"/>
        <v>0</v>
      </c>
      <c r="CL55" s="2">
        <f t="shared" si="50"/>
        <v>0</v>
      </c>
      <c r="CM55" s="2"/>
      <c r="CN55" s="2">
        <f t="shared" si="51"/>
        <v>0</v>
      </c>
      <c r="CO55" s="2">
        <f t="shared" si="41"/>
        <v>0</v>
      </c>
      <c r="CP55" s="2">
        <f t="shared" si="41"/>
        <v>0</v>
      </c>
      <c r="CQ55" s="2">
        <f t="shared" si="41"/>
        <v>0</v>
      </c>
      <c r="CR55" s="2">
        <f t="shared" si="41"/>
        <v>0</v>
      </c>
      <c r="CS55" s="2">
        <f t="shared" si="41"/>
        <v>0</v>
      </c>
      <c r="CT55" s="2"/>
      <c r="CU55" s="2">
        <f t="shared" si="42"/>
        <v>0</v>
      </c>
      <c r="CV55" s="2">
        <f t="shared" si="43"/>
        <v>0</v>
      </c>
      <c r="CW55" s="2">
        <f t="shared" si="44"/>
        <v>0</v>
      </c>
      <c r="CX55" s="2">
        <f t="shared" si="52"/>
        <v>0</v>
      </c>
      <c r="CY55" s="2">
        <f t="shared" si="53"/>
        <v>0</v>
      </c>
      <c r="CZ55" s="2">
        <f t="shared" si="54"/>
        <v>0</v>
      </c>
    </row>
    <row r="56" spans="2:104" ht="18" hidden="1" customHeight="1" x14ac:dyDescent="0.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10"/>
      <c r="AS56" s="10"/>
      <c r="AT56" s="10"/>
      <c r="AU56" s="10"/>
      <c r="AV56" s="10">
        <f t="shared" si="23"/>
        <v>0</v>
      </c>
      <c r="AW56" s="10"/>
      <c r="AX56" s="2">
        <f t="shared" si="24"/>
        <v>0</v>
      </c>
      <c r="AY56" s="2">
        <f>IFERROR((VLOOKUP($BO$1&amp;C12,TeamsProPlayer!D:S,12,0)),0)</f>
        <v>0</v>
      </c>
      <c r="AZ56" s="2">
        <f>IFERROR((VLOOKUP($BO$1&amp;C12,TeamsProPlayer!D:S,13,0)),0)</f>
        <v>0</v>
      </c>
      <c r="BA56" s="2">
        <f>IFERROR((VLOOKUP($BO$1&amp;C12,TeamsProPlayer!D:S,14,0)),0)</f>
        <v>0</v>
      </c>
      <c r="BB56" s="2">
        <f>IFERROR((VLOOKUP($BO$1&amp;C12,TeamsProPlayer!D:S,15,0)),0)</f>
        <v>0</v>
      </c>
      <c r="BC56" s="2">
        <f>IFERROR((VLOOKUP($BO$1&amp;C12,TeamsProPlayer!D:S,16,0)),0)</f>
        <v>0</v>
      </c>
      <c r="BD56" s="2">
        <f t="shared" si="45"/>
        <v>0</v>
      </c>
      <c r="BE56" s="2">
        <f t="shared" si="25"/>
        <v>0</v>
      </c>
      <c r="BF56" s="2">
        <f t="shared" si="26"/>
        <v>0</v>
      </c>
      <c r="BG56" s="2">
        <f t="shared" si="27"/>
        <v>0</v>
      </c>
      <c r="BH56" s="2">
        <f t="shared" si="28"/>
        <v>0</v>
      </c>
      <c r="BI56" s="2">
        <f t="shared" si="29"/>
        <v>0</v>
      </c>
      <c r="BJ56">
        <f t="shared" si="46"/>
        <v>0</v>
      </c>
      <c r="BK56" s="2">
        <f t="shared" si="47"/>
        <v>0</v>
      </c>
      <c r="BL56" s="2">
        <f t="shared" si="48"/>
        <v>0</v>
      </c>
      <c r="BM56" s="2">
        <f t="shared" si="30"/>
        <v>0</v>
      </c>
      <c r="BN56" s="2">
        <f t="shared" si="31"/>
        <v>0</v>
      </c>
      <c r="BO56" s="2"/>
      <c r="BP56" s="2"/>
      <c r="BS56" s="2">
        <f t="shared" si="32"/>
        <v>0</v>
      </c>
      <c r="BT56" s="2">
        <f t="shared" si="49"/>
        <v>0</v>
      </c>
      <c r="BU56" s="2"/>
      <c r="BV56" s="2"/>
      <c r="BW56" s="2"/>
      <c r="BX56" s="2">
        <f t="shared" si="33"/>
        <v>0</v>
      </c>
      <c r="BY56" s="2"/>
      <c r="BZ56" s="2">
        <f t="shared" si="34"/>
        <v>0</v>
      </c>
      <c r="CA56" s="2">
        <f t="shared" si="35"/>
        <v>0</v>
      </c>
      <c r="CB56" s="2">
        <f t="shared" si="36"/>
        <v>0</v>
      </c>
      <c r="CC56" s="2">
        <f t="shared" si="37"/>
        <v>0</v>
      </c>
      <c r="CD56" s="2">
        <f t="shared" si="38"/>
        <v>0</v>
      </c>
      <c r="CE56" s="2">
        <f t="shared" si="39"/>
        <v>0</v>
      </c>
      <c r="CF56" s="2"/>
      <c r="CG56" s="2">
        <f t="shared" si="50"/>
        <v>0</v>
      </c>
      <c r="CH56" s="2">
        <f t="shared" si="50"/>
        <v>0</v>
      </c>
      <c r="CI56" s="2">
        <f t="shared" si="50"/>
        <v>0</v>
      </c>
      <c r="CJ56" s="2">
        <f t="shared" si="50"/>
        <v>0</v>
      </c>
      <c r="CK56" s="2">
        <f t="shared" si="50"/>
        <v>0</v>
      </c>
      <c r="CL56" s="2">
        <f t="shared" si="50"/>
        <v>0</v>
      </c>
      <c r="CM56" s="2"/>
      <c r="CN56" s="2">
        <f t="shared" si="51"/>
        <v>0</v>
      </c>
      <c r="CO56" s="2">
        <f t="shared" si="41"/>
        <v>0</v>
      </c>
      <c r="CP56" s="2">
        <f t="shared" si="41"/>
        <v>0</v>
      </c>
      <c r="CQ56" s="2">
        <f t="shared" si="41"/>
        <v>0</v>
      </c>
      <c r="CR56" s="2">
        <f t="shared" si="41"/>
        <v>0</v>
      </c>
      <c r="CS56" s="2">
        <f t="shared" si="41"/>
        <v>0</v>
      </c>
      <c r="CT56" s="2"/>
      <c r="CU56" s="2">
        <f t="shared" si="42"/>
        <v>0</v>
      </c>
      <c r="CV56" s="2">
        <f t="shared" si="43"/>
        <v>0</v>
      </c>
      <c r="CW56" s="2">
        <f t="shared" si="44"/>
        <v>0</v>
      </c>
      <c r="CX56" s="2">
        <f t="shared" si="52"/>
        <v>0</v>
      </c>
      <c r="CY56" s="2">
        <f t="shared" si="53"/>
        <v>0</v>
      </c>
      <c r="CZ56" s="2">
        <f t="shared" si="54"/>
        <v>0</v>
      </c>
    </row>
    <row r="57" spans="2:104" ht="18" hidden="1" customHeight="1" x14ac:dyDescent="0.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0"/>
      <c r="AS57" s="10"/>
      <c r="AT57" s="10"/>
      <c r="AU57" s="10"/>
      <c r="AV57" s="10">
        <f t="shared" si="23"/>
        <v>0</v>
      </c>
      <c r="AW57" s="10"/>
      <c r="AX57" s="2">
        <f t="shared" si="24"/>
        <v>0</v>
      </c>
      <c r="AY57" s="2">
        <f>IFERROR((VLOOKUP($BO$1&amp;C13,TeamsProPlayer!D:S,12,0)),0)</f>
        <v>0</v>
      </c>
      <c r="AZ57" s="2">
        <f>IFERROR((VLOOKUP($BO$1&amp;C13,TeamsProPlayer!D:S,13,0)),0)</f>
        <v>0</v>
      </c>
      <c r="BA57" s="2">
        <f>IFERROR((VLOOKUP($BO$1&amp;C13,TeamsProPlayer!D:S,14,0)),0)</f>
        <v>0</v>
      </c>
      <c r="BB57" s="2">
        <f>IFERROR((VLOOKUP($BO$1&amp;C13,TeamsProPlayer!D:S,15,0)),0)</f>
        <v>0</v>
      </c>
      <c r="BC57" s="2">
        <f>IFERROR((VLOOKUP($BO$1&amp;C13,TeamsProPlayer!D:S,16,0)),0)</f>
        <v>0</v>
      </c>
      <c r="BD57" s="2">
        <f t="shared" si="45"/>
        <v>0</v>
      </c>
      <c r="BE57" s="2">
        <f t="shared" si="25"/>
        <v>0</v>
      </c>
      <c r="BF57" s="2">
        <f t="shared" si="26"/>
        <v>0</v>
      </c>
      <c r="BG57" s="2">
        <f t="shared" si="27"/>
        <v>0</v>
      </c>
      <c r="BH57" s="2">
        <f t="shared" si="28"/>
        <v>0</v>
      </c>
      <c r="BI57" s="2">
        <f t="shared" si="29"/>
        <v>0</v>
      </c>
      <c r="BJ57">
        <f t="shared" si="46"/>
        <v>0</v>
      </c>
      <c r="BK57" s="2">
        <f t="shared" si="47"/>
        <v>0</v>
      </c>
      <c r="BL57" s="2">
        <f t="shared" si="48"/>
        <v>0</v>
      </c>
      <c r="BM57" s="2">
        <f t="shared" si="30"/>
        <v>0</v>
      </c>
      <c r="BN57" s="2">
        <f t="shared" si="31"/>
        <v>0</v>
      </c>
      <c r="BO57" s="2"/>
      <c r="BP57" s="2"/>
      <c r="BS57" s="2">
        <f t="shared" si="32"/>
        <v>0</v>
      </c>
      <c r="BT57" s="2">
        <f t="shared" si="49"/>
        <v>0</v>
      </c>
      <c r="BU57" s="2"/>
      <c r="BV57" s="2"/>
      <c r="BW57" s="2"/>
      <c r="BX57" s="2">
        <f t="shared" si="33"/>
        <v>0</v>
      </c>
      <c r="BY57" s="2"/>
      <c r="BZ57" s="2">
        <f t="shared" si="34"/>
        <v>0</v>
      </c>
      <c r="CA57" s="2">
        <f t="shared" si="35"/>
        <v>0</v>
      </c>
      <c r="CB57" s="2">
        <f t="shared" si="36"/>
        <v>0</v>
      </c>
      <c r="CC57" s="2">
        <f t="shared" si="37"/>
        <v>0</v>
      </c>
      <c r="CD57" s="2">
        <f t="shared" si="38"/>
        <v>0</v>
      </c>
      <c r="CE57" s="2">
        <f t="shared" si="39"/>
        <v>0</v>
      </c>
      <c r="CF57" s="2"/>
      <c r="CG57" s="2">
        <f t="shared" si="50"/>
        <v>0</v>
      </c>
      <c r="CH57" s="2">
        <f t="shared" si="50"/>
        <v>0</v>
      </c>
      <c r="CI57" s="2">
        <f t="shared" si="50"/>
        <v>0</v>
      </c>
      <c r="CJ57" s="2">
        <f t="shared" si="50"/>
        <v>0</v>
      </c>
      <c r="CK57" s="2">
        <f t="shared" si="50"/>
        <v>0</v>
      </c>
      <c r="CL57" s="2">
        <f t="shared" si="50"/>
        <v>0</v>
      </c>
      <c r="CM57" s="2"/>
      <c r="CN57" s="2">
        <f t="shared" si="51"/>
        <v>0</v>
      </c>
      <c r="CO57" s="2">
        <f t="shared" si="41"/>
        <v>0</v>
      </c>
      <c r="CP57" s="2">
        <f t="shared" si="41"/>
        <v>0</v>
      </c>
      <c r="CQ57" s="2">
        <f t="shared" si="41"/>
        <v>0</v>
      </c>
      <c r="CR57" s="2">
        <f t="shared" si="41"/>
        <v>0</v>
      </c>
      <c r="CS57" s="2">
        <f t="shared" si="41"/>
        <v>0</v>
      </c>
      <c r="CT57" s="2"/>
      <c r="CU57" s="2">
        <f t="shared" si="42"/>
        <v>0</v>
      </c>
      <c r="CV57" s="2">
        <f t="shared" si="43"/>
        <v>0</v>
      </c>
      <c r="CW57" s="2">
        <f t="shared" si="44"/>
        <v>0</v>
      </c>
      <c r="CX57" s="2">
        <f t="shared" si="52"/>
        <v>0</v>
      </c>
      <c r="CY57" s="2">
        <f t="shared" si="53"/>
        <v>0</v>
      </c>
      <c r="CZ57" s="2">
        <f t="shared" si="54"/>
        <v>0</v>
      </c>
    </row>
    <row r="58" spans="2:104" ht="18" hidden="1" customHeight="1" x14ac:dyDescent="0.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10"/>
      <c r="AS58" s="10"/>
      <c r="AT58" s="10"/>
      <c r="AU58" s="10"/>
      <c r="AV58" s="10">
        <f t="shared" si="23"/>
        <v>0</v>
      </c>
      <c r="AW58" s="10"/>
      <c r="AX58" s="2">
        <f t="shared" si="24"/>
        <v>0</v>
      </c>
      <c r="AY58" s="2">
        <f>IFERROR((VLOOKUP($BO$1&amp;C14,TeamsProPlayer!D:S,12,0)),0)</f>
        <v>0</v>
      </c>
      <c r="AZ58" s="2">
        <f>IFERROR((VLOOKUP($BO$1&amp;C14,TeamsProPlayer!D:S,13,0)),0)</f>
        <v>0</v>
      </c>
      <c r="BA58" s="2">
        <f>IFERROR((VLOOKUP($BO$1&amp;C14,TeamsProPlayer!D:S,14,0)),0)</f>
        <v>0</v>
      </c>
      <c r="BB58" s="2">
        <f>IFERROR((VLOOKUP($BO$1&amp;C14,TeamsProPlayer!D:S,15,0)),0)</f>
        <v>0</v>
      </c>
      <c r="BC58" s="2">
        <f>IFERROR((VLOOKUP($BO$1&amp;C14,TeamsProPlayer!D:S,16,0)),0)</f>
        <v>0</v>
      </c>
      <c r="BD58" s="2">
        <f t="shared" si="45"/>
        <v>0</v>
      </c>
      <c r="BE58" s="2">
        <f t="shared" si="25"/>
        <v>0</v>
      </c>
      <c r="BF58" s="2">
        <f t="shared" si="26"/>
        <v>0</v>
      </c>
      <c r="BG58" s="2">
        <f t="shared" si="27"/>
        <v>0</v>
      </c>
      <c r="BH58" s="2">
        <f t="shared" si="28"/>
        <v>0</v>
      </c>
      <c r="BI58" s="2">
        <f t="shared" si="29"/>
        <v>0</v>
      </c>
      <c r="BJ58">
        <f t="shared" si="46"/>
        <v>0</v>
      </c>
      <c r="BK58" s="2">
        <f t="shared" si="47"/>
        <v>0</v>
      </c>
      <c r="BL58" s="2">
        <f t="shared" si="48"/>
        <v>0</v>
      </c>
      <c r="BM58" s="2">
        <f t="shared" si="30"/>
        <v>0</v>
      </c>
      <c r="BN58" s="2">
        <f t="shared" si="31"/>
        <v>0</v>
      </c>
      <c r="BO58" s="2"/>
      <c r="BP58" s="2"/>
      <c r="BS58" s="2">
        <f t="shared" si="32"/>
        <v>0</v>
      </c>
      <c r="BT58" s="2">
        <f t="shared" si="49"/>
        <v>0</v>
      </c>
      <c r="BU58" s="2"/>
      <c r="BV58" s="2"/>
      <c r="BW58" s="2"/>
      <c r="BX58" s="2">
        <f t="shared" si="33"/>
        <v>0</v>
      </c>
      <c r="BY58" s="2"/>
      <c r="BZ58" s="2">
        <f t="shared" si="34"/>
        <v>0</v>
      </c>
      <c r="CA58" s="2">
        <f t="shared" si="35"/>
        <v>0</v>
      </c>
      <c r="CB58" s="2">
        <f t="shared" si="36"/>
        <v>0</v>
      </c>
      <c r="CC58" s="2">
        <f t="shared" si="37"/>
        <v>0</v>
      </c>
      <c r="CD58" s="2">
        <f t="shared" si="38"/>
        <v>0</v>
      </c>
      <c r="CE58" s="2">
        <f t="shared" si="39"/>
        <v>0</v>
      </c>
      <c r="CF58" s="2"/>
      <c r="CG58" s="2">
        <f t="shared" si="50"/>
        <v>0</v>
      </c>
      <c r="CH58" s="2">
        <f t="shared" si="50"/>
        <v>0</v>
      </c>
      <c r="CI58" s="2">
        <f t="shared" si="50"/>
        <v>0</v>
      </c>
      <c r="CJ58" s="2">
        <f t="shared" si="50"/>
        <v>0</v>
      </c>
      <c r="CK58" s="2">
        <f t="shared" si="50"/>
        <v>0</v>
      </c>
      <c r="CL58" s="2">
        <f t="shared" si="50"/>
        <v>0</v>
      </c>
      <c r="CM58" s="2"/>
      <c r="CN58" s="2">
        <f t="shared" si="51"/>
        <v>0</v>
      </c>
      <c r="CO58" s="2">
        <f t="shared" si="41"/>
        <v>0</v>
      </c>
      <c r="CP58" s="2">
        <f t="shared" si="41"/>
        <v>0</v>
      </c>
      <c r="CQ58" s="2">
        <f t="shared" si="41"/>
        <v>0</v>
      </c>
      <c r="CR58" s="2">
        <f t="shared" si="41"/>
        <v>0</v>
      </c>
      <c r="CS58" s="2">
        <f t="shared" si="41"/>
        <v>0</v>
      </c>
      <c r="CT58" s="2"/>
      <c r="CU58" s="2">
        <f t="shared" si="42"/>
        <v>0</v>
      </c>
      <c r="CV58" s="2">
        <f t="shared" si="43"/>
        <v>0</v>
      </c>
      <c r="CW58" s="2">
        <f t="shared" si="44"/>
        <v>0</v>
      </c>
      <c r="CX58" s="2">
        <f t="shared" si="52"/>
        <v>0</v>
      </c>
      <c r="CY58" s="2">
        <f t="shared" si="53"/>
        <v>0</v>
      </c>
      <c r="CZ58" s="2">
        <f t="shared" si="54"/>
        <v>0</v>
      </c>
    </row>
    <row r="59" spans="2:104" ht="15" hidden="1" customHeight="1" x14ac:dyDescent="0.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10"/>
      <c r="AS59" s="10"/>
      <c r="AT59" s="10"/>
      <c r="AU59" s="10"/>
      <c r="AV59" s="10">
        <f t="shared" si="23"/>
        <v>0</v>
      </c>
      <c r="AW59" s="10"/>
      <c r="AX59" s="2">
        <f t="shared" si="24"/>
        <v>0</v>
      </c>
      <c r="AY59" s="2">
        <f>IFERROR((VLOOKUP($BO$1&amp;C15,TeamsProPlayer!D:S,12,0)),0)</f>
        <v>0</v>
      </c>
      <c r="AZ59" s="2">
        <f>IFERROR((VLOOKUP($BO$1&amp;C15,TeamsProPlayer!D:S,13,0)),0)</f>
        <v>0</v>
      </c>
      <c r="BA59" s="2">
        <f>IFERROR((VLOOKUP($BO$1&amp;C15,TeamsProPlayer!D:S,14,0)),0)</f>
        <v>0</v>
      </c>
      <c r="BB59" s="2">
        <f>IFERROR((VLOOKUP($BO$1&amp;C15,TeamsProPlayer!D:S,15,0)),0)</f>
        <v>0</v>
      </c>
      <c r="BC59" s="2">
        <f>IFERROR((VLOOKUP($BO$1&amp;C15,TeamsProPlayer!D:S,16,0)),0)</f>
        <v>0</v>
      </c>
      <c r="BD59" s="2">
        <f t="shared" si="45"/>
        <v>0</v>
      </c>
      <c r="BE59" s="2">
        <f t="shared" si="25"/>
        <v>0</v>
      </c>
      <c r="BF59" s="2">
        <f t="shared" si="26"/>
        <v>0</v>
      </c>
      <c r="BG59" s="2">
        <f t="shared" si="27"/>
        <v>0</v>
      </c>
      <c r="BH59" s="2">
        <f t="shared" si="28"/>
        <v>0</v>
      </c>
      <c r="BI59" s="2">
        <f t="shared" si="29"/>
        <v>0</v>
      </c>
      <c r="BJ59">
        <f t="shared" si="46"/>
        <v>0</v>
      </c>
      <c r="BK59" s="2">
        <f t="shared" si="47"/>
        <v>0</v>
      </c>
      <c r="BL59" s="2">
        <f t="shared" si="48"/>
        <v>0</v>
      </c>
      <c r="BM59" s="2">
        <f t="shared" si="30"/>
        <v>0</v>
      </c>
      <c r="BN59" s="2">
        <f t="shared" si="31"/>
        <v>0</v>
      </c>
      <c r="BO59" s="2"/>
      <c r="BP59" s="2"/>
      <c r="BS59" s="2">
        <f t="shared" si="32"/>
        <v>0</v>
      </c>
      <c r="BT59" s="2">
        <f t="shared" si="49"/>
        <v>0</v>
      </c>
      <c r="BU59" s="2"/>
      <c r="BV59" s="2"/>
      <c r="BW59" s="2"/>
      <c r="BX59" s="2">
        <f t="shared" si="33"/>
        <v>0</v>
      </c>
      <c r="BY59" s="2"/>
      <c r="BZ59" s="2">
        <f t="shared" si="34"/>
        <v>0</v>
      </c>
      <c r="CA59" s="2">
        <f t="shared" si="35"/>
        <v>0</v>
      </c>
      <c r="CB59" s="2">
        <f t="shared" si="36"/>
        <v>0</v>
      </c>
      <c r="CC59" s="2">
        <f t="shared" si="37"/>
        <v>0</v>
      </c>
      <c r="CD59" s="2">
        <f t="shared" si="38"/>
        <v>0</v>
      </c>
      <c r="CE59" s="2">
        <f t="shared" si="39"/>
        <v>0</v>
      </c>
      <c r="CF59" s="2"/>
      <c r="CG59" s="2">
        <f t="shared" si="50"/>
        <v>0</v>
      </c>
      <c r="CH59" s="2">
        <f t="shared" si="50"/>
        <v>0</v>
      </c>
      <c r="CI59" s="2">
        <f t="shared" si="50"/>
        <v>0</v>
      </c>
      <c r="CJ59" s="2">
        <f t="shared" si="50"/>
        <v>0</v>
      </c>
      <c r="CK59" s="2">
        <f t="shared" si="50"/>
        <v>0</v>
      </c>
      <c r="CL59" s="2">
        <f t="shared" si="50"/>
        <v>0</v>
      </c>
      <c r="CM59" s="2"/>
      <c r="CN59" s="2">
        <f t="shared" si="51"/>
        <v>0</v>
      </c>
      <c r="CO59" s="2">
        <f t="shared" si="41"/>
        <v>0</v>
      </c>
      <c r="CP59" s="2">
        <f t="shared" si="41"/>
        <v>0</v>
      </c>
      <c r="CQ59" s="2">
        <f t="shared" si="41"/>
        <v>0</v>
      </c>
      <c r="CR59" s="2">
        <f t="shared" si="41"/>
        <v>0</v>
      </c>
      <c r="CS59" s="2">
        <f t="shared" si="41"/>
        <v>0</v>
      </c>
      <c r="CT59" s="2"/>
      <c r="CU59" s="2">
        <f t="shared" si="42"/>
        <v>0</v>
      </c>
      <c r="CV59" s="2">
        <f t="shared" si="43"/>
        <v>0</v>
      </c>
      <c r="CW59" s="2">
        <f t="shared" si="44"/>
        <v>0</v>
      </c>
      <c r="CX59" s="2">
        <f t="shared" si="52"/>
        <v>0</v>
      </c>
      <c r="CY59" s="2">
        <f t="shared" si="53"/>
        <v>0</v>
      </c>
      <c r="CZ59" s="2">
        <f t="shared" si="54"/>
        <v>0</v>
      </c>
    </row>
    <row r="60" spans="2:104" ht="22.5" hidden="1" customHeight="1" x14ac:dyDescent="0.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10"/>
      <c r="AS60" s="10"/>
      <c r="AT60" s="10"/>
      <c r="AU60" s="10"/>
      <c r="AV60" s="10">
        <f t="shared" si="23"/>
        <v>0</v>
      </c>
      <c r="AW60" s="10"/>
      <c r="AX60" s="2">
        <f t="shared" si="24"/>
        <v>0</v>
      </c>
      <c r="AY60" s="2">
        <f>IFERROR((VLOOKUP($BO$1&amp;C16,TeamsProPlayer!D:S,12,0)),0)</f>
        <v>0</v>
      </c>
      <c r="AZ60" s="2">
        <f>IFERROR((VLOOKUP($BO$1&amp;C16,TeamsProPlayer!D:S,13,0)),0)</f>
        <v>0</v>
      </c>
      <c r="BA60" s="2">
        <f>IFERROR((VLOOKUP($BO$1&amp;C16,TeamsProPlayer!D:S,14,0)),0)</f>
        <v>0</v>
      </c>
      <c r="BB60" s="2">
        <f>IFERROR((VLOOKUP($BO$1&amp;C16,TeamsProPlayer!D:S,15,0)),0)</f>
        <v>0</v>
      </c>
      <c r="BC60" s="2">
        <f>IFERROR((VLOOKUP($BO$1&amp;C16,TeamsProPlayer!D:S,16,0)),0)</f>
        <v>0</v>
      </c>
      <c r="BD60" s="2">
        <f t="shared" si="45"/>
        <v>0</v>
      </c>
      <c r="BE60" s="2">
        <f t="shared" si="25"/>
        <v>0</v>
      </c>
      <c r="BF60" s="2">
        <f t="shared" si="26"/>
        <v>0</v>
      </c>
      <c r="BG60" s="2">
        <f t="shared" si="27"/>
        <v>0</v>
      </c>
      <c r="BH60" s="2">
        <f t="shared" si="28"/>
        <v>0</v>
      </c>
      <c r="BI60" s="2">
        <f t="shared" si="29"/>
        <v>0</v>
      </c>
      <c r="BJ60">
        <f t="shared" si="46"/>
        <v>0</v>
      </c>
      <c r="BK60" s="2">
        <f t="shared" si="47"/>
        <v>0</v>
      </c>
      <c r="BL60" s="2">
        <f t="shared" si="48"/>
        <v>0</v>
      </c>
      <c r="BM60" s="2">
        <f t="shared" si="30"/>
        <v>0</v>
      </c>
      <c r="BN60" s="2">
        <f t="shared" si="31"/>
        <v>0</v>
      </c>
      <c r="BO60" s="2"/>
      <c r="BP60" s="2"/>
      <c r="BS60" s="2">
        <f t="shared" si="32"/>
        <v>0</v>
      </c>
      <c r="BT60" s="2">
        <f t="shared" si="49"/>
        <v>0</v>
      </c>
      <c r="BU60" s="2"/>
      <c r="BV60" s="2"/>
      <c r="BW60" s="2"/>
      <c r="BX60" s="2">
        <f t="shared" si="33"/>
        <v>0</v>
      </c>
      <c r="BY60" s="2"/>
      <c r="BZ60" s="2">
        <f t="shared" si="34"/>
        <v>0</v>
      </c>
      <c r="CA60" s="2">
        <f t="shared" si="35"/>
        <v>0</v>
      </c>
      <c r="CB60" s="2">
        <f t="shared" si="36"/>
        <v>0</v>
      </c>
      <c r="CC60" s="2">
        <f t="shared" si="37"/>
        <v>0</v>
      </c>
      <c r="CD60" s="2">
        <f t="shared" si="38"/>
        <v>0</v>
      </c>
      <c r="CE60" s="2">
        <f t="shared" si="39"/>
        <v>0</v>
      </c>
      <c r="CF60" s="2"/>
      <c r="CG60" s="2">
        <f t="shared" si="50"/>
        <v>0</v>
      </c>
      <c r="CH60" s="2">
        <f t="shared" si="50"/>
        <v>0</v>
      </c>
      <c r="CI60" s="2">
        <f t="shared" si="50"/>
        <v>0</v>
      </c>
      <c r="CJ60" s="2">
        <f t="shared" si="50"/>
        <v>0</v>
      </c>
      <c r="CK60" s="2">
        <f t="shared" si="50"/>
        <v>0</v>
      </c>
      <c r="CL60" s="2">
        <f t="shared" si="50"/>
        <v>0</v>
      </c>
      <c r="CM60" s="2"/>
      <c r="CN60" s="2">
        <f t="shared" si="51"/>
        <v>0</v>
      </c>
      <c r="CO60" s="2">
        <f t="shared" si="41"/>
        <v>0</v>
      </c>
      <c r="CP60" s="2">
        <f t="shared" si="41"/>
        <v>0</v>
      </c>
      <c r="CQ60" s="2">
        <f t="shared" si="41"/>
        <v>0</v>
      </c>
      <c r="CR60" s="2">
        <f t="shared" si="41"/>
        <v>0</v>
      </c>
      <c r="CS60" s="2">
        <f t="shared" si="41"/>
        <v>0</v>
      </c>
      <c r="CT60" s="2"/>
      <c r="CU60" s="2">
        <f t="shared" si="42"/>
        <v>0</v>
      </c>
      <c r="CV60" s="2">
        <f t="shared" si="43"/>
        <v>0</v>
      </c>
      <c r="CW60" s="2">
        <f t="shared" si="44"/>
        <v>0</v>
      </c>
      <c r="CX60" s="2">
        <f t="shared" si="52"/>
        <v>0</v>
      </c>
      <c r="CY60" s="2">
        <f t="shared" si="53"/>
        <v>0</v>
      </c>
      <c r="CZ60" s="2">
        <f t="shared" si="54"/>
        <v>0</v>
      </c>
    </row>
    <row r="61" spans="2:104" ht="22.5" hidden="1" customHeigh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10"/>
      <c r="AS61" s="10"/>
      <c r="AT61" s="10"/>
      <c r="AU61" s="10"/>
      <c r="AV61" s="10">
        <f t="shared" si="23"/>
        <v>0</v>
      </c>
      <c r="AW61" s="10"/>
      <c r="AX61" s="2">
        <f t="shared" si="24"/>
        <v>0</v>
      </c>
      <c r="AY61" s="2">
        <f>IFERROR((VLOOKUP($BO$1&amp;C17,TeamsProPlayer!D:S,12,0)),0)</f>
        <v>0</v>
      </c>
      <c r="AZ61" s="2">
        <f>IFERROR((VLOOKUP($BO$1&amp;C17,TeamsProPlayer!D:S,13,0)),0)</f>
        <v>0</v>
      </c>
      <c r="BA61" s="2">
        <f>IFERROR((VLOOKUP($BO$1&amp;C17,TeamsProPlayer!D:S,14,0)),0)</f>
        <v>0</v>
      </c>
      <c r="BB61" s="2">
        <f>IFERROR((VLOOKUP($BO$1&amp;C17,TeamsProPlayer!D:S,15,0)),0)</f>
        <v>0</v>
      </c>
      <c r="BC61" s="2">
        <f>IFERROR((VLOOKUP($BO$1&amp;C17,TeamsProPlayer!D:S,16,0)),0)</f>
        <v>0</v>
      </c>
      <c r="BD61" s="2">
        <f t="shared" si="45"/>
        <v>0</v>
      </c>
      <c r="BE61" s="2">
        <f t="shared" si="25"/>
        <v>0</v>
      </c>
      <c r="BF61" s="2">
        <f t="shared" si="26"/>
        <v>0</v>
      </c>
      <c r="BG61" s="2">
        <f t="shared" si="27"/>
        <v>0</v>
      </c>
      <c r="BH61" s="2">
        <f t="shared" si="28"/>
        <v>0</v>
      </c>
      <c r="BI61" s="2">
        <f>SUM(CG61:CS61)</f>
        <v>0</v>
      </c>
      <c r="BJ61">
        <f t="shared" si="46"/>
        <v>0</v>
      </c>
      <c r="BK61" s="2">
        <f t="shared" si="47"/>
        <v>0</v>
      </c>
      <c r="BL61" s="2">
        <f t="shared" si="48"/>
        <v>0</v>
      </c>
      <c r="BM61" s="2">
        <f t="shared" si="30"/>
        <v>0</v>
      </c>
      <c r="BN61" s="2">
        <f t="shared" si="31"/>
        <v>0</v>
      </c>
      <c r="BO61" s="2"/>
      <c r="BP61" s="2"/>
      <c r="BS61" s="2">
        <f t="shared" si="32"/>
        <v>0</v>
      </c>
      <c r="BT61" s="2">
        <f t="shared" si="49"/>
        <v>0</v>
      </c>
      <c r="BU61" s="2"/>
      <c r="BV61" s="2"/>
      <c r="BW61" s="2"/>
      <c r="BX61" s="2">
        <f>(IF(BP61="G",AY61,IF(BP61="A",AZ61,IF(BP61="S",BA61,IF(BP61="P",BB61,IF(BP61="M",BC61,IF(BP61="X",0,IF(OR(BP61="MA",BP61="AV",BP61="ST",BP61="PA",BP61="AG"),"STAT",0))))))))</f>
        <v>0</v>
      </c>
      <c r="BY61" s="2"/>
      <c r="BZ61" s="2">
        <f t="shared" si="34"/>
        <v>0</v>
      </c>
      <c r="CA61" s="2">
        <f t="shared" si="35"/>
        <v>0</v>
      </c>
      <c r="CB61" s="2">
        <f t="shared" si="36"/>
        <v>0</v>
      </c>
      <c r="CC61" s="2">
        <f t="shared" si="37"/>
        <v>0</v>
      </c>
      <c r="CD61" s="2">
        <f t="shared" si="38"/>
        <v>0</v>
      </c>
      <c r="CE61" s="2">
        <f t="shared" si="39"/>
        <v>0</v>
      </c>
      <c r="CF61" s="2"/>
      <c r="CG61" s="2">
        <f>IF(BS61="P",$C$38,(IF(BS61="S",$K$38,0)))</f>
        <v>0</v>
      </c>
      <c r="CH61" s="2">
        <f t="shared" si="50"/>
        <v>0</v>
      </c>
      <c r="CI61" s="2">
        <f t="shared" si="50"/>
        <v>0</v>
      </c>
      <c r="CJ61" s="2">
        <f t="shared" si="50"/>
        <v>0</v>
      </c>
      <c r="CK61" s="2">
        <f t="shared" si="50"/>
        <v>0</v>
      </c>
      <c r="CL61" s="2">
        <f>IF(BX61="P",$C$38,(IF(BX61="S",$K$38,0)))</f>
        <v>0</v>
      </c>
      <c r="CM61" s="2"/>
      <c r="CN61" s="2">
        <f t="shared" si="51"/>
        <v>0</v>
      </c>
      <c r="CO61" s="2">
        <f t="shared" si="41"/>
        <v>0</v>
      </c>
      <c r="CP61" s="2">
        <f t="shared" si="41"/>
        <v>0</v>
      </c>
      <c r="CQ61" s="2">
        <f t="shared" si="41"/>
        <v>0</v>
      </c>
      <c r="CR61" s="2">
        <f t="shared" si="41"/>
        <v>0</v>
      </c>
      <c r="CS61" s="2">
        <f t="shared" si="41"/>
        <v>0</v>
      </c>
      <c r="CT61" s="2"/>
      <c r="CU61" s="2">
        <f t="shared" si="42"/>
        <v>0</v>
      </c>
      <c r="CV61" s="2">
        <f t="shared" si="43"/>
        <v>0</v>
      </c>
      <c r="CW61" s="2">
        <f t="shared" si="44"/>
        <v>0</v>
      </c>
      <c r="CX61" s="2">
        <f t="shared" si="52"/>
        <v>0</v>
      </c>
      <c r="CY61" s="2">
        <f t="shared" si="53"/>
        <v>0</v>
      </c>
      <c r="CZ61" s="2">
        <f t="shared" si="54"/>
        <v>0</v>
      </c>
    </row>
    <row r="62" spans="2:104" ht="22.5" hidden="1" customHeight="1" x14ac:dyDescent="0.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10"/>
      <c r="AS62" s="10"/>
      <c r="AT62" s="10"/>
      <c r="AU62" s="10"/>
      <c r="AV62" s="10">
        <f>SUM(AV46:AV61)</f>
        <v>0</v>
      </c>
      <c r="AW62" s="10"/>
      <c r="AX62" s="2"/>
      <c r="AY62" s="2"/>
      <c r="AZ62" s="2"/>
      <c r="BA62" s="2"/>
      <c r="BB62" s="2"/>
      <c r="BC62" s="2"/>
      <c r="BD62" s="2"/>
      <c r="BE62" s="2"/>
      <c r="BI62" s="67"/>
      <c r="BJ62" s="67">
        <f>SUM(BJ46:BJ61)</f>
        <v>0</v>
      </c>
      <c r="BK62" s="2"/>
      <c r="BM62" s="2"/>
      <c r="BN62" s="2"/>
      <c r="BO62" s="2"/>
      <c r="BS62" s="11"/>
      <c r="BT62" s="2"/>
      <c r="BU62" s="3"/>
      <c r="BV62" s="3"/>
      <c r="BW62" s="2"/>
      <c r="BX62" s="2"/>
      <c r="BY62" s="2"/>
      <c r="BZ62" s="2"/>
      <c r="CA62" s="2"/>
      <c r="CB62" s="2"/>
      <c r="CC62" s="2"/>
      <c r="CD62" s="2"/>
      <c r="CE62" s="2"/>
      <c r="CF62" s="2"/>
      <c r="CG62" s="2" t="str">
        <f>VLOOKUP(CG63,TeamsProPlayer!$D:$T,17,FALSE)</f>
        <v/>
      </c>
      <c r="CH62" s="2" t="str">
        <f>VLOOKUP(CH63,TeamsProPlayer!$D:$T,17,FALSE)</f>
        <v/>
      </c>
      <c r="CI62" s="9" t="str">
        <f>VLOOKUP(CI63,TeamsProPlayer!$D:$T,17,FALSE)</f>
        <v/>
      </c>
      <c r="CJ62" s="9" t="str">
        <f>VLOOKUP(CJ63,TeamsProPlayer!$D:$T,17,FALSE)</f>
        <v/>
      </c>
      <c r="CK62" s="9" t="str">
        <f>VLOOKUP(CK63,TeamsProPlayer!$D:$T,17,FALSE)</f>
        <v/>
      </c>
      <c r="CL62" s="9" t="str">
        <f>VLOOKUP(CL63,TeamsProPlayer!$D:$T,17,FALSE)</f>
        <v/>
      </c>
      <c r="CM62" s="9" t="str">
        <f>VLOOKUP(CM63,TeamsProPlayer!$D:$T,17,FALSE)</f>
        <v/>
      </c>
      <c r="CN62" s="9" t="str">
        <f>VLOOKUP(CN63,TeamsProPlayer!$D:$T,17,FALSE)</f>
        <v/>
      </c>
      <c r="CO62" s="9" t="str">
        <f>VLOOKUP(CO63,TeamsProPlayer!$D:$T,17,FALSE)</f>
        <v/>
      </c>
      <c r="CP62" s="9" t="str">
        <f>VLOOKUP(CP63,TeamsProPlayer!$D:$T,17,FALSE)</f>
        <v/>
      </c>
      <c r="CQ62" s="9" t="str">
        <f>VLOOKUP(CQ63,TeamsProPlayer!$D:$T,17,FALSE)</f>
        <v/>
      </c>
      <c r="CR62" s="9" t="str">
        <f>VLOOKUP(CR63,TeamsProPlayer!$D:$T,17,FALSE)</f>
        <v/>
      </c>
      <c r="CS62" s="9" t="str">
        <f>VLOOKUP(CS63,TeamsProPlayer!$D:$T,17,FALSE)</f>
        <v/>
      </c>
      <c r="CT62" s="9" t="str">
        <f>VLOOKUP(CT63,TeamsProPlayer!$D:$T,17,FALSE)</f>
        <v/>
      </c>
      <c r="CU62" s="9" t="str">
        <f>VLOOKUP(CU63,TeamsProPlayer!$D:$T,17,FALSE)</f>
        <v/>
      </c>
      <c r="CV62" s="9" t="str">
        <f>VLOOKUP(CV63,TeamsProPlayer!$D:$T,17,FALSE)</f>
        <v/>
      </c>
      <c r="CW62" s="4"/>
      <c r="CX62" s="2"/>
      <c r="CY62" s="2"/>
      <c r="CZ62" s="2"/>
    </row>
    <row r="63" spans="2:104" ht="15" hidden="1" customHeight="1" x14ac:dyDescent="0.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1"/>
      <c r="AS63" s="1"/>
      <c r="AT63" s="1"/>
      <c r="AU63" s="1"/>
      <c r="AV63" s="1"/>
      <c r="AW63" s="1"/>
      <c r="AX63" s="2"/>
      <c r="AY63" s="2"/>
      <c r="AZ63" s="2"/>
      <c r="BA63" s="2"/>
      <c r="BB63" s="2"/>
      <c r="BC63" s="2"/>
      <c r="BD63" s="2"/>
      <c r="BE63" s="2"/>
      <c r="BK63" s="2"/>
      <c r="BM63" s="2"/>
      <c r="BN63" s="2"/>
      <c r="BO63" s="2"/>
      <c r="BS63" s="11"/>
      <c r="BT63" s="2"/>
      <c r="BU63" s="3"/>
      <c r="BV63" s="3"/>
      <c r="BW63" s="2"/>
      <c r="BX63" s="2"/>
      <c r="BY63" s="2"/>
      <c r="BZ63" s="2"/>
      <c r="CA63" s="2"/>
      <c r="CB63" s="2"/>
      <c r="CC63" s="2"/>
      <c r="CD63" s="2"/>
      <c r="CE63" s="2"/>
      <c r="CF63" s="2"/>
      <c r="CG63" s="69" t="str">
        <f>$BO$1&amp;$C2</f>
        <v>Black Orc</v>
      </c>
      <c r="CH63" s="69" t="str">
        <f>$BO$1&amp;$C3</f>
        <v>Black Orc</v>
      </c>
      <c r="CI63" s="69" t="str">
        <f>$BO$1&amp;$C4</f>
        <v>Black Orc</v>
      </c>
      <c r="CJ63" s="69" t="str">
        <f>$BO$1&amp;$C5</f>
        <v>Black Orc</v>
      </c>
      <c r="CK63" s="69" t="str">
        <f>$BO$1&amp;$C6</f>
        <v>Black Orc</v>
      </c>
      <c r="CL63" s="69" t="str">
        <f>$BO$1&amp;$C7</f>
        <v>Black Orc</v>
      </c>
      <c r="CM63" s="69" t="str">
        <f>$BO$1&amp;$C8</f>
        <v>Black Orc</v>
      </c>
      <c r="CN63" s="69" t="str">
        <f>$BO$1&amp;$C9</f>
        <v>Black Orc</v>
      </c>
      <c r="CO63" s="69" t="str">
        <f>$BO$1&amp;$C10</f>
        <v>Black Orc</v>
      </c>
      <c r="CP63" s="69" t="str">
        <f>$BO$1&amp;$C11</f>
        <v>Black Orc</v>
      </c>
      <c r="CQ63" s="69" t="str">
        <f>$BO$1&amp;$C12</f>
        <v>Black Orc</v>
      </c>
      <c r="CR63" s="69" t="str">
        <f>$BO$1&amp;$C13</f>
        <v>Black Orc</v>
      </c>
      <c r="CS63" s="69" t="str">
        <f>$BO$1&amp;$C14</f>
        <v>Black Orc</v>
      </c>
      <c r="CT63" s="69" t="str">
        <f>$BO$1&amp;$C15</f>
        <v>Black Orc</v>
      </c>
      <c r="CU63" s="69" t="str">
        <f>$BO$1&amp;$C16</f>
        <v>Black Orc</v>
      </c>
      <c r="CV63" s="69" t="str">
        <f>$BO$1&amp;$C17</f>
        <v>Black Orc</v>
      </c>
      <c r="CW63" s="70"/>
      <c r="CX63" s="2"/>
      <c r="CY63" s="2"/>
      <c r="CZ63" s="2"/>
    </row>
    <row r="64" spans="2:104" ht="15" hidden="1" customHeight="1" x14ac:dyDescent="0.2">
      <c r="B64" s="126" t="s">
        <v>184</v>
      </c>
      <c r="C64" s="123"/>
      <c r="D64" s="123"/>
      <c r="E64" s="123"/>
      <c r="F64" s="123"/>
      <c r="G64" s="2"/>
      <c r="H64" s="2"/>
      <c r="I64" s="2"/>
      <c r="J64" s="2"/>
      <c r="K64" s="126" t="s">
        <v>185</v>
      </c>
      <c r="L64" s="123"/>
      <c r="M64" s="123"/>
      <c r="N64" s="123"/>
      <c r="O64" s="123"/>
      <c r="P64" s="2"/>
      <c r="Q64" s="126" t="s">
        <v>186</v>
      </c>
      <c r="R64" s="123"/>
      <c r="S64" s="123"/>
      <c r="T64" s="123"/>
      <c r="U64" s="123"/>
      <c r="V64" s="2"/>
      <c r="W64" s="126" t="s">
        <v>187</v>
      </c>
      <c r="X64" s="123"/>
      <c r="Y64" s="123"/>
      <c r="Z64" s="123"/>
      <c r="AA64" s="123"/>
      <c r="AB64" s="2"/>
      <c r="AC64" s="126" t="s">
        <v>188</v>
      </c>
      <c r="AD64" s="123"/>
      <c r="AE64" s="123"/>
      <c r="AF64" s="123"/>
      <c r="AG64" s="123"/>
      <c r="AH64" s="2"/>
      <c r="AI64" s="2"/>
      <c r="AJ64" s="2"/>
      <c r="AK64" s="126" t="s">
        <v>189</v>
      </c>
      <c r="AL64" s="123"/>
      <c r="AM64" s="123"/>
      <c r="AN64" s="123"/>
      <c r="AO64" s="123"/>
      <c r="AP64" s="1"/>
      <c r="AQ64" s="1"/>
      <c r="AR64" s="68" t="s">
        <v>190</v>
      </c>
      <c r="AS64" s="68"/>
      <c r="AT64" s="68"/>
      <c r="AU64" s="68"/>
      <c r="AV64" s="68"/>
      <c r="AW64" s="68"/>
      <c r="AX64" s="68" t="s">
        <v>191</v>
      </c>
      <c r="AY64" s="68" t="s">
        <v>192</v>
      </c>
      <c r="AZ64" s="68" t="s">
        <v>193</v>
      </c>
      <c r="BA64" s="68" t="s">
        <v>194</v>
      </c>
      <c r="BB64" s="68" t="s">
        <v>195</v>
      </c>
      <c r="BC64" s="2"/>
      <c r="BD64" s="71" t="s">
        <v>117</v>
      </c>
      <c r="BF64" s="2"/>
      <c r="BG64" s="2"/>
      <c r="BH64" s="71" t="s">
        <v>109</v>
      </c>
      <c r="BK64" s="2"/>
      <c r="BL64" s="71" t="s">
        <v>127</v>
      </c>
      <c r="BM64" s="2"/>
      <c r="BO64" s="71" t="s">
        <v>133</v>
      </c>
      <c r="BP64" s="2"/>
      <c r="BR64" s="71" t="s">
        <v>143</v>
      </c>
      <c r="BS64" s="11"/>
      <c r="BT64" s="2"/>
      <c r="BU64" s="3"/>
      <c r="BV64" s="3"/>
      <c r="BW64" s="2"/>
      <c r="BX64" s="2"/>
      <c r="BY64" s="2"/>
      <c r="BZ64" s="2"/>
      <c r="CA64" s="2"/>
      <c r="CB64" s="2"/>
      <c r="CC64" s="2"/>
      <c r="CD64" s="2">
        <v>0</v>
      </c>
      <c r="CE64" s="2"/>
      <c r="CF64" s="2"/>
      <c r="CG64" s="15" t="s">
        <v>196</v>
      </c>
      <c r="CH64" s="15" t="s">
        <v>197</v>
      </c>
      <c r="CI64" s="11" t="s">
        <v>198</v>
      </c>
      <c r="CJ64" s="11" t="s">
        <v>199</v>
      </c>
      <c r="CK64" s="11" t="s">
        <v>200</v>
      </c>
      <c r="CL64" s="11" t="s">
        <v>201</v>
      </c>
      <c r="CM64" s="11" t="s">
        <v>202</v>
      </c>
      <c r="CN64" s="11" t="s">
        <v>203</v>
      </c>
      <c r="CO64" s="11" t="s">
        <v>204</v>
      </c>
      <c r="CP64" s="11" t="s">
        <v>205</v>
      </c>
      <c r="CQ64" s="11" t="s">
        <v>206</v>
      </c>
      <c r="CR64" s="11" t="s">
        <v>207</v>
      </c>
      <c r="CS64" s="11" t="s">
        <v>208</v>
      </c>
      <c r="CT64" s="11" t="s">
        <v>209</v>
      </c>
      <c r="CU64" s="11" t="s">
        <v>210</v>
      </c>
      <c r="CV64" s="11" t="s">
        <v>211</v>
      </c>
      <c r="CW64" s="4"/>
      <c r="CX64" s="2"/>
      <c r="CY64" s="2"/>
      <c r="CZ64" s="2"/>
    </row>
    <row r="65" spans="2:104" ht="15" hidden="1" customHeight="1" x14ac:dyDescent="0.2">
      <c r="B65" s="122" t="str">
        <f>IF(J29&lt;0,(IF(J24="Italiano","AVETE SPESO TROPPO!   ",IF(J24="Español","¡HAS GASTADO DEMASIADO!   ",(IF(J24="Deutsch","ZU VIEL AUSGEGEBEN!   ",(IF(J24="Français","TU DÉPENSES TROP!   ","YOU HAVE EXPENT TOO MUCH!   "))))))),"")</f>
        <v/>
      </c>
      <c r="C65" s="123"/>
      <c r="D65" s="123"/>
      <c r="E65" s="123"/>
      <c r="F65" s="123"/>
      <c r="G65" s="2"/>
      <c r="H65" s="2"/>
      <c r="I65" s="2"/>
      <c r="J65" s="2"/>
      <c r="K65" s="5" t="s">
        <v>172</v>
      </c>
      <c r="L65" s="5" t="s">
        <v>176</v>
      </c>
      <c r="M65" s="5" t="s">
        <v>174</v>
      </c>
      <c r="N65" s="5" t="s">
        <v>175</v>
      </c>
      <c r="O65" s="5" t="s">
        <v>173</v>
      </c>
      <c r="P65" s="2"/>
      <c r="Q65" s="5" t="s">
        <v>172</v>
      </c>
      <c r="R65" s="5" t="s">
        <v>176</v>
      </c>
      <c r="S65" s="5" t="s">
        <v>174</v>
      </c>
      <c r="T65" s="5" t="s">
        <v>175</v>
      </c>
      <c r="U65" s="5" t="s">
        <v>173</v>
      </c>
      <c r="V65" s="2"/>
      <c r="W65" s="5" t="s">
        <v>172</v>
      </c>
      <c r="X65" s="5" t="s">
        <v>176</v>
      </c>
      <c r="Y65" s="5" t="s">
        <v>174</v>
      </c>
      <c r="Z65" s="5" t="s">
        <v>175</v>
      </c>
      <c r="AA65" s="5" t="s">
        <v>173</v>
      </c>
      <c r="AB65" s="2"/>
      <c r="AC65" s="5" t="s">
        <v>172</v>
      </c>
      <c r="AD65" s="5" t="s">
        <v>176</v>
      </c>
      <c r="AE65" s="5" t="s">
        <v>174</v>
      </c>
      <c r="AF65" s="5" t="s">
        <v>175</v>
      </c>
      <c r="AG65" s="5" t="s">
        <v>173</v>
      </c>
      <c r="AH65" s="2"/>
      <c r="AI65" s="2" t="str">
        <f>IF(J24="English","NI",(IF(J24="Español","LP",(IF(J24="Deutsch","HV",(IF(J24="Français","BP")))))))</f>
        <v>LP</v>
      </c>
      <c r="AJ65" s="2"/>
      <c r="AK65" s="5" t="s">
        <v>172</v>
      </c>
      <c r="AL65" s="5" t="s">
        <v>176</v>
      </c>
      <c r="AM65" s="5" t="s">
        <v>174</v>
      </c>
      <c r="AN65" s="5" t="s">
        <v>175</v>
      </c>
      <c r="AO65" s="5" t="s">
        <v>173</v>
      </c>
      <c r="AP65" s="1"/>
      <c r="AQ65" s="12" t="s">
        <v>165</v>
      </c>
      <c r="AR65" s="2">
        <v>0</v>
      </c>
      <c r="AS65" s="13" t="s">
        <v>165</v>
      </c>
      <c r="AU65" s="2"/>
      <c r="AV65" s="2"/>
      <c r="AW65" s="2"/>
      <c r="AX65" s="2">
        <f>(COUNTIF(BS46:BS61,"P"))+(COUNTIF(BT46:BT61,"P"))</f>
        <v>0</v>
      </c>
      <c r="AY65" s="2">
        <f>(COUNTIF(BS46:BS61,"S"))+(16-COUNT(BT46:BT61))</f>
        <v>0</v>
      </c>
      <c r="AZ65" s="2">
        <f>32-(COUNT(BS46:BT61))</f>
        <v>0</v>
      </c>
      <c r="BA65" s="2">
        <f>COUNTIF(BS46:BX61,"STAT")</f>
        <v>0</v>
      </c>
      <c r="BB65" s="2">
        <f>COUNTIF(I18:I19,1)</f>
        <v>0</v>
      </c>
      <c r="BC65" s="2"/>
      <c r="BD65" s="72" t="s">
        <v>212</v>
      </c>
      <c r="BE65" s="73">
        <v>100000</v>
      </c>
      <c r="BF65" s="73"/>
      <c r="BG65" s="2"/>
      <c r="BH65" s="74" t="str">
        <f>IF(J24="Español","HECHICERO-DEPORTIVO MERCENARIO",(IF(J24="Deutsch","SPORT-ZAUBERER",(IF(J24="Français","SORCIER-SPORTIF A GAGES","HIRELING SPORT-WIZARD")))))</f>
        <v>HECHICERO-DEPORTIVO MERCENARIO</v>
      </c>
      <c r="BI65" s="73">
        <v>150000</v>
      </c>
      <c r="BJ65" s="73"/>
      <c r="BK65" s="2"/>
      <c r="BL65" s="72" t="s">
        <v>1066</v>
      </c>
      <c r="BM65" s="73">
        <f>IFERROR(IF($BV$2="Bribery and Corruption",80000,120000),0)</f>
        <v>80000</v>
      </c>
      <c r="BN65" s="73"/>
      <c r="BO65" s="72" t="s">
        <v>1071</v>
      </c>
      <c r="BP65" s="73">
        <f>IFERROR((IF(OR(COUNTIF($BU$2,"*BadlandsBrawl*")),50000,0)),0)</f>
        <v>50000</v>
      </c>
      <c r="BR65" s="72" t="s">
        <v>1079</v>
      </c>
      <c r="BS65" s="125" t="s">
        <v>213</v>
      </c>
      <c r="BT65" s="125"/>
      <c r="BU65" s="125" t="s">
        <v>170</v>
      </c>
      <c r="BV65" s="125"/>
      <c r="BW65" s="125" t="s">
        <v>171</v>
      </c>
      <c r="BX65" s="125"/>
      <c r="BY65" s="125" t="s">
        <v>214</v>
      </c>
      <c r="BZ65" s="125"/>
      <c r="CA65" s="21" t="str">
        <f>IF($J$24="Italiano","Scelto",(IF($J$24="Español","Elegida",(IF($J$24="Deutsch","Gewählt",(IF($J$24="Français","Choisie","Chosen")))))))</f>
        <v>Elegida</v>
      </c>
      <c r="CB65" s="2"/>
      <c r="CC65" s="21" t="str">
        <f t="shared" ref="CC65:CD69" si="55">""</f>
        <v/>
      </c>
      <c r="CD65" s="21" t="str">
        <f t="shared" si="55"/>
        <v/>
      </c>
      <c r="CE65" s="2"/>
      <c r="CF65" s="2"/>
      <c r="CG65" s="2" t="str">
        <f>IFERROR((IF($CG$62="M",BW66,IF($CG$62="PM",BY66,IF($CG$62="P",BU66,IF($CG$62="FULL",BS66,IF($CG$62="GPSM",CA70,"")))))),"")</f>
        <v/>
      </c>
      <c r="CH65" s="2" t="str">
        <f>IFERROR((IF($CH$62="M",BW66,IF($CH$62="PM",BY66,IF($CH$62="P",BU66,IF($CH$62="FULL",BS66,IF($CH$62="GPSM",CA70,"")))))),"")</f>
        <v/>
      </c>
      <c r="CI65" s="2" t="str">
        <f>IFERROR((IF($CI$62="M",BW66,IF($CI$62="PM",BY66,IF($CI$62="P",BU66,IF($CI$62="FULL",BS66,IF($CI$62="GPSM",CA70,"")))))),"")</f>
        <v/>
      </c>
      <c r="CJ65" s="2" t="str">
        <f>IFERROR((IF($CJ$62="M",BW66,IF($CJ$62="PM",BY66,IF($CJ$62="P",BU66,IF($CJ$62="FULL",BS66,IF($CJ$62="GPSM",CA70,"")))))),"")</f>
        <v/>
      </c>
      <c r="CK65" s="2" t="str">
        <f>IFERROR((IF($CK$62="M",BW66,IF($CK$62="PM",BY66,IF($CK$62="P",BU66,IF($CK$62="FULL",BS66,IF($CK$62="GPSM",CA70,"")))))),"")</f>
        <v/>
      </c>
      <c r="CL65" s="2" t="str">
        <f>IFERROR((IF($CL$62="M",BW66,IF($CL$62="PM",BY66,IF($CL$62="P",BU66,IF($CL$62="FULL",BS66,IF($CL$62="GPSM",CA70,"")))))),"")</f>
        <v/>
      </c>
      <c r="CM65" s="2" t="str">
        <f>IFERROR((IF($CM$62="M",BW66,IF($CM$62="PM",BY66,IF($CM$62="P",BU66,IF($CM$62="FULL",BS66,IF($CM$62="GPSM",CA70,"")))))),"")</f>
        <v/>
      </c>
      <c r="CN65" s="2" t="str">
        <f>IFERROR((IF($CN$62="M",BW66,IF($CN$62="PM",BY66,IF($CN$62="P",BU66,IF($CN$62="FULL",BS66,IF($CN$62="GPSM",CA70,"")))))),"")</f>
        <v/>
      </c>
      <c r="CO65" s="2" t="str">
        <f>IFERROR((IF($CO$62="M",BW66,IF($CO$62="PM",BY66,IF($CO$62="P",BU66,IF($CO$62="FULL",BS66,IF($CO$62="GPSM",CA70,"")))))),"")</f>
        <v/>
      </c>
      <c r="CP65" s="2" t="str">
        <f>IFERROR((IF($CP$62="M",BW66,IF($CP$62="PM",BY66,IF($CP$62="P",BU66,IF($CP$62="FULL",BS66,IF($CP$62="GPSM",CA70,"")))))),"")</f>
        <v/>
      </c>
      <c r="CQ65" s="2" t="str">
        <f>IFERROR((IF($CQ$62="M",BW66,IF($CQ$62="PM",BY66,IF($CQ$62="P",BU66,IF($CQ$62="FULL",BS66,IF($CQ$62="GPSM",CA70,"")))))),"")</f>
        <v/>
      </c>
      <c r="CR65" s="2" t="str">
        <f>IFERROR((IF($CR$62="M",BW66,IF($CR$62="PM",BY66,IF($CR$62="P",BU66,IF($CR$62="FULL",BS66,IF($CR$62="GPSM",CA70,"")))))),"")</f>
        <v/>
      </c>
      <c r="CS65" s="2" t="str">
        <f>IFERROR((IF($CS$62="M",BW66,IF($CS$62="PM",BY66,IF($CS$62="P",BU66,IF($CS$62="FULL",BS66,IF($CS$62="GPSM",CA70,"")))))),"")</f>
        <v/>
      </c>
      <c r="CT65" s="2" t="str">
        <f>IFERROR((IF($CT$62="M",BW66,IF($CT$62="PM",BY66,IF($CT$62="P",BU66,IF($CT$62="FULL",BS66,IF($CT$62="GPSM",CA70,"")))))),"")</f>
        <v/>
      </c>
      <c r="CU65" s="2" t="str">
        <f>IFERROR((IF($CU$62="M",BW66,IF($CU$62="PM",BY66,IF($CU$62="P",BU66,IF($CU$62="FULL",BS66,IF($CU$62="GPSM",CA70,"")))))),"")</f>
        <v/>
      </c>
      <c r="CV65" s="2" t="str">
        <f>IFERROR((IF($CV$62="M",BW66,IF($CV$62="PM",BY66,IF($CV$62="P",BU66,IF($CV$62="FULL",BS66,IF($CV$62="GPSM",CA70,"")))))),"")</f>
        <v/>
      </c>
      <c r="CW65" s="2"/>
      <c r="CX65" s="2"/>
      <c r="CY65" s="2"/>
      <c r="CZ65" s="2"/>
    </row>
    <row r="66" spans="2:104" ht="15" hidden="1" customHeight="1" x14ac:dyDescent="0.2">
      <c r="B66" s="122" t="str">
        <f>IF(AV62&gt;0,(IF(J24="Italiano","SI È SCELTA UN'ABILITÀ CHE IL GIOCATORE GIÀ POSSIEDE!   ",IF(J24="Español","¡HAS ELEGIDO UNA HABILIDAD QUE YA TIENE EL JUGADOR!   ",(IF(J24="Deutsch","SIE HABEN EINE FÄHIGKEIT GEWÄHLT, DIE DER SPIELER BEREITS BESITZT!   ",(IF(J24="Français","VOUS AVEZ CHOISI UNE COMPÉTENCE QUE LE JOUEUR POSSÈDE DÉJÀ!   ","YOU HAVE CHOSEN A SKILL THAT THE PLAYER ALREADY HAS!   "))))))),"")</f>
        <v/>
      </c>
      <c r="C66" s="123"/>
      <c r="D66" s="123"/>
      <c r="E66" s="123"/>
      <c r="F66" s="123"/>
      <c r="G66" s="2"/>
      <c r="H66" s="2"/>
      <c r="I66" s="2"/>
      <c r="J66" s="2"/>
      <c r="K66" s="2">
        <f t="shared" ref="K66:K81" si="56">IF(Q66=0,0,(IF(Q66&gt;9,9,(IF(Q66&lt;1,1,Q66)))))</f>
        <v>0</v>
      </c>
      <c r="L66" s="2">
        <f t="shared" ref="L66:L81" si="57">IF(R66=0,0,(IF(R66&gt;8,8,(IF(R66&lt;1,1,R66)))))</f>
        <v>0</v>
      </c>
      <c r="M66" s="2">
        <f t="shared" ref="M66:N81" si="58">IF(S66=0,0,(IF(S66&gt;6,6,(IF(S66&lt;1,1,S66)))))</f>
        <v>0</v>
      </c>
      <c r="N66" s="2">
        <f t="shared" si="58"/>
        <v>0</v>
      </c>
      <c r="O66" s="2">
        <f t="shared" ref="O66:O81" si="59">IF(U66=0,0,(IF(U66&gt;11,11,(IF(U66&lt;3,3,U66)))))</f>
        <v>0</v>
      </c>
      <c r="P66" s="2"/>
      <c r="Q66" s="1">
        <f>IFERROR((VLOOKUP($BO$1&amp;C2,TeamsProPlayer!D:M,2,0)+AK66+AC66),0)</f>
        <v>0</v>
      </c>
      <c r="R66" s="1">
        <f>IFERROR((VLOOKUP($BO$1&amp;C2,TeamsProPlayer!D:M,3,0)+AL66+AD66),0)</f>
        <v>0</v>
      </c>
      <c r="S66" s="1">
        <f>IFERROR((VLOOKUP($BO$1&amp;C2,TeamsProPlayer!D:M,4,0)+AM66-AE66),0)</f>
        <v>0</v>
      </c>
      <c r="T66" s="1">
        <f>IFERROR((VLOOKUP($BO$1&amp;C2,TeamsProPlayer!D:M,5,0)+AN66-AF66),0)</f>
        <v>0</v>
      </c>
      <c r="U66" s="1">
        <f>IFERROR((VLOOKUP($BO$1&amp;C2,TeamsProPlayer!D:M,6,0)+AO66+AG66),0)</f>
        <v>0</v>
      </c>
      <c r="V66" s="2"/>
      <c r="W66" s="2">
        <f>IFERROR((VLOOKUP($BO$1&amp;C2,TeamsProPlayer!D:M,2,0)),0)</f>
        <v>0</v>
      </c>
      <c r="X66" s="2">
        <f>IFERROR((VLOOKUP($BO$1&amp;C2,TeamsProPlayer!D:M,3,0)),0)</f>
        <v>0</v>
      </c>
      <c r="Y66" s="2">
        <f>IFERROR((VLOOKUP($BO$1&amp;C2,TeamsProPlayer!D:M,4,0)),0)</f>
        <v>0</v>
      </c>
      <c r="Z66" s="2">
        <f>IFERROR((VLOOKUP($BO$1&amp;C2,TeamsProPlayer!D:M,5,0)),0)</f>
        <v>0</v>
      </c>
      <c r="AA66" s="2">
        <f>IFERROR((VLOOKUP($BO$1&amp;C2,TeamsProPlayer!D:M,6,0)),0)</f>
        <v>0</v>
      </c>
      <c r="AB66" s="2"/>
      <c r="AC66" s="2">
        <f t="shared" ref="AC66:AC81" si="60">IF((COUNTIF(BK46:BP46,"MA"))&gt;2,2,(COUNTIF(BK46:BP46,"MA")))</f>
        <v>0</v>
      </c>
      <c r="AD66" s="2">
        <f t="shared" ref="AD66:AD81" si="61">IF((COUNTIF(BK46:BP46,"ST"))&gt;2,2,(COUNTIF(BK46:BP46,"ST")))</f>
        <v>0</v>
      </c>
      <c r="AE66" s="2">
        <f t="shared" ref="AE66:AE81" si="62">IF((COUNTIF(BK46:BP46,"AG"))&gt;2,2,(COUNTIF(BK46:BP46,"AG")))</f>
        <v>0</v>
      </c>
      <c r="AF66" s="2">
        <f t="shared" ref="AF66:AF81" si="63">IF((COUNTIF(BK46:BP46,"PA"))&gt;2,2,(COUNTIF(BK46:BP46,"PA")))</f>
        <v>0</v>
      </c>
      <c r="AG66" s="2">
        <f t="shared" ref="AG66:AG81" si="64">IF((COUNTIF(BK46:BP46,"AV"))&gt;2,2,(COUNTIF(BK46:BP46,"AV")))</f>
        <v>0</v>
      </c>
      <c r="AH66" s="2"/>
      <c r="AJ66" s="2"/>
      <c r="AK66" s="1">
        <f t="shared" ref="AK66:AK81" si="65">IF(OR(AG2="-1 MO",AG2="-1 MA",AG2="-1 BE",AG2="-1 M"),-1,(IF(OR(AG2="-2 MO",AG2="-2 MA",AG2="-2 BE",AG2="-2 M"),-2,0)))</f>
        <v>0</v>
      </c>
      <c r="AL66" s="1">
        <f t="shared" ref="AL66:AL81" si="66">IF(OR(AG2="-1 ST",AG2="-1 FU",AG2="-1 F"),-1,(IF(OR(AG2="-2 ST",AG2="-2 FU",AG2="-2 F"),-2,0)))</f>
        <v>0</v>
      </c>
      <c r="AM66" s="1">
        <f t="shared" ref="AM66:AM81" si="67">IF(OR(AG2="1 AG",AG2="1 GE"),1,(IF(OR(AG2="2 AG",AG2="2 GE"),2,0)))</f>
        <v>0</v>
      </c>
      <c r="AN66" s="1">
        <f t="shared" ref="AN66:AN81" si="68">IF(OR(AG2="1 PA",AG2="1 WG",AG2="1 CP"),1,(IF(OR(AG2="2 PA",AG2="2 WG",AG2="2 CP"),2,0)))</f>
        <v>0</v>
      </c>
      <c r="AO66" s="1">
        <f t="shared" ref="AO66:AO81" si="69">IF(OR(AG2="-1 AV",AG2="-1 AR",AG2="-1 RW"),-1,(IF(OR(AG2="-2 AV",AG2="-2 AR",AG2="-2 RW"),-2,0)))</f>
        <v>0</v>
      </c>
      <c r="AP66" s="1"/>
      <c r="AQ66" s="12">
        <v>1</v>
      </c>
      <c r="AR66" s="12">
        <v>600000</v>
      </c>
      <c r="AS66" s="12">
        <v>10000</v>
      </c>
      <c r="AT66" s="76" t="str">
        <f>IF(J24="English","-1 MA",(IF(J24="Español","-1 MO",(IF(J24="Deutsch","-1 BE",(IF(J24="Français","-1 M")))))))</f>
        <v>-1 MO</v>
      </c>
      <c r="AU66" s="1"/>
      <c r="AV66" s="1"/>
      <c r="AW66" s="1"/>
      <c r="AX66" s="68"/>
      <c r="AY66" s="2"/>
      <c r="AZ66" s="2"/>
      <c r="BA66" s="2"/>
      <c r="BB66" s="2"/>
      <c r="BC66" s="73"/>
      <c r="BD66" s="72" t="s">
        <v>1047</v>
      </c>
      <c r="BE66" s="73">
        <f>IFERROR((IF(OR(COUNTIF($BU$2,"*ElvenKingdomsLeague*"),COUNTIF($BU$2,"*LustrianSuperleague*"),COUNTIF($BU$2,"*OldWorldClassic*"),COUNTIF($BU$2,"*WorldsEdgeSuperleague*")),50000,0)),0)</f>
        <v>0</v>
      </c>
      <c r="BF66" s="73"/>
      <c r="BH66" s="72" t="s">
        <v>1056</v>
      </c>
      <c r="BI66" s="73">
        <f>IFERROR((IF(OR(COUNTIF($BU$2,"*Favouredof*"),COUNTIF($BU$2,"*UnderworldChallenge*")),150000,0)),0)</f>
        <v>0</v>
      </c>
      <c r="BJ66" s="73"/>
      <c r="BK66" s="2"/>
      <c r="BL66" s="72" t="s">
        <v>1067</v>
      </c>
      <c r="BM66" s="73">
        <f>IFERROR((IF(OR(COUNTIF($BU$2,"*LustrianSuperleague*"),COUNTIF($BU$2,"*OldWorldClassic*")),130000,0)),0)</f>
        <v>0</v>
      </c>
      <c r="BN66" s="73"/>
      <c r="BO66" s="72" t="s">
        <v>1072</v>
      </c>
      <c r="BP66" s="73">
        <f>IFERROR((IF(OR(COUNTIF(BO2,"*Nurgle*")),30000,0)),0)</f>
        <v>0</v>
      </c>
      <c r="BR66" s="72" t="s">
        <v>1080</v>
      </c>
      <c r="BS66" s="21" t="str">
        <f t="shared" ref="BS66:CB75" si="70">""</f>
        <v/>
      </c>
      <c r="BT66" s="21" t="str">
        <f t="shared" si="70"/>
        <v/>
      </c>
      <c r="BU66" s="21" t="str">
        <f t="shared" si="70"/>
        <v/>
      </c>
      <c r="BV66" s="21" t="str">
        <f t="shared" si="70"/>
        <v/>
      </c>
      <c r="BW66" s="21" t="str">
        <f t="shared" si="70"/>
        <v/>
      </c>
      <c r="BX66" s="21" t="str">
        <f t="shared" si="70"/>
        <v/>
      </c>
      <c r="BY66" s="21" t="str">
        <f t="shared" si="70"/>
        <v/>
      </c>
      <c r="BZ66" s="21" t="str">
        <f t="shared" si="70"/>
        <v/>
      </c>
      <c r="CA66" s="21" t="str">
        <f>IF($J$24="Italiano","Casuale",(IF($J$24="Español","Aleatoria",(IF($J$24="Deutsch","Zufällig",(IF($J$24="Français","Aléatoire","Random")))))))</f>
        <v>Aleatoria</v>
      </c>
      <c r="CB66" s="2"/>
      <c r="CC66" s="21" t="str">
        <f t="shared" si="55"/>
        <v/>
      </c>
      <c r="CD66" s="21" t="str">
        <f t="shared" si="55"/>
        <v/>
      </c>
      <c r="CE66" s="2"/>
      <c r="CF66" s="2"/>
      <c r="CG66" s="2" t="str">
        <f t="shared" ref="CG66:CG129" si="71">IFERROR((IF($CG$62="M",BW67,IF($CG$62="PM",BY67,IF($CG$62="P",BU67,IF($CG$62="FULL",BS67,IF($CG$62="GPSM",CA71,"")))))),"")</f>
        <v/>
      </c>
      <c r="CH66" s="2" t="str">
        <f t="shared" ref="CH66:CH129" si="72">IFERROR((IF($CH$62="M",BW67,IF($CH$62="PM",BY67,IF($CH$62="P",BU67,IF($CH$62="FULL",BS67,IF($CH$62="GPSM",CA71,"")))))),"")</f>
        <v/>
      </c>
      <c r="CI66" s="2" t="str">
        <f t="shared" ref="CI66:CI129" si="73">IFERROR((IF($CI$62="M",BW67,IF($CI$62="PM",BY67,IF($CI$62="P",BU67,IF($CI$62="FULL",BS67,IF($CI$62="GPSM",CA71,"")))))),"")</f>
        <v/>
      </c>
      <c r="CJ66" s="2" t="str">
        <f t="shared" ref="CJ66:CJ129" si="74">IFERROR((IF($CJ$62="M",BW67,IF($CJ$62="PM",BY67,IF($CJ$62="P",BU67,IF($CJ$62="FULL",BS67,IF($CJ$62="GPSM",CA71,"")))))),"")</f>
        <v/>
      </c>
      <c r="CK66" s="2" t="str">
        <f t="shared" ref="CK66:CK129" si="75">IFERROR((IF($CK$62="M",BW67,IF($CK$62="PM",BY67,IF($CK$62="P",BU67,IF($CK$62="FULL",BS67,IF($CK$62="GPSM",CA71,"")))))),"")</f>
        <v/>
      </c>
      <c r="CL66" s="2" t="str">
        <f t="shared" ref="CL66:CL129" si="76">IFERROR((IF($CL$62="M",BW67,IF($CL$62="PM",BY67,IF($CL$62="P",BU67,IF($CL$62="FULL",BS67,IF($CL$62="GPSM",CA71,"")))))),"")</f>
        <v/>
      </c>
      <c r="CM66" s="2" t="str">
        <f t="shared" ref="CM66:CM129" si="77">IFERROR((IF($CM$62="M",BW67,IF($CM$62="PM",BY67,IF($CM$62="P",BU67,IF($CM$62="FULL",BS67,IF($CM$62="GPSM",CA71,"")))))),"")</f>
        <v/>
      </c>
      <c r="CN66" s="2" t="str">
        <f t="shared" ref="CN66:CN129" si="78">IFERROR((IF($CN$62="M",BW67,IF($CN$62="PM",BY67,IF($CN$62="P",BU67,IF($CN$62="FULL",BS67,IF($CN$62="GPSM",CA71,"")))))),"")</f>
        <v/>
      </c>
      <c r="CO66" s="2" t="str">
        <f t="shared" ref="CO66:CO129" si="79">IFERROR((IF($CO$62="M",BW67,IF($CO$62="PM",BY67,IF($CO$62="P",BU67,IF($CO$62="FULL",BS67,IF($CO$62="GPSM",CA71,"")))))),"")</f>
        <v/>
      </c>
      <c r="CP66" s="2" t="str">
        <f t="shared" ref="CP66:CP129" si="80">IFERROR((IF($CP$62="M",BW67,IF($CP$62="PM",BY67,IF($CP$62="P",BU67,IF($CP$62="FULL",BS67,IF($CP$62="GPSM",CA71,"")))))),"")</f>
        <v/>
      </c>
      <c r="CQ66" s="2" t="str">
        <f t="shared" ref="CQ66:CQ129" si="81">IFERROR((IF($CQ$62="M",BW67,IF($CQ$62="PM",BY67,IF($CQ$62="P",BU67,IF($CQ$62="FULL",BS67,IF($CQ$62="GPSM",CA71,"")))))),"")</f>
        <v/>
      </c>
      <c r="CR66" s="2" t="str">
        <f t="shared" ref="CR66:CR129" si="82">IFERROR((IF($CR$62="M",BW67,IF($CR$62="PM",BY67,IF($CR$62="P",BU67,IF($CR$62="FULL",BS67,IF($CR$62="GPSM",CA71,"")))))),"")</f>
        <v/>
      </c>
      <c r="CS66" s="2" t="str">
        <f t="shared" ref="CS66:CS129" si="83">IFERROR((IF($CS$62="M",BW67,IF($CS$62="PM",BY67,IF($CS$62="P",BU67,IF($CS$62="FULL",BS67,IF($CS$62="GPSM",CA71,"")))))),"")</f>
        <v/>
      </c>
      <c r="CT66" s="2" t="str">
        <f t="shared" ref="CT66:CT129" si="84">IFERROR((IF($CT$62="M",BW67,IF($CT$62="PM",BY67,IF($CT$62="P",BU67,IF($CT$62="FULL",BS67,IF($CT$62="GPSM",CA71,"")))))),"")</f>
        <v/>
      </c>
      <c r="CU66" s="2" t="str">
        <f t="shared" ref="CU66:CU129" si="85">IFERROR((IF($CU$62="M",BW67,IF($CU$62="PM",BY67,IF($CU$62="P",BU67,IF($CU$62="FULL",BS67,IF($CU$62="GPSM",CA71,"")))))),"")</f>
        <v/>
      </c>
      <c r="CV66" s="2" t="str">
        <f t="shared" ref="CV66:CV129" si="86">IFERROR((IF($CV$62="M",BW67,IF($CV$62="PM",BY67,IF($CV$62="P",BU67,IF($CV$62="FULL",BS67,IF($CV$62="GPSM",CA71,"")))))),"")</f>
        <v/>
      </c>
      <c r="CW66" s="2"/>
      <c r="CX66" s="2"/>
      <c r="CY66" s="2"/>
      <c r="CZ66" s="2"/>
    </row>
    <row r="67" spans="2:104" ht="15" hidden="1" customHeight="1" x14ac:dyDescent="0.2">
      <c r="B67" s="122" t="str">
        <f>IF(C37&lt;&gt;AZ65,(IF(J24="Italiano","È NECESSARIO POSSEDERE 6 ABILITÀ PRIMARIE E 1 SECONDARIA O 7 ABILITÀ PRIMARIE!   ",IF(J24="Español","¡DEBES TENER 6 HABILIDAES PRIMARIAS Y 1 HABILIDAD SECUNDARIA O 7 HABILIDADES PRIMARIAS!   ",(IF(J24="Deutsch","SIE MÜSSEN 6 PRIMÄRFERTIGKEITEN UND 1 SEKUNDÄRFERTIGKEIT ODER 7 PRIMÄRFERTIGKEITEN BESITZEN!   ",(IF(J24="Français","VOUS DEVEZ AVOIR 6 COMPÉTENCES PRINCIPALES ET 1 COMPÉTENCE SECONDAIRE OU 7 COMPÉTENCES PRINCIPALES!   ","YOU MUST HAVE 6 PRIMARY SKILLS AND 1 SECONDARY SKILL OR 7 PRIMARY SKILLS!   "))))))),"")</f>
        <v xml:space="preserve">¡DEBES TENER 6 HABILIDAES PRIMARIAS Y 1 HABILIDAD SECUNDARIA O 7 HABILIDADES PRIMARIAS!   </v>
      </c>
      <c r="C67" s="123"/>
      <c r="D67" s="123"/>
      <c r="E67" s="123"/>
      <c r="F67" s="123"/>
      <c r="G67" s="2"/>
      <c r="H67" s="2"/>
      <c r="I67" s="2"/>
      <c r="J67" s="2"/>
      <c r="K67" s="2">
        <f t="shared" si="56"/>
        <v>0</v>
      </c>
      <c r="L67" s="2">
        <f t="shared" si="57"/>
        <v>0</v>
      </c>
      <c r="M67" s="2">
        <f t="shared" si="58"/>
        <v>0</v>
      </c>
      <c r="N67" s="2">
        <f t="shared" si="58"/>
        <v>0</v>
      </c>
      <c r="O67" s="2">
        <f t="shared" si="59"/>
        <v>0</v>
      </c>
      <c r="P67" s="2"/>
      <c r="Q67" s="1">
        <f>IFERROR((VLOOKUP($BO$1&amp;C3,TeamsProPlayer!D:M,2,0)+AK67+AC67),0)</f>
        <v>0</v>
      </c>
      <c r="R67" s="1">
        <f>IFERROR((VLOOKUP($BO$1&amp;C3,TeamsProPlayer!D:M,3,0)+AL67+AD67),0)</f>
        <v>0</v>
      </c>
      <c r="S67" s="1">
        <f>IFERROR((VLOOKUP($BO$1&amp;C3,TeamsProPlayer!D:M,4,0)+AM67-AE67),0)</f>
        <v>0</v>
      </c>
      <c r="T67" s="1">
        <f>IFERROR((VLOOKUP($BO$1&amp;C3,TeamsProPlayer!D:M,5,0)+AN67-AF67),0)</f>
        <v>0</v>
      </c>
      <c r="U67" s="1">
        <f>IFERROR((VLOOKUP($BO$1&amp;C3,TeamsProPlayer!D:M,6,0)+AO67+AG67),0)</f>
        <v>0</v>
      </c>
      <c r="V67" s="2"/>
      <c r="W67" s="2">
        <f>IFERROR((VLOOKUP($BO$1&amp;C3,TeamsProPlayer!D:M,2,0)),0)</f>
        <v>0</v>
      </c>
      <c r="X67" s="2">
        <f>IFERROR((VLOOKUP($BO$1&amp;C3,TeamsProPlayer!D:M,3,0)),0)</f>
        <v>0</v>
      </c>
      <c r="Y67" s="2">
        <f>IFERROR((VLOOKUP($BO$1&amp;C3,TeamsProPlayer!D:M,4,0)),0)</f>
        <v>0</v>
      </c>
      <c r="Z67" s="2">
        <f>IFERROR((VLOOKUP($BO$1&amp;C3,TeamsProPlayer!D:M,5,0)),0)</f>
        <v>0</v>
      </c>
      <c r="AA67" s="2">
        <f>IFERROR((VLOOKUP($BO$1&amp;C3,TeamsProPlayer!D:M,6,0)),0)</f>
        <v>0</v>
      </c>
      <c r="AB67" s="2"/>
      <c r="AC67" s="2">
        <f t="shared" si="60"/>
        <v>0</v>
      </c>
      <c r="AD67" s="2">
        <f t="shared" si="61"/>
        <v>0</v>
      </c>
      <c r="AE67" s="2">
        <f t="shared" si="62"/>
        <v>0</v>
      </c>
      <c r="AF67" s="2">
        <f t="shared" si="63"/>
        <v>0</v>
      </c>
      <c r="AG67" s="2">
        <f t="shared" si="64"/>
        <v>0</v>
      </c>
      <c r="AH67" s="2"/>
      <c r="AI67" s="2">
        <v>0</v>
      </c>
      <c r="AJ67" s="2"/>
      <c r="AK67" s="1">
        <f t="shared" si="65"/>
        <v>0</v>
      </c>
      <c r="AL67" s="1">
        <f t="shared" si="66"/>
        <v>0</v>
      </c>
      <c r="AM67" s="1">
        <f t="shared" si="67"/>
        <v>0</v>
      </c>
      <c r="AN67" s="1">
        <f t="shared" si="68"/>
        <v>0</v>
      </c>
      <c r="AO67" s="1">
        <f t="shared" si="69"/>
        <v>0</v>
      </c>
      <c r="AP67" s="2"/>
      <c r="AQ67" s="13">
        <v>2</v>
      </c>
      <c r="AR67" s="12">
        <v>605000</v>
      </c>
      <c r="AS67" s="12">
        <v>20000</v>
      </c>
      <c r="AT67" s="76" t="str">
        <f>IF(J24="English","-2 MA",(IF(J24="Español","-2 MO",(IF(J24="Deutsch","-2 BE",(IF(J24="Français","-2 M")))))))</f>
        <v>-2 MO</v>
      </c>
      <c r="AU67" s="1"/>
      <c r="AV67" s="1"/>
      <c r="AW67" s="1"/>
      <c r="AX67" s="77" t="s">
        <v>165</v>
      </c>
      <c r="AY67" s="78">
        <v>0</v>
      </c>
      <c r="AZ67" s="2"/>
      <c r="BA67" s="2" t="s">
        <v>116</v>
      </c>
      <c r="BB67" s="2"/>
      <c r="BC67" s="2"/>
      <c r="BD67" s="72" t="s">
        <v>1048</v>
      </c>
      <c r="BE67" s="73">
        <f>IFERROR((IF(OR(COUNTIF($BU$2,"*Favouredof*"),COUNTIF($BU$2,"*UnderworldChallenge*")),80000,0)),0)</f>
        <v>0</v>
      </c>
      <c r="BH67" s="72" t="s">
        <v>1057</v>
      </c>
      <c r="BI67" s="73">
        <f>IFERROR((IF(OR(COUNTIF($BU$2,"*Favouredof*"),COUNTIF($BU$2,"*ElvenKingdomsLeague*")),150000,0)),0)</f>
        <v>0</v>
      </c>
      <c r="BK67" s="2"/>
      <c r="BL67" s="72" t="s">
        <v>1068</v>
      </c>
      <c r="BM67" s="73">
        <f>IFERROR((IF(OR(COUNTIF($BU$2,"*WorldsEdgeSuperleague*")),120000,0)),0)</f>
        <v>0</v>
      </c>
      <c r="BN67" s="2"/>
      <c r="BO67" s="72" t="s">
        <v>1073</v>
      </c>
      <c r="BP67" s="73">
        <f>IFERROR((IF(OR(COUNTIF($BU$2,"*OldWorldClassic*"),COUNTIF($BU$2,"*WorldsEdgeSuperleague*")),50000,0)),0)</f>
        <v>0</v>
      </c>
      <c r="BR67" s="72" t="s">
        <v>1081</v>
      </c>
      <c r="BS67" s="21" t="str">
        <f t="shared" si="70"/>
        <v/>
      </c>
      <c r="BT67" s="21" t="str">
        <f t="shared" si="70"/>
        <v/>
      </c>
      <c r="BU67" s="21" t="str">
        <f t="shared" si="70"/>
        <v/>
      </c>
      <c r="BV67" s="21" t="str">
        <f t="shared" si="70"/>
        <v/>
      </c>
      <c r="BW67" s="21" t="str">
        <f t="shared" si="70"/>
        <v/>
      </c>
      <c r="BX67" s="21" t="str">
        <f t="shared" si="70"/>
        <v/>
      </c>
      <c r="BY67" s="21" t="str">
        <f t="shared" si="70"/>
        <v/>
      </c>
      <c r="BZ67" s="21" t="str">
        <f t="shared" si="70"/>
        <v/>
      </c>
      <c r="CA67" s="2"/>
      <c r="CB67" s="2"/>
      <c r="CC67" s="21" t="str">
        <f t="shared" si="55"/>
        <v/>
      </c>
      <c r="CD67" s="21" t="str">
        <f t="shared" si="55"/>
        <v/>
      </c>
      <c r="CE67" s="2"/>
      <c r="CF67" s="2"/>
      <c r="CG67" s="2" t="str">
        <f t="shared" si="71"/>
        <v/>
      </c>
      <c r="CH67" s="2" t="str">
        <f t="shared" si="72"/>
        <v/>
      </c>
      <c r="CI67" s="2" t="str">
        <f t="shared" si="73"/>
        <v/>
      </c>
      <c r="CJ67" s="2" t="str">
        <f t="shared" si="74"/>
        <v/>
      </c>
      <c r="CK67" s="2" t="str">
        <f t="shared" si="75"/>
        <v/>
      </c>
      <c r="CL67" s="2" t="str">
        <f t="shared" si="76"/>
        <v/>
      </c>
      <c r="CM67" s="2" t="str">
        <f t="shared" si="77"/>
        <v/>
      </c>
      <c r="CN67" s="2" t="str">
        <f t="shared" si="78"/>
        <v/>
      </c>
      <c r="CO67" s="2" t="str">
        <f t="shared" si="79"/>
        <v/>
      </c>
      <c r="CP67" s="2" t="str">
        <f t="shared" si="80"/>
        <v/>
      </c>
      <c r="CQ67" s="2" t="str">
        <f t="shared" si="81"/>
        <v/>
      </c>
      <c r="CR67" s="2" t="str">
        <f t="shared" si="82"/>
        <v/>
      </c>
      <c r="CS67" s="2" t="str">
        <f t="shared" si="83"/>
        <v/>
      </c>
      <c r="CT67" s="2" t="str">
        <f t="shared" si="84"/>
        <v/>
      </c>
      <c r="CU67" s="2" t="str">
        <f t="shared" si="85"/>
        <v/>
      </c>
      <c r="CV67" s="2" t="str">
        <f t="shared" si="86"/>
        <v/>
      </c>
      <c r="CW67" s="2"/>
      <c r="CX67" s="2"/>
      <c r="CY67" s="2"/>
      <c r="CZ67" s="2"/>
    </row>
    <row r="68" spans="2:104" ht="15" hidden="1" customHeight="1" x14ac:dyDescent="0.2">
      <c r="B68" s="122" t="str">
        <f>IF(K37&lt;AX65,(IF(J24="Italiano","TROPPE ABILITÀ PRIMARIE!   ",IF(J24="Español","¡DEMASIADAS HABILIDADES PRIMARIAS!   ",(IF(J24="Deutsch","ZU VIELE PRIMÄRE FERTIGKEITEN!   ",(IF(J24="Français","TROP DE COMP PRIMAIRES!   ","TOO MANY PRIMARY SKILLS!   "))))))),"")</f>
        <v/>
      </c>
      <c r="C68" s="123"/>
      <c r="D68" s="123"/>
      <c r="E68" s="123"/>
      <c r="F68" s="123"/>
      <c r="G68" s="2"/>
      <c r="H68" s="2"/>
      <c r="I68" s="2"/>
      <c r="J68" s="2"/>
      <c r="K68" s="2">
        <f t="shared" si="56"/>
        <v>0</v>
      </c>
      <c r="L68" s="2">
        <f t="shared" si="57"/>
        <v>0</v>
      </c>
      <c r="M68" s="2">
        <f t="shared" si="58"/>
        <v>0</v>
      </c>
      <c r="N68" s="2">
        <f t="shared" si="58"/>
        <v>0</v>
      </c>
      <c r="O68" s="2">
        <f t="shared" si="59"/>
        <v>0</v>
      </c>
      <c r="P68" s="2"/>
      <c r="Q68" s="1">
        <f>IFERROR((VLOOKUP($BO$1&amp;C4,TeamsProPlayer!D:M,2,0)+AK68+AC68),0)</f>
        <v>0</v>
      </c>
      <c r="R68" s="1">
        <f>IFERROR((VLOOKUP($BO$1&amp;C4,TeamsProPlayer!D:M,3,0)+AL68+AD68),0)</f>
        <v>0</v>
      </c>
      <c r="S68" s="1">
        <f>IFERROR((VLOOKUP($BO$1&amp;C4,TeamsProPlayer!D:M,4,0)+AM68-AE68),0)</f>
        <v>0</v>
      </c>
      <c r="T68" s="1">
        <f>IFERROR((VLOOKUP($BO$1&amp;C4,TeamsProPlayer!D:M,5,0)+AN68-AF68),0)</f>
        <v>0</v>
      </c>
      <c r="U68" s="1">
        <f>IFERROR((VLOOKUP($BO$1&amp;C4,TeamsProPlayer!D:M,6,0)+AO68+AG68),0)</f>
        <v>0</v>
      </c>
      <c r="V68" s="2"/>
      <c r="W68" s="2">
        <f>IFERROR((VLOOKUP($BO$1&amp;C4,TeamsProPlayer!D:M,2,0)),0)</f>
        <v>0</v>
      </c>
      <c r="X68" s="2">
        <f>IFERROR((VLOOKUP($BO$1&amp;C4,TeamsProPlayer!D:M,3,0)),0)</f>
        <v>0</v>
      </c>
      <c r="Y68" s="2">
        <f>IFERROR((VLOOKUP($BO$1&amp;C4,TeamsProPlayer!D:M,4,0)),0)</f>
        <v>0</v>
      </c>
      <c r="Z68" s="2">
        <f>IFERROR((VLOOKUP($BO$1&amp;C4,TeamsProPlayer!D:M,5,0)),0)</f>
        <v>0</v>
      </c>
      <c r="AA68" s="2">
        <f>IFERROR((VLOOKUP($BO$1&amp;C4,TeamsProPlayer!D:M,6,0)),0)</f>
        <v>0</v>
      </c>
      <c r="AB68" s="2"/>
      <c r="AC68" s="2">
        <f t="shared" si="60"/>
        <v>0</v>
      </c>
      <c r="AD68" s="2">
        <f t="shared" si="61"/>
        <v>0</v>
      </c>
      <c r="AE68" s="2">
        <f t="shared" si="62"/>
        <v>0</v>
      </c>
      <c r="AF68" s="2">
        <f t="shared" si="63"/>
        <v>0</v>
      </c>
      <c r="AG68" s="2">
        <f t="shared" si="64"/>
        <v>0</v>
      </c>
      <c r="AH68" s="2"/>
      <c r="AI68" s="2">
        <v>-1</v>
      </c>
      <c r="AJ68" s="2"/>
      <c r="AK68" s="1">
        <f t="shared" si="65"/>
        <v>0</v>
      </c>
      <c r="AL68" s="1">
        <f t="shared" si="66"/>
        <v>0</v>
      </c>
      <c r="AM68" s="1">
        <f t="shared" si="67"/>
        <v>0</v>
      </c>
      <c r="AN68" s="1">
        <f t="shared" si="68"/>
        <v>0</v>
      </c>
      <c r="AO68" s="1">
        <f t="shared" si="69"/>
        <v>0</v>
      </c>
      <c r="AP68" s="2"/>
      <c r="AQ68" s="13">
        <v>3</v>
      </c>
      <c r="AR68" s="12">
        <v>610000</v>
      </c>
      <c r="AS68" s="12">
        <v>30000</v>
      </c>
      <c r="AT68" s="76" t="str">
        <f>IF(J24="English","-1 ST",(IF(J24="Español","-1 FU",(IF(J24="Deutsch","-1 ST",(IF(J24="Français","-1 F")))))))</f>
        <v>-1 FU</v>
      </c>
      <c r="AU68" s="1"/>
      <c r="AV68" s="1"/>
      <c r="AW68" s="1"/>
      <c r="AX68" s="78">
        <v>0</v>
      </c>
      <c r="AY68" s="78">
        <v>1</v>
      </c>
      <c r="AZ68" s="2"/>
      <c r="BA68" s="2" t="s">
        <v>215</v>
      </c>
      <c r="BB68" s="2"/>
      <c r="BC68" s="2"/>
      <c r="BD68" s="72" t="s">
        <v>1049</v>
      </c>
      <c r="BE68" s="73">
        <f>IFERROR((IF(COUNTIF($BU$2,"*ElvenKingdomsLeague*"),40000,0)),0)</f>
        <v>0</v>
      </c>
      <c r="BH68" s="72" t="s">
        <v>1058</v>
      </c>
      <c r="BI68" s="73">
        <f>IFERROR((IF(OR(COUNTIF($BU$2,"*ElvenKingdomsLeague*")),150000,0)),0)</f>
        <v>0</v>
      </c>
      <c r="BK68" s="73"/>
      <c r="BL68" s="72" t="s">
        <v>1069</v>
      </c>
      <c r="BM68" s="73">
        <f>IFERROR(IF($BV$2="Bribery and Corruption",80000,120000),0)</f>
        <v>80000</v>
      </c>
      <c r="BN68" s="73"/>
      <c r="BO68" s="72" t="s">
        <v>1074</v>
      </c>
      <c r="BP68" s="73">
        <f>IFERROR(IF(COUNTIF($BU$2,"*HalflingThimbleCup*"),60000,(IF(COUNTIF($BU$2,"*OldWorldClassic*"),80000,0))),0)</f>
        <v>0</v>
      </c>
      <c r="BR68" s="72" t="s">
        <v>1082</v>
      </c>
      <c r="BS68" s="21" t="str">
        <f t="shared" si="70"/>
        <v/>
      </c>
      <c r="BT68" s="21" t="str">
        <f t="shared" si="70"/>
        <v/>
      </c>
      <c r="BU68" s="21" t="str">
        <f t="shared" si="70"/>
        <v/>
      </c>
      <c r="BV68" s="21" t="str">
        <f t="shared" si="70"/>
        <v/>
      </c>
      <c r="BW68" s="21" t="str">
        <f t="shared" si="70"/>
        <v/>
      </c>
      <c r="BX68" s="21" t="str">
        <f t="shared" si="70"/>
        <v/>
      </c>
      <c r="BY68" s="21" t="str">
        <f t="shared" si="70"/>
        <v/>
      </c>
      <c r="BZ68" s="21" t="str">
        <f t="shared" si="70"/>
        <v/>
      </c>
      <c r="CA68" s="46"/>
      <c r="CB68" s="1"/>
      <c r="CC68" s="21" t="str">
        <f t="shared" si="55"/>
        <v/>
      </c>
      <c r="CD68" s="21" t="str">
        <f t="shared" si="55"/>
        <v/>
      </c>
      <c r="CE68" s="2"/>
      <c r="CF68" s="2"/>
      <c r="CG68" s="2" t="str">
        <f t="shared" si="71"/>
        <v/>
      </c>
      <c r="CH68" s="2" t="str">
        <f t="shared" si="72"/>
        <v/>
      </c>
      <c r="CI68" s="2" t="str">
        <f t="shared" si="73"/>
        <v/>
      </c>
      <c r="CJ68" s="2" t="str">
        <f t="shared" si="74"/>
        <v/>
      </c>
      <c r="CK68" s="2" t="str">
        <f t="shared" si="75"/>
        <v/>
      </c>
      <c r="CL68" s="2" t="str">
        <f t="shared" si="76"/>
        <v/>
      </c>
      <c r="CM68" s="2" t="str">
        <f t="shared" si="77"/>
        <v/>
      </c>
      <c r="CN68" s="2" t="str">
        <f t="shared" si="78"/>
        <v/>
      </c>
      <c r="CO68" s="2" t="str">
        <f t="shared" si="79"/>
        <v/>
      </c>
      <c r="CP68" s="2" t="str">
        <f t="shared" si="80"/>
        <v/>
      </c>
      <c r="CQ68" s="2" t="str">
        <f t="shared" si="81"/>
        <v/>
      </c>
      <c r="CR68" s="2" t="str">
        <f t="shared" si="82"/>
        <v/>
      </c>
      <c r="CS68" s="2" t="str">
        <f t="shared" si="83"/>
        <v/>
      </c>
      <c r="CT68" s="2" t="str">
        <f t="shared" si="84"/>
        <v/>
      </c>
      <c r="CU68" s="2" t="str">
        <f t="shared" si="85"/>
        <v/>
      </c>
      <c r="CV68" s="2" t="str">
        <f t="shared" si="86"/>
        <v/>
      </c>
      <c r="CW68" s="2"/>
      <c r="CX68" s="2"/>
      <c r="CY68" s="2"/>
      <c r="CZ68" s="2"/>
    </row>
    <row r="69" spans="2:104" ht="15" hidden="1" customHeight="1" x14ac:dyDescent="0.2">
      <c r="B69" s="122" t="str">
        <f>IF(Q37&lt;AY65,(IF(J24="Italiano","TROPPE ABILITÀ SECONDARIE!   ",IF(J24="Español","¡DEMASIADAS HABILIDADES SECUNDARIAS!   ",(IF(J24="Deutsch","ZU VIELE SEKUNDÄRE FERTIGKEITEN!   ",(IF(J24="Français","TROP DE COMP SECONDAIRES!   ","TOO MANY SECONDARY SKILLS!   "))))))),"")</f>
        <v/>
      </c>
      <c r="C69" s="123"/>
      <c r="D69" s="123"/>
      <c r="E69" s="123"/>
      <c r="F69" s="123"/>
      <c r="G69" s="2"/>
      <c r="H69" s="2"/>
      <c r="I69" s="2"/>
      <c r="J69" s="2"/>
      <c r="K69" s="2">
        <f t="shared" si="56"/>
        <v>0</v>
      </c>
      <c r="L69" s="2">
        <f t="shared" si="57"/>
        <v>0</v>
      </c>
      <c r="M69" s="2">
        <f t="shared" si="58"/>
        <v>0</v>
      </c>
      <c r="N69" s="2">
        <f t="shared" si="58"/>
        <v>0</v>
      </c>
      <c r="O69" s="2">
        <f t="shared" si="59"/>
        <v>0</v>
      </c>
      <c r="P69" s="2" t="s">
        <v>216</v>
      </c>
      <c r="Q69" s="1">
        <f>IFERROR((VLOOKUP($BO$1&amp;C5,TeamsProPlayer!D:M,2,0)+AK69+AC69),0)</f>
        <v>0</v>
      </c>
      <c r="R69" s="1">
        <f>IFERROR((VLOOKUP($BO$1&amp;C5,TeamsProPlayer!D:M,3,0)+AL69+AD69),0)</f>
        <v>0</v>
      </c>
      <c r="S69" s="1">
        <f>IFERROR((VLOOKUP($BO$1&amp;C5,TeamsProPlayer!D:M,4,0)+AM69-AE69),0)</f>
        <v>0</v>
      </c>
      <c r="T69" s="1">
        <f>IFERROR((VLOOKUP($BO$1&amp;C5,TeamsProPlayer!D:M,5,0)+AN69-AF69),0)</f>
        <v>0</v>
      </c>
      <c r="U69" s="1">
        <f>IFERROR((VLOOKUP($BO$1&amp;C5,TeamsProPlayer!D:M,6,0)+AO69+AG69),0)</f>
        <v>0</v>
      </c>
      <c r="V69" s="2"/>
      <c r="W69" s="2">
        <f>IFERROR((VLOOKUP($BO$1&amp;C5,TeamsProPlayer!D:M,2,0)),0)</f>
        <v>0</v>
      </c>
      <c r="X69" s="2">
        <f>IFERROR((VLOOKUP($BO$1&amp;C5,TeamsProPlayer!D:M,3,0)),0)</f>
        <v>0</v>
      </c>
      <c r="Y69" s="2">
        <f>IFERROR((VLOOKUP($BO$1&amp;C5,TeamsProPlayer!D:M,4,0)),0)</f>
        <v>0</v>
      </c>
      <c r="Z69" s="2">
        <f>IFERROR((VLOOKUP($BO$1&amp;C5,TeamsProPlayer!D:M,5,0)),0)</f>
        <v>0</v>
      </c>
      <c r="AA69" s="2">
        <f>IFERROR((VLOOKUP($BO$1&amp;C5,TeamsProPlayer!D:M,6,0)),0)</f>
        <v>0</v>
      </c>
      <c r="AB69" s="5"/>
      <c r="AC69" s="2">
        <f t="shared" si="60"/>
        <v>0</v>
      </c>
      <c r="AD69" s="2">
        <f t="shared" si="61"/>
        <v>0</v>
      </c>
      <c r="AE69" s="2">
        <f t="shared" si="62"/>
        <v>0</v>
      </c>
      <c r="AF69" s="2">
        <f t="shared" si="63"/>
        <v>0</v>
      </c>
      <c r="AG69" s="2">
        <f t="shared" si="64"/>
        <v>0</v>
      </c>
      <c r="AH69" s="5"/>
      <c r="AI69" s="2">
        <v>-2</v>
      </c>
      <c r="AJ69" s="2"/>
      <c r="AK69" s="1">
        <f t="shared" si="65"/>
        <v>0</v>
      </c>
      <c r="AL69" s="1">
        <f t="shared" si="66"/>
        <v>0</v>
      </c>
      <c r="AM69" s="1">
        <f t="shared" si="67"/>
        <v>0</v>
      </c>
      <c r="AN69" s="1">
        <f t="shared" si="68"/>
        <v>0</v>
      </c>
      <c r="AO69" s="1">
        <f t="shared" si="69"/>
        <v>0</v>
      </c>
      <c r="AP69" s="5"/>
      <c r="AQ69" s="12">
        <v>4</v>
      </c>
      <c r="AR69" s="12">
        <v>615000</v>
      </c>
      <c r="AS69" s="12">
        <v>40000</v>
      </c>
      <c r="AT69" s="76" t="str">
        <f>IF(J24="English","-2 ST",(IF(J24="Español","-2 FU",(IF(J24="Deutsch","-2 ST",(IF(J24="Français","-2 F")))))))</f>
        <v>-2 FU</v>
      </c>
      <c r="AU69" s="1"/>
      <c r="AV69" s="1"/>
      <c r="AW69" s="1"/>
      <c r="AX69" s="78">
        <v>1</v>
      </c>
      <c r="AY69" s="78">
        <v>2</v>
      </c>
      <c r="AZ69" s="2" t="s">
        <v>216</v>
      </c>
      <c r="BA69" s="2" t="s">
        <v>217</v>
      </c>
      <c r="BB69" s="2"/>
      <c r="BC69" s="2"/>
      <c r="BD69" s="72" t="s">
        <v>1050</v>
      </c>
      <c r="BE69" s="73">
        <f>IFERROR((IF(COUNTIF($BU$2,"*UnderworldChallenge*"),70000,0)),0)</f>
        <v>0</v>
      </c>
      <c r="BH69" s="72" t="s">
        <v>1059</v>
      </c>
      <c r="BI69" s="73">
        <f>IFERROR((IF(OR(COUNTIF($BU$2,"*LustrianSuperleague*")),200000,0)),0)</f>
        <v>0</v>
      </c>
      <c r="BK69" s="73"/>
      <c r="BL69" s="72" t="s">
        <v>1070</v>
      </c>
      <c r="BM69" s="73">
        <f>IFERROR((IF(OR(COUNTIF($BU$2,"*HalflingThimbleCup*")),40000,80000)),0)</f>
        <v>80000</v>
      </c>
      <c r="BN69" s="73"/>
      <c r="BO69" s="72" t="s">
        <v>1075</v>
      </c>
      <c r="BP69" s="73">
        <f>IFERROR(IF(COUNTIF($BU$2,"*HalflingThimbleCup*"),30000,(IF(COUNTIF($BU$2,"*OldWorldClassic*"),40000,0))),0)</f>
        <v>0</v>
      </c>
      <c r="BR69" s="72"/>
      <c r="BS69" s="21" t="str">
        <f t="shared" si="70"/>
        <v/>
      </c>
      <c r="BT69" s="21" t="str">
        <f t="shared" si="70"/>
        <v/>
      </c>
      <c r="BU69" s="21" t="str">
        <f t="shared" si="70"/>
        <v/>
      </c>
      <c r="BV69" s="21" t="str">
        <f t="shared" si="70"/>
        <v/>
      </c>
      <c r="BW69" s="21" t="str">
        <f t="shared" si="70"/>
        <v/>
      </c>
      <c r="BX69" s="21" t="str">
        <f t="shared" si="70"/>
        <v/>
      </c>
      <c r="BY69" s="21" t="str">
        <f t="shared" si="70"/>
        <v/>
      </c>
      <c r="BZ69" s="21" t="str">
        <f t="shared" si="70"/>
        <v/>
      </c>
      <c r="CA69" s="124" t="s">
        <v>1474</v>
      </c>
      <c r="CB69" s="125"/>
      <c r="CC69" s="21" t="str">
        <f t="shared" si="55"/>
        <v/>
      </c>
      <c r="CD69" s="21" t="str">
        <f t="shared" si="55"/>
        <v/>
      </c>
      <c r="CE69" s="2"/>
      <c r="CF69" s="2"/>
      <c r="CG69" s="2" t="str">
        <f t="shared" si="71"/>
        <v/>
      </c>
      <c r="CH69" s="2" t="str">
        <f t="shared" si="72"/>
        <v/>
      </c>
      <c r="CI69" s="2" t="str">
        <f t="shared" si="73"/>
        <v/>
      </c>
      <c r="CJ69" s="2" t="str">
        <f t="shared" si="74"/>
        <v/>
      </c>
      <c r="CK69" s="2" t="str">
        <f t="shared" si="75"/>
        <v/>
      </c>
      <c r="CL69" s="2" t="str">
        <f t="shared" si="76"/>
        <v/>
      </c>
      <c r="CM69" s="2" t="str">
        <f t="shared" si="77"/>
        <v/>
      </c>
      <c r="CN69" s="2" t="str">
        <f t="shared" si="78"/>
        <v/>
      </c>
      <c r="CO69" s="2" t="str">
        <f t="shared" si="79"/>
        <v/>
      </c>
      <c r="CP69" s="2" t="str">
        <f t="shared" si="80"/>
        <v/>
      </c>
      <c r="CQ69" s="2" t="str">
        <f t="shared" si="81"/>
        <v/>
      </c>
      <c r="CR69" s="2" t="str">
        <f t="shared" si="82"/>
        <v/>
      </c>
      <c r="CS69" s="2" t="str">
        <f t="shared" si="83"/>
        <v/>
      </c>
      <c r="CT69" s="2" t="str">
        <f t="shared" si="84"/>
        <v/>
      </c>
      <c r="CU69" s="2" t="str">
        <f t="shared" si="85"/>
        <v/>
      </c>
      <c r="CV69" s="2" t="str">
        <f t="shared" si="86"/>
        <v/>
      </c>
      <c r="CW69" s="2"/>
      <c r="CX69" s="2"/>
      <c r="CY69" s="2"/>
      <c r="CZ69" s="2"/>
    </row>
    <row r="70" spans="2:104" ht="15" hidden="1" customHeight="1" x14ac:dyDescent="0.2">
      <c r="B70" s="122" t="str">
        <f>IF(AR44&lt;11,(IF(J24="Italiano","SERVONO 11 GIOCATORI!   ",IF(J24="Español","¡NECESITAS 11 JUGADORES!   ",(IF(J24="Deutsch","MAN BRAUCHT 11 SPIELER!   ",(IF(J24="Français","IL FAUT 11 JOUEURS!   ","YOU NEED 11 PLAYERS!   "))))))),"")</f>
        <v xml:space="preserve">¡NECESITAS 11 JUGADORES!   </v>
      </c>
      <c r="C70" s="123"/>
      <c r="D70" s="123"/>
      <c r="E70" s="123"/>
      <c r="F70" s="123"/>
      <c r="G70" s="2"/>
      <c r="H70" s="2"/>
      <c r="I70" s="2"/>
      <c r="J70" s="2"/>
      <c r="K70" s="2">
        <f t="shared" si="56"/>
        <v>0</v>
      </c>
      <c r="L70" s="2">
        <f t="shared" si="57"/>
        <v>0</v>
      </c>
      <c r="M70" s="2">
        <f t="shared" si="58"/>
        <v>0</v>
      </c>
      <c r="N70" s="2">
        <f t="shared" si="58"/>
        <v>0</v>
      </c>
      <c r="O70" s="2">
        <f t="shared" si="59"/>
        <v>0</v>
      </c>
      <c r="P70" s="2"/>
      <c r="Q70" s="1">
        <f>IFERROR((VLOOKUP($BO$1&amp;C6,TeamsProPlayer!D:M,2,0)+AK70+AC70),0)</f>
        <v>0</v>
      </c>
      <c r="R70" s="1">
        <f>IFERROR((VLOOKUP($BO$1&amp;C6,TeamsProPlayer!D:M,3,0)+AL70+AD70),0)</f>
        <v>0</v>
      </c>
      <c r="S70" s="1">
        <f>IFERROR((VLOOKUP($BO$1&amp;C6,TeamsProPlayer!D:M,4,0)+AM70-AE70),0)</f>
        <v>0</v>
      </c>
      <c r="T70" s="1">
        <f>IFERROR((VLOOKUP($BO$1&amp;C6,TeamsProPlayer!D:M,5,0)+AN70-AF70),0)</f>
        <v>0</v>
      </c>
      <c r="U70" s="1">
        <f>IFERROR((VLOOKUP($BO$1&amp;C6,TeamsProPlayer!D:M,6,0)+AO70+AG70),0)</f>
        <v>0</v>
      </c>
      <c r="V70" s="2"/>
      <c r="W70" s="2">
        <f>IFERROR((VLOOKUP($BO$1&amp;C6,TeamsProPlayer!D:M,2,0)),0)</f>
        <v>0</v>
      </c>
      <c r="X70" s="2">
        <f>IFERROR((VLOOKUP($BO$1&amp;C6,TeamsProPlayer!D:M,3,0)),0)</f>
        <v>0</v>
      </c>
      <c r="Y70" s="2">
        <f>IFERROR((VLOOKUP($BO$1&amp;C6,TeamsProPlayer!D:M,4,0)),0)</f>
        <v>0</v>
      </c>
      <c r="Z70" s="2">
        <f>IFERROR((VLOOKUP($BO$1&amp;C6,TeamsProPlayer!D:M,5,0)),0)</f>
        <v>0</v>
      </c>
      <c r="AA70" s="2">
        <f>IFERROR((VLOOKUP($BO$1&amp;C6,TeamsProPlayer!D:M,6,0)),0)</f>
        <v>0</v>
      </c>
      <c r="AB70" s="2"/>
      <c r="AC70" s="2">
        <f t="shared" si="60"/>
        <v>0</v>
      </c>
      <c r="AD70" s="2">
        <f t="shared" si="61"/>
        <v>0</v>
      </c>
      <c r="AE70" s="2">
        <f t="shared" si="62"/>
        <v>0</v>
      </c>
      <c r="AF70" s="2">
        <f t="shared" si="63"/>
        <v>0</v>
      </c>
      <c r="AG70" s="2">
        <f t="shared" si="64"/>
        <v>0</v>
      </c>
      <c r="AH70" s="2"/>
      <c r="AI70" s="79" t="s">
        <v>216</v>
      </c>
      <c r="AJ70" s="2"/>
      <c r="AK70" s="1">
        <f t="shared" si="65"/>
        <v>0</v>
      </c>
      <c r="AL70" s="1">
        <f t="shared" si="66"/>
        <v>0</v>
      </c>
      <c r="AM70" s="1">
        <f t="shared" si="67"/>
        <v>0</v>
      </c>
      <c r="AN70" s="1">
        <f t="shared" si="68"/>
        <v>0</v>
      </c>
      <c r="AO70" s="1">
        <f t="shared" si="69"/>
        <v>0</v>
      </c>
      <c r="AP70" s="2"/>
      <c r="AQ70" s="13">
        <v>5</v>
      </c>
      <c r="AR70" s="12">
        <v>620000</v>
      </c>
      <c r="AS70" s="12">
        <v>50000</v>
      </c>
      <c r="AT70" s="76" t="str">
        <f>IF(J24="English","1 PA",(IF(J24="Español","1 PA",(IF(J24="Deutsch","1 WG",(IF(J24="Français","1 CP")))))))</f>
        <v>1 PA</v>
      </c>
      <c r="AU70" s="1"/>
      <c r="AV70" s="1"/>
      <c r="AW70" s="1"/>
      <c r="AX70" s="78">
        <v>2</v>
      </c>
      <c r="AY70" s="78">
        <v>3</v>
      </c>
      <c r="AZ70" s="2"/>
      <c r="BA70" s="2" t="s">
        <v>218</v>
      </c>
      <c r="BB70" s="2"/>
      <c r="BC70" s="2"/>
      <c r="BD70" s="72" t="s">
        <v>1051</v>
      </c>
      <c r="BE70" s="73">
        <v>100000</v>
      </c>
      <c r="BH70" s="72" t="s">
        <v>1060</v>
      </c>
      <c r="BI70" s="73">
        <f>IFERROR((IF(OR(COUNTIF(BO2,"*Nurgle*"),COUNTIF($BU$2,"*UnderworldChallenge*")),150000,0)),0)</f>
        <v>0</v>
      </c>
      <c r="BK70" s="73"/>
      <c r="BL70" s="73"/>
      <c r="BM70" s="2"/>
      <c r="BN70" s="73"/>
      <c r="BO70" s="72" t="s">
        <v>1076</v>
      </c>
      <c r="BP70" s="73">
        <f>IFERROR((IF(OR(COUNTIF(BO2,"*Halfling*"),COUNTIF(J23,"*Goblin*"),COUNTIF(J23,"*Ogre*"),COUNTIF(J23,"*Snotling*")),30000,0)),0)</f>
        <v>0</v>
      </c>
      <c r="BR70" s="72"/>
      <c r="BS70" s="21" t="str">
        <f t="shared" si="70"/>
        <v/>
      </c>
      <c r="BT70" s="21" t="str">
        <f t="shared" si="70"/>
        <v/>
      </c>
      <c r="BU70" s="21" t="str">
        <f t="shared" si="70"/>
        <v/>
      </c>
      <c r="BV70" s="21" t="str">
        <f t="shared" si="70"/>
        <v/>
      </c>
      <c r="BW70" s="21" t="str">
        <f t="shared" si="70"/>
        <v/>
      </c>
      <c r="BX70" s="21" t="str">
        <f t="shared" si="70"/>
        <v/>
      </c>
      <c r="BY70" s="21" t="str">
        <f t="shared" si="70"/>
        <v/>
      </c>
      <c r="BZ70" s="21" t="str">
        <f t="shared" si="70"/>
        <v/>
      </c>
      <c r="CA70" s="21" t="str">
        <f t="shared" si="70"/>
        <v/>
      </c>
      <c r="CB70" s="21" t="str">
        <f t="shared" si="70"/>
        <v/>
      </c>
      <c r="CC70" s="21" t="str">
        <f>IF($J$24="Español","Agallas",(IF($J$24="Deutsch","Abwehren",(IF($J$24="Français","Arracher le ballon","Block")))))</f>
        <v>Agallas</v>
      </c>
      <c r="CD70" s="2" t="s">
        <v>167</v>
      </c>
      <c r="CE70" s="80"/>
      <c r="CF70" s="2"/>
      <c r="CG70" s="2" t="str">
        <f t="shared" si="71"/>
        <v/>
      </c>
      <c r="CH70" s="2" t="str">
        <f t="shared" si="72"/>
        <v/>
      </c>
      <c r="CI70" s="2" t="str">
        <f t="shared" si="73"/>
        <v/>
      </c>
      <c r="CJ70" s="2" t="str">
        <f t="shared" si="74"/>
        <v/>
      </c>
      <c r="CK70" s="2" t="str">
        <f t="shared" si="75"/>
        <v/>
      </c>
      <c r="CL70" s="2" t="str">
        <f t="shared" si="76"/>
        <v/>
      </c>
      <c r="CM70" s="2" t="str">
        <f t="shared" si="77"/>
        <v/>
      </c>
      <c r="CN70" s="2" t="str">
        <f t="shared" si="78"/>
        <v/>
      </c>
      <c r="CO70" s="2" t="str">
        <f t="shared" si="79"/>
        <v/>
      </c>
      <c r="CP70" s="2" t="str">
        <f t="shared" si="80"/>
        <v/>
      </c>
      <c r="CQ70" s="2" t="str">
        <f t="shared" si="81"/>
        <v/>
      </c>
      <c r="CR70" s="2" t="str">
        <f t="shared" si="82"/>
        <v/>
      </c>
      <c r="CS70" s="2" t="str">
        <f t="shared" si="83"/>
        <v/>
      </c>
      <c r="CT70" s="2" t="str">
        <f t="shared" si="84"/>
        <v/>
      </c>
      <c r="CU70" s="2" t="str">
        <f t="shared" si="85"/>
        <v/>
      </c>
      <c r="CV70" s="2" t="str">
        <f t="shared" si="86"/>
        <v/>
      </c>
      <c r="CW70" s="2"/>
      <c r="CX70" s="2"/>
      <c r="CY70" s="2"/>
      <c r="CZ70" s="2"/>
    </row>
    <row r="71" spans="2:104" ht="15" hidden="1" customHeight="1" x14ac:dyDescent="0.2">
      <c r="B71" s="122" t="str">
        <f>(IF(J21&lt;&gt;"","",(IF(J24="Italiano","È NECESSARIO INSERIRE IL NOME DELL'ALLENATORE!   ",IF(J24="Español","¡DEBES PONER EL NOMBRE DEL ENTRENADOR!   ",(IF(J24="Deutsch","SIE MÜSSEN DEN NAMEN DES AUSBILDERS ANGEBEN!   ",(IF(J24="Français","VOUS DEVEZ INDIQUER LE NOM DU FORMATEUR!   ","YOU MUST PUT THE NAME OF THE COACH!   ")))))))))&amp;(IF(J22&lt;&gt;"","",(IF(J24="Italiano","È NECESSARIO INSERIRE IL NUMERO NAF (se non lo avete mettete 0)!   ",IF(J24="Español","¡DEBES PONER EL NUMERO NAF (si no tienes pon 0)!   ",(IF(J24="Deutsch","SIE MÜSSEN DIE NAF-NUMMER EINGEBEN (wenn Sie sie nicht haben, geben Sie 0 ein)!   ",(IF(J24="Français","VOUS DEVEZ INSCRIRE LE NUMÉRO NAF (si vous ne l'avez pas, mettez 0)!   ","YOU MUST PUT IN THE NAF NUMBER (if you don't have it put 0)!   ")))))))))</f>
        <v xml:space="preserve">¡DEBES PONER EL NOMBRE DEL ENTRENADOR!   ¡DEBES PONER EL NUMERO NAF (si no tienes pon 0)!   </v>
      </c>
      <c r="C71" s="123"/>
      <c r="D71" s="123"/>
      <c r="E71" s="123"/>
      <c r="F71" s="123"/>
      <c r="G71" s="2"/>
      <c r="H71" s="2"/>
      <c r="I71" s="2"/>
      <c r="J71" s="2"/>
      <c r="K71" s="2">
        <f t="shared" si="56"/>
        <v>0</v>
      </c>
      <c r="L71" s="2">
        <f t="shared" si="57"/>
        <v>0</v>
      </c>
      <c r="M71" s="2">
        <f t="shared" si="58"/>
        <v>0</v>
      </c>
      <c r="N71" s="2">
        <f t="shared" si="58"/>
        <v>0</v>
      </c>
      <c r="O71" s="2">
        <f t="shared" si="59"/>
        <v>0</v>
      </c>
      <c r="P71" s="2"/>
      <c r="Q71" s="1">
        <f>IFERROR((VLOOKUP($BO$1&amp;C7,TeamsProPlayer!D:M,2,0)+AK71+AC71),0)</f>
        <v>0</v>
      </c>
      <c r="R71" s="1">
        <f>IFERROR((VLOOKUP($BO$1&amp;C7,TeamsProPlayer!D:M,3,0)+AL71+AD71),0)</f>
        <v>0</v>
      </c>
      <c r="S71" s="1">
        <f>IFERROR((VLOOKUP($BO$1&amp;C7,TeamsProPlayer!D:M,4,0)+AM71-AE71),0)</f>
        <v>0</v>
      </c>
      <c r="T71" s="1">
        <f>IFERROR((VLOOKUP($BO$1&amp;C7,TeamsProPlayer!D:M,5,0)+AN71-AF71),0)</f>
        <v>0</v>
      </c>
      <c r="U71" s="1">
        <f>IFERROR((VLOOKUP($BO$1&amp;C7,TeamsProPlayer!D:M,6,0)+AO71+AG71),0)</f>
        <v>0</v>
      </c>
      <c r="V71" s="2"/>
      <c r="W71" s="2">
        <f>IFERROR((VLOOKUP($BO$1&amp;C7,TeamsProPlayer!D:M,2,0)),0)</f>
        <v>0</v>
      </c>
      <c r="X71" s="2">
        <f>IFERROR((VLOOKUP($BO$1&amp;C7,TeamsProPlayer!D:M,3,0)),0)</f>
        <v>0</v>
      </c>
      <c r="Y71" s="2">
        <f>IFERROR((VLOOKUP($BO$1&amp;C7,TeamsProPlayer!D:M,4,0)),0)</f>
        <v>0</v>
      </c>
      <c r="Z71" s="2">
        <f>IFERROR((VLOOKUP($BO$1&amp;C7,TeamsProPlayer!D:M,5,0)),0)</f>
        <v>0</v>
      </c>
      <c r="AA71" s="2">
        <f>IFERROR((VLOOKUP($BO$1&amp;C7,TeamsProPlayer!D:M,6,0)),0)</f>
        <v>0</v>
      </c>
      <c r="AB71" s="2"/>
      <c r="AC71" s="2">
        <f t="shared" si="60"/>
        <v>0</v>
      </c>
      <c r="AD71" s="2">
        <f t="shared" si="61"/>
        <v>0</v>
      </c>
      <c r="AE71" s="2">
        <f t="shared" si="62"/>
        <v>0</v>
      </c>
      <c r="AF71" s="2">
        <f t="shared" si="63"/>
        <v>0</v>
      </c>
      <c r="AG71" s="2">
        <f t="shared" si="64"/>
        <v>0</v>
      </c>
      <c r="AH71" s="2"/>
      <c r="AI71" s="2">
        <v>0</v>
      </c>
      <c r="AJ71" s="2"/>
      <c r="AK71" s="1">
        <f t="shared" si="65"/>
        <v>0</v>
      </c>
      <c r="AL71" s="1">
        <f t="shared" si="66"/>
        <v>0</v>
      </c>
      <c r="AM71" s="1">
        <f t="shared" si="67"/>
        <v>0</v>
      </c>
      <c r="AN71" s="1">
        <f t="shared" si="68"/>
        <v>0</v>
      </c>
      <c r="AO71" s="1">
        <f t="shared" si="69"/>
        <v>0</v>
      </c>
      <c r="AP71" s="2"/>
      <c r="AQ71" s="13">
        <v>6</v>
      </c>
      <c r="AR71" s="12">
        <v>625000</v>
      </c>
      <c r="AS71" s="12">
        <v>60000</v>
      </c>
      <c r="AT71" s="76" t="str">
        <f>IF(J24="English","2 PA",(IF(J24="Español","2 PA",(IF(J24="Deutsch","2 WG",(IF(J24="Français","2 CP")))))))</f>
        <v>2 PA</v>
      </c>
      <c r="AU71" s="1"/>
      <c r="AV71" s="1"/>
      <c r="AW71" s="1"/>
      <c r="AX71" s="78">
        <v>3</v>
      </c>
      <c r="AY71" s="78">
        <v>4</v>
      </c>
      <c r="AZ71" s="2"/>
      <c r="BA71" s="21" t="s">
        <v>1040</v>
      </c>
      <c r="BB71" s="2"/>
      <c r="BC71" s="2"/>
      <c r="BD71" s="72" t="s">
        <v>1052</v>
      </c>
      <c r="BE71" s="73">
        <f>IFERROR((IF(COUNTIF($BU$2,"*SylvanianSpotlight*"),130000,0)),0)</f>
        <v>0</v>
      </c>
      <c r="BH71" s="72" t="s">
        <v>1061</v>
      </c>
      <c r="BI71" s="73">
        <f>IFERROR((IF(COUNTIF($BU$2,"*SylvanianSpotlight*"),150000,0)),0)</f>
        <v>0</v>
      </c>
      <c r="BK71" s="73"/>
      <c r="BL71" s="73"/>
      <c r="BM71" s="2"/>
      <c r="BN71" s="73"/>
      <c r="BO71" s="72" t="s">
        <v>1077</v>
      </c>
      <c r="BP71" s="73">
        <v>30000</v>
      </c>
      <c r="BR71" s="74"/>
      <c r="BS71" s="21" t="str">
        <f t="shared" si="70"/>
        <v/>
      </c>
      <c r="BT71" s="21" t="str">
        <f t="shared" si="70"/>
        <v/>
      </c>
      <c r="BU71" s="21" t="str">
        <f t="shared" si="70"/>
        <v/>
      </c>
      <c r="BV71" s="21" t="str">
        <f t="shared" si="70"/>
        <v/>
      </c>
      <c r="BW71" s="21" t="str">
        <f t="shared" si="70"/>
        <v/>
      </c>
      <c r="BX71" s="21" t="str">
        <f t="shared" si="70"/>
        <v/>
      </c>
      <c r="BY71" s="21" t="str">
        <f t="shared" si="70"/>
        <v/>
      </c>
      <c r="BZ71" s="21" t="str">
        <f t="shared" si="70"/>
        <v/>
      </c>
      <c r="CA71" s="21" t="str">
        <f t="shared" si="70"/>
        <v/>
      </c>
      <c r="CB71" s="21" t="str">
        <f t="shared" si="70"/>
        <v/>
      </c>
      <c r="CC71" s="75" t="str">
        <f>IF($J$24="Español","Forcejear",(IF($J$24="Deutsch","Ball entreißen",(IF($J$24="Français","Blocage","Dauntless")))))</f>
        <v>Forcejear</v>
      </c>
      <c r="CD71" s="2" t="s">
        <v>167</v>
      </c>
      <c r="CE71" s="80"/>
      <c r="CF71" s="2"/>
      <c r="CG71" s="2" t="str">
        <f t="shared" si="71"/>
        <v/>
      </c>
      <c r="CH71" s="2" t="str">
        <f t="shared" si="72"/>
        <v/>
      </c>
      <c r="CI71" s="2" t="str">
        <f t="shared" si="73"/>
        <v/>
      </c>
      <c r="CJ71" s="2" t="str">
        <f t="shared" si="74"/>
        <v/>
      </c>
      <c r="CK71" s="2" t="str">
        <f t="shared" si="75"/>
        <v/>
      </c>
      <c r="CL71" s="2" t="str">
        <f t="shared" si="76"/>
        <v/>
      </c>
      <c r="CM71" s="2" t="str">
        <f t="shared" si="77"/>
        <v/>
      </c>
      <c r="CN71" s="2" t="str">
        <f t="shared" si="78"/>
        <v/>
      </c>
      <c r="CO71" s="2" t="str">
        <f t="shared" si="79"/>
        <v/>
      </c>
      <c r="CP71" s="2" t="str">
        <f t="shared" si="80"/>
        <v/>
      </c>
      <c r="CQ71" s="2" t="str">
        <f t="shared" si="81"/>
        <v/>
      </c>
      <c r="CR71" s="2" t="str">
        <f t="shared" si="82"/>
        <v/>
      </c>
      <c r="CS71" s="2" t="str">
        <f t="shared" si="83"/>
        <v/>
      </c>
      <c r="CT71" s="2" t="str">
        <f t="shared" si="84"/>
        <v/>
      </c>
      <c r="CU71" s="2" t="str">
        <f t="shared" si="85"/>
        <v/>
      </c>
      <c r="CV71" s="2" t="str">
        <f t="shared" si="86"/>
        <v/>
      </c>
      <c r="CW71" s="2"/>
      <c r="CX71" s="2"/>
      <c r="CY71" s="2"/>
      <c r="CZ71" s="2"/>
    </row>
    <row r="72" spans="2:104" ht="15" hidden="1" customHeight="1" x14ac:dyDescent="0.2">
      <c r="B72" s="122" t="str">
        <f>IF(BJ62&gt;0,(IF(J24="Italiano","NON SI PUÒ IMPILARE CON UN'ABILITÀ SECONDARIA!   ",IF(J24="Español","¡NO PUEDES APILAR CON UNA HABILIDAD SECUNDARIA!   ",(IF(J24="Deutsch","KANN MAN NICHT MIT EINER SEKUNDÄREN FERTIGKEIT STAPELN!   ",(IF(J24="Français","IL N'EST PAS POSSIBLE DE L'EMPILER AVEC UNE COMPÉTENCE SECONDAIRE!   ","YOU CAN'T STACK WITH A SECONDARY SKILL!   "))))))),"")</f>
        <v/>
      </c>
      <c r="C72" s="123"/>
      <c r="D72" s="123"/>
      <c r="E72" s="123"/>
      <c r="F72" s="123"/>
      <c r="G72" s="2"/>
      <c r="H72" s="2"/>
      <c r="I72" s="2"/>
      <c r="J72" s="2"/>
      <c r="K72" s="2">
        <f t="shared" si="56"/>
        <v>0</v>
      </c>
      <c r="L72" s="2">
        <f t="shared" si="57"/>
        <v>0</v>
      </c>
      <c r="M72" s="2">
        <f t="shared" si="58"/>
        <v>0</v>
      </c>
      <c r="N72" s="2">
        <f t="shared" si="58"/>
        <v>0</v>
      </c>
      <c r="O72" s="2">
        <f t="shared" si="59"/>
        <v>0</v>
      </c>
      <c r="P72" s="2"/>
      <c r="Q72" s="1">
        <f>IFERROR((VLOOKUP($BO$1&amp;C8,TeamsProPlayer!D:M,2,0)+AK72+AC72),0)</f>
        <v>0</v>
      </c>
      <c r="R72" s="1">
        <f>IFERROR((VLOOKUP($BO$1&amp;C8,TeamsProPlayer!D:M,3,0)+AL72+AD72),0)</f>
        <v>0</v>
      </c>
      <c r="S72" s="1">
        <f>IFERROR((VLOOKUP($BO$1&amp;C8,TeamsProPlayer!D:M,4,0)+AM72-AE72),0)</f>
        <v>0</v>
      </c>
      <c r="T72" s="1">
        <f>IFERROR((VLOOKUP($BO$1&amp;C8,TeamsProPlayer!D:M,5,0)+AN72-AF72),0)</f>
        <v>0</v>
      </c>
      <c r="U72" s="1">
        <f>IFERROR((VLOOKUP($BO$1&amp;C8,TeamsProPlayer!D:M,6,0)+AO72+AG72),0)</f>
        <v>0</v>
      </c>
      <c r="V72" s="2"/>
      <c r="W72" s="2">
        <f>IFERROR((VLOOKUP($BO$1&amp;C8,TeamsProPlayer!D:M,2,0)),0)</f>
        <v>0</v>
      </c>
      <c r="X72" s="2">
        <f>IFERROR((VLOOKUP($BO$1&amp;C8,TeamsProPlayer!D:M,3,0)),0)</f>
        <v>0</v>
      </c>
      <c r="Y72" s="2">
        <f>IFERROR((VLOOKUP($BO$1&amp;C8,TeamsProPlayer!D:M,4,0)),0)</f>
        <v>0</v>
      </c>
      <c r="Z72" s="2">
        <f>IFERROR((VLOOKUP($BO$1&amp;C8,TeamsProPlayer!D:M,5,0)),0)</f>
        <v>0</v>
      </c>
      <c r="AA72" s="2">
        <f>IFERROR((VLOOKUP($BO$1&amp;C8,TeamsProPlayer!D:M,6,0)),0)</f>
        <v>0</v>
      </c>
      <c r="AB72" s="2"/>
      <c r="AC72" s="2">
        <f t="shared" si="60"/>
        <v>0</v>
      </c>
      <c r="AD72" s="2">
        <f t="shared" si="61"/>
        <v>0</v>
      </c>
      <c r="AE72" s="2">
        <f t="shared" si="62"/>
        <v>0</v>
      </c>
      <c r="AF72" s="2">
        <f t="shared" si="63"/>
        <v>0</v>
      </c>
      <c r="AG72" s="2">
        <f t="shared" si="64"/>
        <v>0</v>
      </c>
      <c r="AH72" s="2"/>
      <c r="AI72" s="2">
        <v>1</v>
      </c>
      <c r="AJ72" s="2"/>
      <c r="AK72" s="1">
        <f t="shared" si="65"/>
        <v>0</v>
      </c>
      <c r="AL72" s="1">
        <f t="shared" si="66"/>
        <v>0</v>
      </c>
      <c r="AM72" s="1">
        <f t="shared" si="67"/>
        <v>0</v>
      </c>
      <c r="AN72" s="1">
        <f t="shared" si="68"/>
        <v>0</v>
      </c>
      <c r="AO72" s="1">
        <f t="shared" si="69"/>
        <v>0</v>
      </c>
      <c r="AP72" s="2"/>
      <c r="AQ72" s="12">
        <v>7</v>
      </c>
      <c r="AR72" s="12">
        <v>630000</v>
      </c>
      <c r="AS72" s="12">
        <v>70000</v>
      </c>
      <c r="AT72" s="76" t="str">
        <f>IF(J24="English","1 AG",(IF(J24="Español","1 AG",(IF(J24="Deutsch","1 GE",(IF(J24="Français","1 AG")))))))</f>
        <v>1 AG</v>
      </c>
      <c r="AU72" s="1"/>
      <c r="AV72" s="1"/>
      <c r="AW72" s="1"/>
      <c r="AX72" s="78">
        <v>4</v>
      </c>
      <c r="AY72" s="78">
        <v>5</v>
      </c>
      <c r="AZ72" s="2"/>
      <c r="BA72" s="2"/>
      <c r="BB72" s="2"/>
      <c r="BC72" s="2"/>
      <c r="BD72" s="72" t="s">
        <v>1053</v>
      </c>
      <c r="BE72" s="73">
        <f>IFERROR((IF(OR(COUNTIF($BU$2,"*BadlandsBrawl*"),COUNTIF($BU$2,"*OldWorldClassic*"),COUNTIF($BU$2,"*UnderworldChallenge*")),80000,0)),0)</f>
        <v>80000</v>
      </c>
      <c r="BH72" s="74" t="str">
        <f>IF($J$24="Español","BRUJA MALVADA",(IF($J$24="Deutsch","VERRÜCKTE HEXE",(IF($J$24="Français","WICKED WITCH","WICKED WITCH")))))</f>
        <v>BRUJA MALVADA</v>
      </c>
      <c r="BI72" s="73">
        <f>IFERROR((IF(OR(COUNTIF($BU$2,"*OldWorldClassic*"),COUNTIF($BU$2,"*SylvanianSpotlight*"),COUNTIF($BU$2,"*UnderworldChallenge*")),150000,0)),0)</f>
        <v>0</v>
      </c>
      <c r="BK72" s="73"/>
      <c r="BL72" s="73"/>
      <c r="BM72" s="2"/>
      <c r="BN72" s="73"/>
      <c r="BO72" s="72" t="s">
        <v>1078</v>
      </c>
      <c r="BP72" s="73">
        <v>60000</v>
      </c>
      <c r="BR72" s="74"/>
      <c r="BS72" s="21" t="str">
        <f>IF($J$24="Español","Agallas",(IF($J$24="Deutsch","Abwehren",(IF($J$24="Français","Arracher le ballon","Block")))))</f>
        <v>Agallas</v>
      </c>
      <c r="BT72" s="21" t="s">
        <v>167</v>
      </c>
      <c r="BU72" s="21" t="str">
        <f>IF($J$24="Español","Agallas",(IF($J$24="Deutsch","Abwehren",(IF($J$24="Français","Arracher le ballon","Block")))))</f>
        <v>Agallas</v>
      </c>
      <c r="BV72" s="21" t="s">
        <v>167</v>
      </c>
      <c r="BW72" s="21" t="str">
        <f>IF($J$24="Español","Agallas",(IF($J$24="Deutsch","Abwehren",(IF($J$24="Français","Arracher le ballon","Block")))))</f>
        <v>Agallas</v>
      </c>
      <c r="BX72" s="21" t="s">
        <v>167</v>
      </c>
      <c r="BY72" s="21" t="str">
        <f>IF($J$24="Español","Agallas",(IF($J$24="Deutsch","Abwehren",(IF($J$24="Français","Arracher le ballon","Block")))))</f>
        <v>Agallas</v>
      </c>
      <c r="BZ72" s="21" t="s">
        <v>167</v>
      </c>
      <c r="CA72" s="21" t="str">
        <f t="shared" si="70"/>
        <v/>
      </c>
      <c r="CB72" s="21" t="str">
        <f t="shared" si="70"/>
        <v/>
      </c>
      <c r="CC72" s="75" t="str">
        <f>IF($J$24="Español","Furia",(IF($J$24="Deutsch","Ballgefühl",(IF($J$24="Français","Frappe précise","Dirty Player (+1)")))))</f>
        <v>Furia</v>
      </c>
      <c r="CD72" s="2" t="s">
        <v>167</v>
      </c>
      <c r="CE72" s="80"/>
      <c r="CF72" s="2"/>
      <c r="CG72" s="2" t="str">
        <f t="shared" si="71"/>
        <v/>
      </c>
      <c r="CH72" s="2" t="str">
        <f t="shared" si="72"/>
        <v/>
      </c>
      <c r="CI72" s="2" t="str">
        <f t="shared" si="73"/>
        <v/>
      </c>
      <c r="CJ72" s="2" t="str">
        <f t="shared" si="74"/>
        <v/>
      </c>
      <c r="CK72" s="2" t="str">
        <f t="shared" si="75"/>
        <v/>
      </c>
      <c r="CL72" s="2" t="str">
        <f t="shared" si="76"/>
        <v/>
      </c>
      <c r="CM72" s="2" t="str">
        <f t="shared" si="77"/>
        <v/>
      </c>
      <c r="CN72" s="2" t="str">
        <f t="shared" si="78"/>
        <v/>
      </c>
      <c r="CO72" s="2" t="str">
        <f t="shared" si="79"/>
        <v/>
      </c>
      <c r="CP72" s="2" t="str">
        <f t="shared" si="80"/>
        <v/>
      </c>
      <c r="CQ72" s="2" t="str">
        <f t="shared" si="81"/>
        <v/>
      </c>
      <c r="CR72" s="2" t="str">
        <f t="shared" si="82"/>
        <v/>
      </c>
      <c r="CS72" s="2" t="str">
        <f t="shared" si="83"/>
        <v/>
      </c>
      <c r="CT72" s="2" t="str">
        <f t="shared" si="84"/>
        <v/>
      </c>
      <c r="CU72" s="2" t="str">
        <f t="shared" si="85"/>
        <v/>
      </c>
      <c r="CV72" s="2" t="str">
        <f t="shared" si="86"/>
        <v/>
      </c>
      <c r="CW72" s="2"/>
      <c r="CX72" s="2"/>
      <c r="CY72" s="2"/>
      <c r="CZ72" s="2"/>
    </row>
    <row r="73" spans="2:104" ht="15" hidden="1" customHeight="1" x14ac:dyDescent="0.2">
      <c r="B73" s="122" t="str">
        <f>IF(BJ44&lt;15,(IF(J24="Italiano","NON È POSSIBILE IMPILARE PIÙ DI UN GIOCATORE!   ",IF(J24="Español","¡NO PUEDES APILAR EN MÁS DE UN JUGADOR!   ",(IF(J24="Deutsch","SIE KÖNNEN NICHT AUF MEHR ALS EINEN SPIELER SETZEN!   ",(IF(J24="Français","VOUS NE POUVEZ PAS CUMULER PLUS D'UN JOUEUR!   ","YOU CAN'T STACK ON MORE THAN ONE PLAYER!   "))))))),"")</f>
        <v/>
      </c>
      <c r="C73" s="123"/>
      <c r="D73" s="123"/>
      <c r="E73" s="123"/>
      <c r="F73" s="123"/>
      <c r="G73" s="2"/>
      <c r="H73" s="2"/>
      <c r="I73" s="2"/>
      <c r="J73" s="2"/>
      <c r="K73" s="2">
        <f t="shared" si="56"/>
        <v>0</v>
      </c>
      <c r="L73" s="2">
        <f t="shared" si="57"/>
        <v>0</v>
      </c>
      <c r="M73" s="2">
        <f t="shared" si="58"/>
        <v>0</v>
      </c>
      <c r="N73" s="2">
        <f t="shared" si="58"/>
        <v>0</v>
      </c>
      <c r="O73" s="2">
        <f t="shared" si="59"/>
        <v>0</v>
      </c>
      <c r="P73" s="2"/>
      <c r="Q73" s="1">
        <f>IFERROR((VLOOKUP($BO$1&amp;C9,TeamsProPlayer!D:M,2,0)+AK73+AC73),0)</f>
        <v>0</v>
      </c>
      <c r="R73" s="1">
        <f>IFERROR((VLOOKUP($BO$1&amp;C9,TeamsProPlayer!D:M,3,0)+AL73+AD73),0)</f>
        <v>0</v>
      </c>
      <c r="S73" s="1">
        <f>IFERROR((VLOOKUP($BO$1&amp;C9,TeamsProPlayer!D:M,4,0)+AM73-AE73),0)</f>
        <v>0</v>
      </c>
      <c r="T73" s="1">
        <f>IFERROR((VLOOKUP($BO$1&amp;C9,TeamsProPlayer!D:M,5,0)+AN73-AF73),0)</f>
        <v>0</v>
      </c>
      <c r="U73" s="1">
        <f>IFERROR((VLOOKUP($BO$1&amp;C9,TeamsProPlayer!D:M,6,0)+AO73+AG73),0)</f>
        <v>0</v>
      </c>
      <c r="V73" s="2"/>
      <c r="W73" s="2">
        <f>IFERROR((VLOOKUP($BO$1&amp;C9,TeamsProPlayer!D:M,2,0)),0)</f>
        <v>0</v>
      </c>
      <c r="X73" s="2">
        <f>IFERROR((VLOOKUP($BO$1&amp;C9,TeamsProPlayer!D:M,3,0)),0)</f>
        <v>0</v>
      </c>
      <c r="Y73" s="2">
        <f>IFERROR((VLOOKUP($BO$1&amp;C9,TeamsProPlayer!D:M,4,0)),0)</f>
        <v>0</v>
      </c>
      <c r="Z73" s="2">
        <f>IFERROR((VLOOKUP($BO$1&amp;C9,TeamsProPlayer!D:M,5,0)),0)</f>
        <v>0</v>
      </c>
      <c r="AA73" s="2">
        <f>IFERROR((VLOOKUP($BO$1&amp;C9,TeamsProPlayer!D:M,6,0)),0)</f>
        <v>0</v>
      </c>
      <c r="AB73" s="2"/>
      <c r="AC73" s="2">
        <f t="shared" si="60"/>
        <v>0</v>
      </c>
      <c r="AD73" s="2">
        <f t="shared" si="61"/>
        <v>0</v>
      </c>
      <c r="AE73" s="2">
        <f t="shared" si="62"/>
        <v>0</v>
      </c>
      <c r="AF73" s="2">
        <f t="shared" si="63"/>
        <v>0</v>
      </c>
      <c r="AG73" s="2">
        <f t="shared" si="64"/>
        <v>0</v>
      </c>
      <c r="AH73" s="2"/>
      <c r="AI73" s="2">
        <v>2</v>
      </c>
      <c r="AJ73" s="2"/>
      <c r="AK73" s="1">
        <f t="shared" si="65"/>
        <v>0</v>
      </c>
      <c r="AL73" s="1">
        <f t="shared" si="66"/>
        <v>0</v>
      </c>
      <c r="AM73" s="1">
        <f t="shared" si="67"/>
        <v>0</v>
      </c>
      <c r="AN73" s="1">
        <f t="shared" si="68"/>
        <v>0</v>
      </c>
      <c r="AO73" s="1">
        <f t="shared" si="69"/>
        <v>0</v>
      </c>
      <c r="AP73" s="2"/>
      <c r="AQ73" s="13">
        <v>8</v>
      </c>
      <c r="AR73" s="12">
        <v>635000</v>
      </c>
      <c r="AS73" s="12">
        <v>80000</v>
      </c>
      <c r="AT73" s="76" t="str">
        <f>IF(J24="English","2 AG",(IF(J24="Español","2 AG",(IF(J24="Deutsch","2 GE",(IF(J24="Français","2 AG")))))))</f>
        <v>2 AG</v>
      </c>
      <c r="AU73" s="1"/>
      <c r="AV73" s="1"/>
      <c r="AW73" s="1"/>
      <c r="AX73" s="78">
        <v>5</v>
      </c>
      <c r="AY73" s="78">
        <v>6</v>
      </c>
      <c r="AZ73" s="2" t="s">
        <v>165</v>
      </c>
      <c r="BA73" s="2" t="str">
        <f>IF(J24="Italiano","SI",(IF(J24="Español","SÍ",(IF(J24="Deutsch","JA",(IF(J24="Français","OUI","YES")))))))</f>
        <v>SÍ</v>
      </c>
      <c r="BB73" s="2" t="str">
        <f>IF(J24="Deutsch","NEIN",(IF(J24="Français","NON","NO")))</f>
        <v>NO</v>
      </c>
      <c r="BC73" s="1"/>
      <c r="BD73" s="72" t="s">
        <v>1054</v>
      </c>
      <c r="BE73" s="73">
        <f>IFERROR((IF(OR(COUNTIF($BU$2,"*BadlandsBrawl*"),COUNTIF($BU$2,"*UnderworldChallenge*")),90000,0)),0)</f>
        <v>90000</v>
      </c>
      <c r="BH73" s="72" t="s">
        <v>1062</v>
      </c>
      <c r="BI73" s="73">
        <f>IFERROR((IF(OR(COUNTIF($BU$2,"*UnderworldChallenge*")),150000,0)),0)</f>
        <v>0</v>
      </c>
      <c r="BK73" s="2"/>
      <c r="BM73" s="2"/>
      <c r="BN73" s="2"/>
      <c r="BO73" s="72" t="str">
        <f>IF($J$24="Español","TOTEM DEL CAOS","CHAOS TOTEM")</f>
        <v>TOTEM DEL CAOS</v>
      </c>
      <c r="BP73" s="73">
        <v>50000</v>
      </c>
      <c r="BS73" s="81" t="str">
        <f>IF($J$24="Español","Forcejear",(IF($J$24="Deutsch","Ball entreißen",(IF($J$24="Français","Blocage","Dauntless")))))</f>
        <v>Forcejear</v>
      </c>
      <c r="BT73" s="21" t="s">
        <v>167</v>
      </c>
      <c r="BU73" s="81" t="str">
        <f>IF($J$24="Español","Forcejear",(IF($J$24="Deutsch","Ball entreißen",(IF($J$24="Français","Blocage","Dauntless")))))</f>
        <v>Forcejear</v>
      </c>
      <c r="BV73" s="21" t="s">
        <v>167</v>
      </c>
      <c r="BW73" s="81" t="str">
        <f>IF($J$24="Español","Forcejear",(IF($J$24="Deutsch","Ball entreißen",(IF($J$24="Français","Blocage","Dauntless")))))</f>
        <v>Forcejear</v>
      </c>
      <c r="BX73" s="21" t="s">
        <v>167</v>
      </c>
      <c r="BY73" s="75" t="str">
        <f>IF($J$24="Español","Forcejear",(IF($J$24="Deutsch","Ball entreißen",(IF($J$24="Français","Blocage","Dauntless")))))</f>
        <v>Forcejear</v>
      </c>
      <c r="BZ73" s="21" t="s">
        <v>167</v>
      </c>
      <c r="CA73" s="21" t="str">
        <f t="shared" si="70"/>
        <v/>
      </c>
      <c r="CB73" s="21" t="str">
        <f t="shared" si="70"/>
        <v/>
      </c>
      <c r="CC73" s="75" t="str">
        <f>IF($J$24="Español","Juego Sucio (+1)",(IF($J$24="Deutsch","Block",(IF($J$24="Français","Frénésie ","Fend")))))</f>
        <v>Juego Sucio (+1)</v>
      </c>
      <c r="CD73" s="2" t="s">
        <v>167</v>
      </c>
      <c r="CE73" s="80"/>
      <c r="CF73" s="2"/>
      <c r="CG73" s="2" t="str">
        <f t="shared" si="71"/>
        <v/>
      </c>
      <c r="CH73" s="2" t="str">
        <f t="shared" si="72"/>
        <v/>
      </c>
      <c r="CI73" s="2" t="str">
        <f t="shared" si="73"/>
        <v/>
      </c>
      <c r="CJ73" s="2" t="str">
        <f t="shared" si="74"/>
        <v/>
      </c>
      <c r="CK73" s="2" t="str">
        <f t="shared" si="75"/>
        <v/>
      </c>
      <c r="CL73" s="2" t="str">
        <f t="shared" si="76"/>
        <v/>
      </c>
      <c r="CM73" s="2" t="str">
        <f t="shared" si="77"/>
        <v/>
      </c>
      <c r="CN73" s="2" t="str">
        <f t="shared" si="78"/>
        <v/>
      </c>
      <c r="CO73" s="2" t="str">
        <f t="shared" si="79"/>
        <v/>
      </c>
      <c r="CP73" s="2" t="str">
        <f t="shared" si="80"/>
        <v/>
      </c>
      <c r="CQ73" s="2" t="str">
        <f t="shared" si="81"/>
        <v/>
      </c>
      <c r="CR73" s="2" t="str">
        <f t="shared" si="82"/>
        <v/>
      </c>
      <c r="CS73" s="2" t="str">
        <f t="shared" si="83"/>
        <v/>
      </c>
      <c r="CT73" s="2" t="str">
        <f t="shared" si="84"/>
        <v/>
      </c>
      <c r="CU73" s="2" t="str">
        <f t="shared" si="85"/>
        <v/>
      </c>
      <c r="CV73" s="2" t="str">
        <f t="shared" si="86"/>
        <v/>
      </c>
      <c r="CW73" s="2"/>
      <c r="CX73" s="2"/>
      <c r="CY73" s="2"/>
      <c r="CZ73" s="2"/>
    </row>
    <row r="74" spans="2:104" ht="15" hidden="1" customHeight="1" x14ac:dyDescent="0.2">
      <c r="B74" s="122" t="str">
        <f>IF(J22="","",(IF(((IF((ISNUMBER(J22)),0,1))=1),(IF(J24="Italiano","IL NUMERO NAF NON PUÒ CONTENERE LETTERE!   ",IF(J24="Español","¡EL NUMERO NAF NO PUEDE CONTENER LETRAS!   ",(IF(J24="Deutsch","DIE NAF-NUMMER DARF KEINE BUCHSTABEN ENTHALTEN!   ",(IF(J24="Français","LE NUMÉRO NAF NE PEUT PAS CONTENIR DE LETTRES!   ","THE NAF NUMBER CANNOT CONTAIN LETTERS!   "))))))),"")))</f>
        <v/>
      </c>
      <c r="C74" s="122"/>
      <c r="D74" s="122"/>
      <c r="E74" s="122"/>
      <c r="F74" s="122"/>
      <c r="G74" s="2"/>
      <c r="H74" s="2"/>
      <c r="I74" s="2"/>
      <c r="J74" s="2"/>
      <c r="K74" s="2">
        <f t="shared" si="56"/>
        <v>0</v>
      </c>
      <c r="L74" s="2">
        <f t="shared" si="57"/>
        <v>0</v>
      </c>
      <c r="M74" s="2">
        <f t="shared" si="58"/>
        <v>0</v>
      </c>
      <c r="N74" s="2">
        <f t="shared" si="58"/>
        <v>0</v>
      </c>
      <c r="O74" s="2">
        <f t="shared" si="59"/>
        <v>0</v>
      </c>
      <c r="P74" s="2"/>
      <c r="Q74" s="1">
        <f>IFERROR((VLOOKUP($BO$1&amp;C10,TeamsProPlayer!D:M,2,0)+AK74+AC74),0)</f>
        <v>0</v>
      </c>
      <c r="R74" s="1">
        <f>IFERROR((VLOOKUP($BO$1&amp;C10,TeamsProPlayer!D:M,3,0)+AL74+AD74),0)</f>
        <v>0</v>
      </c>
      <c r="S74" s="1">
        <f>IFERROR((VLOOKUP($BO$1&amp;C10,TeamsProPlayer!D:M,4,0)+AM74-AE74),0)</f>
        <v>0</v>
      </c>
      <c r="T74" s="1">
        <f>IFERROR((VLOOKUP($BO$1&amp;C10,TeamsProPlayer!D:M,5,0)+AN74-AF74),0)</f>
        <v>0</v>
      </c>
      <c r="U74" s="1">
        <f>IFERROR((VLOOKUP($BO$1&amp;C10,TeamsProPlayer!D:M,6,0)+AO74+AG74),0)</f>
        <v>0</v>
      </c>
      <c r="V74" s="2"/>
      <c r="W74" s="2">
        <f>IFERROR((VLOOKUP($BO$1&amp;C10,TeamsProPlayer!D:M,2,0)),0)</f>
        <v>0</v>
      </c>
      <c r="X74" s="2">
        <f>IFERROR((VLOOKUP($BO$1&amp;C10,TeamsProPlayer!D:M,3,0)),0)</f>
        <v>0</v>
      </c>
      <c r="Y74" s="2">
        <f>IFERROR((VLOOKUP($BO$1&amp;C10,TeamsProPlayer!D:M,4,0)),0)</f>
        <v>0</v>
      </c>
      <c r="Z74" s="2">
        <f>IFERROR((VLOOKUP($BO$1&amp;C10,TeamsProPlayer!D:M,5,0)),0)</f>
        <v>0</v>
      </c>
      <c r="AA74" s="2">
        <f>IFERROR((VLOOKUP($BO$1&amp;C10,TeamsProPlayer!D:M,6,0)),0)</f>
        <v>0</v>
      </c>
      <c r="AB74" s="2"/>
      <c r="AC74" s="2">
        <f t="shared" si="60"/>
        <v>0</v>
      </c>
      <c r="AD74" s="2">
        <f t="shared" si="61"/>
        <v>0</v>
      </c>
      <c r="AE74" s="2">
        <f t="shared" si="62"/>
        <v>0</v>
      </c>
      <c r="AF74" s="2">
        <f t="shared" si="63"/>
        <v>0</v>
      </c>
      <c r="AG74" s="2">
        <f t="shared" si="64"/>
        <v>0</v>
      </c>
      <c r="AH74" s="2"/>
      <c r="AI74" s="13">
        <v>3</v>
      </c>
      <c r="AJ74" s="2"/>
      <c r="AK74" s="1">
        <f t="shared" si="65"/>
        <v>0</v>
      </c>
      <c r="AL74" s="1">
        <f t="shared" si="66"/>
        <v>0</v>
      </c>
      <c r="AM74" s="1">
        <f t="shared" si="67"/>
        <v>0</v>
      </c>
      <c r="AN74" s="1">
        <f t="shared" si="68"/>
        <v>0</v>
      </c>
      <c r="AO74" s="1">
        <f t="shared" si="69"/>
        <v>0</v>
      </c>
      <c r="AP74" s="2"/>
      <c r="AQ74" s="13">
        <v>9</v>
      </c>
      <c r="AR74" s="12">
        <v>640000</v>
      </c>
      <c r="AS74" s="12">
        <v>90000</v>
      </c>
      <c r="AT74" s="76" t="str">
        <f>IF(J24="English","-1 AV",(IF(J24="Español","-1 AR",(IF(J24="Deutsch","-1 RW",(IF(J24="Français","-1 AR")))))))</f>
        <v>-1 AR</v>
      </c>
      <c r="AU74" s="1"/>
      <c r="AV74" s="1"/>
      <c r="AW74" s="1"/>
      <c r="AX74" s="78">
        <v>6</v>
      </c>
      <c r="AY74" s="78">
        <v>7</v>
      </c>
      <c r="AZ74" s="2" t="s">
        <v>219</v>
      </c>
      <c r="BA74" s="2" t="str">
        <f>IF(J24="Deutsch","NEIN",(IF(J24="Français","NON","NO")))</f>
        <v>NO</v>
      </c>
      <c r="BB74" s="2" t="str">
        <f>IF(J24="Italiano","SI",(IF(J24="Español","SÍ",(IF(J24="Deutsch","JA",(IF(J24="Français","OUI","YES")))))))</f>
        <v>SÍ</v>
      </c>
      <c r="BC74" s="2"/>
      <c r="BD74" s="72" t="s">
        <v>1055</v>
      </c>
      <c r="BE74" s="73">
        <v>90000</v>
      </c>
      <c r="BH74" s="72" t="s">
        <v>1063</v>
      </c>
      <c r="BI74" s="73">
        <f>IFERROR((IF(OR(COUNTIF($BU$2,"*BadlandsBrawl*")),150000,0)),0)</f>
        <v>150000</v>
      </c>
      <c r="BK74" s="2"/>
      <c r="BM74" s="2"/>
      <c r="BN74" s="2"/>
      <c r="BO74" s="72" t="s">
        <v>1183</v>
      </c>
      <c r="BP74" s="73">
        <v>50000</v>
      </c>
      <c r="BS74" s="81" t="str">
        <f>IF($J$24="Español","Furia",(IF($J$24="Deutsch","Ballgefühl",(IF($J$24="Français","Frappe précise","Dirty Player (+1)")))))</f>
        <v>Furia</v>
      </c>
      <c r="BT74" s="21" t="s">
        <v>167</v>
      </c>
      <c r="BU74" s="81" t="str">
        <f>IF($J$24="Español","Furia",(IF($J$24="Deutsch","Ballgefühl",(IF($J$24="Français","Frappe précise","Dirty Player (+1)")))))</f>
        <v>Furia</v>
      </c>
      <c r="BV74" s="21" t="s">
        <v>167</v>
      </c>
      <c r="BW74" s="81" t="str">
        <f>IF($J$24="Español","Furia",(IF($J$24="Deutsch","Ballgefühl",(IF($J$24="Français","Frappe précise","Dirty Player (+1)")))))</f>
        <v>Furia</v>
      </c>
      <c r="BX74" s="21" t="s">
        <v>167</v>
      </c>
      <c r="BY74" s="75" t="str">
        <f>IF($J$24="Español","Furia",(IF($J$24="Deutsch","Ballgefühl",(IF($J$24="Français","Frappe précise","Dirty Player (+1)")))))</f>
        <v>Furia</v>
      </c>
      <c r="BZ74" s="21" t="s">
        <v>167</v>
      </c>
      <c r="CA74" s="21" t="str">
        <f t="shared" si="70"/>
        <v/>
      </c>
      <c r="CB74" s="21" t="str">
        <f t="shared" si="70"/>
        <v/>
      </c>
      <c r="CC74" s="75" t="str">
        <f>IF($J$24="Español","Manos Seguras",(IF($J$24="Deutsch","Brutal (+1)",(IF($J$24="Français","Intrépide","Frenzy")))))</f>
        <v>Manos Seguras</v>
      </c>
      <c r="CD74" s="2" t="s">
        <v>167</v>
      </c>
      <c r="CE74" s="80"/>
      <c r="CF74" s="2"/>
      <c r="CG74" s="2" t="str">
        <f t="shared" si="71"/>
        <v/>
      </c>
      <c r="CH74" s="2" t="str">
        <f t="shared" si="72"/>
        <v/>
      </c>
      <c r="CI74" s="2" t="str">
        <f t="shared" si="73"/>
        <v/>
      </c>
      <c r="CJ74" s="2" t="str">
        <f t="shared" si="74"/>
        <v/>
      </c>
      <c r="CK74" s="2" t="str">
        <f t="shared" si="75"/>
        <v/>
      </c>
      <c r="CL74" s="2" t="str">
        <f t="shared" si="76"/>
        <v/>
      </c>
      <c r="CM74" s="2" t="str">
        <f t="shared" si="77"/>
        <v/>
      </c>
      <c r="CN74" s="2" t="str">
        <f t="shared" si="78"/>
        <v/>
      </c>
      <c r="CO74" s="2" t="str">
        <f t="shared" si="79"/>
        <v/>
      </c>
      <c r="CP74" s="2" t="str">
        <f t="shared" si="80"/>
        <v/>
      </c>
      <c r="CQ74" s="2" t="str">
        <f t="shared" si="81"/>
        <v/>
      </c>
      <c r="CR74" s="2" t="str">
        <f t="shared" si="82"/>
        <v/>
      </c>
      <c r="CS74" s="2" t="str">
        <f t="shared" si="83"/>
        <v/>
      </c>
      <c r="CT74" s="2" t="str">
        <f t="shared" si="84"/>
        <v/>
      </c>
      <c r="CU74" s="2" t="str">
        <f t="shared" si="85"/>
        <v/>
      </c>
      <c r="CV74" s="2" t="str">
        <f t="shared" si="86"/>
        <v/>
      </c>
      <c r="CW74" s="2"/>
      <c r="CX74" s="2"/>
      <c r="CY74" s="2"/>
      <c r="CZ74" s="2"/>
    </row>
    <row r="75" spans="2:104" ht="15" hidden="1" customHeight="1" x14ac:dyDescent="0.2">
      <c r="B75" s="2"/>
      <c r="C75" s="10"/>
      <c r="D75" s="10"/>
      <c r="E75" s="10"/>
      <c r="F75" s="10"/>
      <c r="G75" s="2"/>
      <c r="H75" s="2"/>
      <c r="I75" s="2"/>
      <c r="J75" s="2"/>
      <c r="K75" s="2">
        <f t="shared" si="56"/>
        <v>0</v>
      </c>
      <c r="L75" s="2">
        <f t="shared" si="57"/>
        <v>0</v>
      </c>
      <c r="M75" s="2">
        <f t="shared" si="58"/>
        <v>0</v>
      </c>
      <c r="N75" s="2">
        <f t="shared" si="58"/>
        <v>0</v>
      </c>
      <c r="O75" s="2">
        <f t="shared" si="59"/>
        <v>0</v>
      </c>
      <c r="P75" s="2"/>
      <c r="Q75" s="1">
        <f>IFERROR((VLOOKUP($BO$1&amp;C11,TeamsProPlayer!D:M,2,0)+AK75+AC75),0)</f>
        <v>0</v>
      </c>
      <c r="R75" s="1">
        <f>IFERROR((VLOOKUP($BO$1&amp;C11,TeamsProPlayer!D:M,3,0)+AL75+AD75),0)</f>
        <v>0</v>
      </c>
      <c r="S75" s="1">
        <f>IFERROR((VLOOKUP($BO$1&amp;C11,TeamsProPlayer!D:M,4,0)+AM75-AE75),0)</f>
        <v>0</v>
      </c>
      <c r="T75" s="1">
        <f>IFERROR((VLOOKUP($BO$1&amp;C11,TeamsProPlayer!D:M,5,0)+AN75-AF75),0)</f>
        <v>0</v>
      </c>
      <c r="U75" s="1">
        <f>IFERROR((VLOOKUP($BO$1&amp;C11,TeamsProPlayer!D:M,6,0)+AO75+AG75),0)</f>
        <v>0</v>
      </c>
      <c r="V75" s="2"/>
      <c r="W75" s="2">
        <f>IFERROR((VLOOKUP($BO$1&amp;C11,TeamsProPlayer!D:M,2,0)),0)</f>
        <v>0</v>
      </c>
      <c r="X75" s="2">
        <f>IFERROR((VLOOKUP($BO$1&amp;C11,TeamsProPlayer!D:M,3,0)),0)</f>
        <v>0</v>
      </c>
      <c r="Y75" s="2">
        <f>IFERROR((VLOOKUP($BO$1&amp;C11,TeamsProPlayer!D:M,4,0)),0)</f>
        <v>0</v>
      </c>
      <c r="Z75" s="2">
        <f>IFERROR((VLOOKUP($BO$1&amp;C11,TeamsProPlayer!D:M,5,0)),0)</f>
        <v>0</v>
      </c>
      <c r="AA75" s="2">
        <f>IFERROR((VLOOKUP($BO$1&amp;C11,TeamsProPlayer!D:M,6,0)),0)</f>
        <v>0</v>
      </c>
      <c r="AB75" s="2"/>
      <c r="AC75" s="2">
        <f t="shared" si="60"/>
        <v>0</v>
      </c>
      <c r="AD75" s="2">
        <f t="shared" si="61"/>
        <v>0</v>
      </c>
      <c r="AE75" s="2">
        <f t="shared" si="62"/>
        <v>0</v>
      </c>
      <c r="AF75" s="2">
        <f t="shared" si="63"/>
        <v>0</v>
      </c>
      <c r="AG75" s="2">
        <f t="shared" si="64"/>
        <v>0</v>
      </c>
      <c r="AH75" s="2"/>
      <c r="AI75" s="13">
        <v>4</v>
      </c>
      <c r="AJ75" s="2"/>
      <c r="AK75" s="1">
        <f t="shared" si="65"/>
        <v>0</v>
      </c>
      <c r="AL75" s="1">
        <f t="shared" si="66"/>
        <v>0</v>
      </c>
      <c r="AM75" s="1">
        <f t="shared" si="67"/>
        <v>0</v>
      </c>
      <c r="AN75" s="1">
        <f t="shared" si="68"/>
        <v>0</v>
      </c>
      <c r="AO75" s="1">
        <f t="shared" si="69"/>
        <v>0</v>
      </c>
      <c r="AP75" s="2"/>
      <c r="AQ75" s="12">
        <v>10</v>
      </c>
      <c r="AR75" s="12">
        <v>645000</v>
      </c>
      <c r="AS75" s="12">
        <v>100000</v>
      </c>
      <c r="AT75" s="76" t="str">
        <f>IF(J24="English","-2 AV",(IF(J24="Español","-2 AR",(IF(J24="Deutsch","-2 RW",(IF(J24="Français","-2 AR")))))))</f>
        <v>-2 AR</v>
      </c>
      <c r="AU75" s="1"/>
      <c r="AV75" s="1"/>
      <c r="AW75" s="1"/>
      <c r="AX75" s="78">
        <v>7</v>
      </c>
      <c r="AY75" s="78">
        <v>8</v>
      </c>
      <c r="AZ75" s="1">
        <v>20000</v>
      </c>
      <c r="BA75" s="2"/>
      <c r="BB75" s="2"/>
      <c r="BC75" s="2"/>
      <c r="BD75" s="73"/>
      <c r="BE75" s="73"/>
      <c r="BH75" s="72" t="s">
        <v>1064</v>
      </c>
      <c r="BI75" s="73">
        <f>IFERROR((IF(OR(COUNTIF($BU$2,"*BadlandsBrawl*"),COUNTIF($BU$2,"*UnderworldChallenge*")),150000,0)),0)</f>
        <v>150000</v>
      </c>
      <c r="BK75" s="2"/>
      <c r="BM75" s="2"/>
      <c r="BN75" s="2"/>
      <c r="BO75" s="72" t="s">
        <v>1233</v>
      </c>
      <c r="BP75" s="73">
        <v>50000</v>
      </c>
      <c r="BS75" s="81" t="str">
        <f>IF($J$24="Español","Juego Sucio (+1)",(IF($J$24="Deutsch","Block",(IF($J$24="Français","Frénésie ","Fend")))))</f>
        <v>Juego Sucio (+1)</v>
      </c>
      <c r="BT75" s="21" t="s">
        <v>167</v>
      </c>
      <c r="BU75" s="81" t="str">
        <f>IF($J$24="Español","Juego Sucio (+1)",(IF($J$24="Deutsch","Block",(IF($J$24="Français","Frénésie ","Fend")))))</f>
        <v>Juego Sucio (+1)</v>
      </c>
      <c r="BV75" s="21" t="s">
        <v>167</v>
      </c>
      <c r="BW75" s="81" t="str">
        <f>IF($J$24="Español","Juego Sucio (+1)",(IF($J$24="Deutsch","Block",(IF($J$24="Français","Frénésie ","Fend")))))</f>
        <v>Juego Sucio (+1)</v>
      </c>
      <c r="BX75" s="21" t="s">
        <v>167</v>
      </c>
      <c r="BY75" s="75" t="str">
        <f>IF($J$24="Español","Juego Sucio (+1)",(IF($J$24="Deutsch","Block",(IF($J$24="Français","Frénésie ","Fend")))))</f>
        <v>Juego Sucio (+1)</v>
      </c>
      <c r="BZ75" s="21" t="s">
        <v>167</v>
      </c>
      <c r="CA75" s="21" t="str">
        <f t="shared" si="70"/>
        <v/>
      </c>
      <c r="CB75" s="21" t="str">
        <f t="shared" si="70"/>
        <v/>
      </c>
      <c r="CC75" s="75" t="str">
        <f>IF($J$24="Español","Patada",(IF($J$24="Deutsch","Kicken",(IF($J$24="Français","Joueur Déloyal (+1)","Kick")))))</f>
        <v>Patada</v>
      </c>
      <c r="CD75" s="2" t="s">
        <v>167</v>
      </c>
      <c r="CE75" s="80"/>
      <c r="CF75" s="2"/>
      <c r="CG75" s="2" t="str">
        <f t="shared" si="71"/>
        <v/>
      </c>
      <c r="CH75" s="2" t="str">
        <f t="shared" si="72"/>
        <v/>
      </c>
      <c r="CI75" s="2" t="str">
        <f t="shared" si="73"/>
        <v/>
      </c>
      <c r="CJ75" s="2" t="str">
        <f t="shared" si="74"/>
        <v/>
      </c>
      <c r="CK75" s="2" t="str">
        <f t="shared" si="75"/>
        <v/>
      </c>
      <c r="CL75" s="2" t="str">
        <f t="shared" si="76"/>
        <v/>
      </c>
      <c r="CM75" s="2" t="str">
        <f t="shared" si="77"/>
        <v/>
      </c>
      <c r="CN75" s="2" t="str">
        <f t="shared" si="78"/>
        <v/>
      </c>
      <c r="CO75" s="2" t="str">
        <f t="shared" si="79"/>
        <v/>
      </c>
      <c r="CP75" s="2" t="str">
        <f t="shared" si="80"/>
        <v/>
      </c>
      <c r="CQ75" s="2" t="str">
        <f t="shared" si="81"/>
        <v/>
      </c>
      <c r="CR75" s="2" t="str">
        <f t="shared" si="82"/>
        <v/>
      </c>
      <c r="CS75" s="2" t="str">
        <f t="shared" si="83"/>
        <v/>
      </c>
      <c r="CT75" s="2" t="str">
        <f t="shared" si="84"/>
        <v/>
      </c>
      <c r="CU75" s="2" t="str">
        <f t="shared" si="85"/>
        <v/>
      </c>
      <c r="CV75" s="2" t="str">
        <f t="shared" si="86"/>
        <v/>
      </c>
      <c r="CW75" s="2"/>
      <c r="CX75" s="2"/>
      <c r="CY75" s="2"/>
      <c r="CZ75" s="2"/>
    </row>
    <row r="76" spans="2:104" ht="15" hidden="1" customHeight="1" x14ac:dyDescent="0.2">
      <c r="B76" s="2"/>
      <c r="C76" s="10"/>
      <c r="D76" s="10"/>
      <c r="E76" s="10"/>
      <c r="F76" s="10"/>
      <c r="G76" s="2"/>
      <c r="H76" s="2"/>
      <c r="I76" s="2"/>
      <c r="J76" s="2"/>
      <c r="K76" s="2">
        <f t="shared" si="56"/>
        <v>0</v>
      </c>
      <c r="L76" s="2">
        <f t="shared" si="57"/>
        <v>0</v>
      </c>
      <c r="M76" s="2">
        <f t="shared" si="58"/>
        <v>0</v>
      </c>
      <c r="N76" s="2">
        <f t="shared" si="58"/>
        <v>0</v>
      </c>
      <c r="O76" s="2">
        <f t="shared" si="59"/>
        <v>0</v>
      </c>
      <c r="P76" s="2"/>
      <c r="Q76" s="1">
        <f>IFERROR((VLOOKUP($BO$1&amp;C12,TeamsProPlayer!D:M,2,0)+AK76+AC76),0)</f>
        <v>0</v>
      </c>
      <c r="R76" s="1">
        <f>IFERROR((VLOOKUP($BO$1&amp;C12,TeamsProPlayer!D:M,3,0)+AL76+AD76),0)</f>
        <v>0</v>
      </c>
      <c r="S76" s="1">
        <f>IFERROR((VLOOKUP($BO$1&amp;C12,TeamsProPlayer!D:M,4,0)+AM76-AE76),0)</f>
        <v>0</v>
      </c>
      <c r="T76" s="1">
        <f>IFERROR((VLOOKUP($BO$1&amp;C12,TeamsProPlayer!D:M,5,0)+AN76-AF76),0)</f>
        <v>0</v>
      </c>
      <c r="U76" s="1">
        <f>IFERROR((VLOOKUP($BO$1&amp;C12,TeamsProPlayer!D:M,6,0)+AO76+AG76),0)</f>
        <v>0</v>
      </c>
      <c r="V76" s="2"/>
      <c r="W76" s="2">
        <f>IFERROR((VLOOKUP($BO$1&amp;C12,TeamsProPlayer!D:M,2,0)),0)</f>
        <v>0</v>
      </c>
      <c r="X76" s="2">
        <f>IFERROR((VLOOKUP($BO$1&amp;C12,TeamsProPlayer!D:M,3,0)),0)</f>
        <v>0</v>
      </c>
      <c r="Y76" s="2">
        <f>IFERROR((VLOOKUP($BO$1&amp;C12,TeamsProPlayer!D:M,4,0)),0)</f>
        <v>0</v>
      </c>
      <c r="Z76" s="2">
        <f>IFERROR((VLOOKUP($BO$1&amp;C12,TeamsProPlayer!D:M,5,0)),0)</f>
        <v>0</v>
      </c>
      <c r="AA76" s="2">
        <f>IFERROR((VLOOKUP($BO$1&amp;C12,TeamsProPlayer!D:M,6,0)),0)</f>
        <v>0</v>
      </c>
      <c r="AB76" s="2"/>
      <c r="AC76" s="2">
        <f t="shared" si="60"/>
        <v>0</v>
      </c>
      <c r="AD76" s="2">
        <f t="shared" si="61"/>
        <v>0</v>
      </c>
      <c r="AE76" s="2">
        <f t="shared" si="62"/>
        <v>0</v>
      </c>
      <c r="AF76" s="2">
        <f t="shared" si="63"/>
        <v>0</v>
      </c>
      <c r="AG76" s="2">
        <f t="shared" si="64"/>
        <v>0</v>
      </c>
      <c r="AH76" s="2"/>
      <c r="AI76" s="2" t="str">
        <f>""</f>
        <v/>
      </c>
      <c r="AJ76" s="2"/>
      <c r="AK76" s="1">
        <f t="shared" si="65"/>
        <v>0</v>
      </c>
      <c r="AL76" s="1">
        <f t="shared" si="66"/>
        <v>0</v>
      </c>
      <c r="AM76" s="1">
        <f t="shared" si="67"/>
        <v>0</v>
      </c>
      <c r="AN76" s="1">
        <f t="shared" si="68"/>
        <v>0</v>
      </c>
      <c r="AO76" s="1">
        <f t="shared" si="69"/>
        <v>0</v>
      </c>
      <c r="AP76" s="2"/>
      <c r="AQ76" s="13">
        <v>11</v>
      </c>
      <c r="AR76" s="12">
        <v>650000</v>
      </c>
      <c r="AS76" s="12">
        <v>110000</v>
      </c>
      <c r="AT76" s="1"/>
      <c r="AU76" s="1"/>
      <c r="AV76" s="1"/>
      <c r="AW76" s="1"/>
      <c r="AX76" s="78">
        <v>8</v>
      </c>
      <c r="AY76" s="78">
        <v>9</v>
      </c>
      <c r="AZ76" s="1">
        <v>30000</v>
      </c>
      <c r="BA76" s="5" t="s">
        <v>220</v>
      </c>
      <c r="BB76" s="2"/>
      <c r="BC76" s="2"/>
      <c r="BD76" s="73"/>
      <c r="BE76" s="73"/>
      <c r="BH76" s="72" t="s">
        <v>1065</v>
      </c>
      <c r="BI76" s="73">
        <v>80000</v>
      </c>
      <c r="BK76" s="2"/>
      <c r="BM76" s="2"/>
      <c r="BN76" s="2"/>
      <c r="BO76" s="72" t="s">
        <v>1405</v>
      </c>
      <c r="BP76" s="73">
        <v>150000</v>
      </c>
      <c r="BS76" s="81" t="str">
        <f>IF($J$24="Español","Manos Seguras",(IF($J$24="Deutsch","Brutal (+1)",(IF($J$24="Français","Intrépide","Frenzy")))))</f>
        <v>Manos Seguras</v>
      </c>
      <c r="BT76" s="21" t="s">
        <v>167</v>
      </c>
      <c r="BU76" s="81" t="str">
        <f>IF($J$24="Español","Manos Seguras",(IF($J$24="Deutsch","Brutal (+1)",(IF($J$24="Français","Intrépide","Frenzy")))))</f>
        <v>Manos Seguras</v>
      </c>
      <c r="BV76" s="21" t="s">
        <v>167</v>
      </c>
      <c r="BW76" s="81" t="str">
        <f>IF($J$24="Español","Manos Seguras",(IF($J$24="Deutsch","Brutal (+1)",(IF($J$24="Français","Intrépide","Frenzy")))))</f>
        <v>Manos Seguras</v>
      </c>
      <c r="BX76" s="21" t="s">
        <v>167</v>
      </c>
      <c r="BY76" s="75" t="str">
        <f>IF($J$24="Español","Manos Seguras",(IF($J$24="Deutsch","Brutal (+1)",(IF($J$24="Français","Intrépide","Frenzy")))))</f>
        <v>Manos Seguras</v>
      </c>
      <c r="BZ76" s="21" t="s">
        <v>167</v>
      </c>
      <c r="CA76" s="75" t="str">
        <f>IF($J$24="Español","Echarse a un Lado",(IF($J$24="Deutsch","Ausweichen",(IF($J$24="Français","Équilibre","Diving Catch")))))</f>
        <v>Echarse a un Lado</v>
      </c>
      <c r="CB76" s="21" t="s">
        <v>168</v>
      </c>
      <c r="CC76" s="75" t="str">
        <f>IF($J$24="Español","Perseguir",(IF($J$24="Deutsch","Manndeckung",(IF($J$24="Français","Lutte","Pro")))))</f>
        <v>Perseguir</v>
      </c>
      <c r="CD76" s="2" t="s">
        <v>167</v>
      </c>
      <c r="CE76" s="80"/>
      <c r="CF76" s="2"/>
      <c r="CG76" s="2" t="str">
        <f t="shared" si="71"/>
        <v/>
      </c>
      <c r="CH76" s="2" t="str">
        <f t="shared" si="72"/>
        <v/>
      </c>
      <c r="CI76" s="2" t="str">
        <f t="shared" si="73"/>
        <v/>
      </c>
      <c r="CJ76" s="2" t="str">
        <f t="shared" si="74"/>
        <v/>
      </c>
      <c r="CK76" s="2" t="str">
        <f t="shared" si="75"/>
        <v/>
      </c>
      <c r="CL76" s="2" t="str">
        <f t="shared" si="76"/>
        <v/>
      </c>
      <c r="CM76" s="2" t="str">
        <f t="shared" si="77"/>
        <v/>
      </c>
      <c r="CN76" s="2" t="str">
        <f t="shared" si="78"/>
        <v/>
      </c>
      <c r="CO76" s="2" t="str">
        <f t="shared" si="79"/>
        <v/>
      </c>
      <c r="CP76" s="2" t="str">
        <f t="shared" si="80"/>
        <v/>
      </c>
      <c r="CQ76" s="2" t="str">
        <f t="shared" si="81"/>
        <v/>
      </c>
      <c r="CR76" s="2" t="str">
        <f t="shared" si="82"/>
        <v/>
      </c>
      <c r="CS76" s="2" t="str">
        <f t="shared" si="83"/>
        <v/>
      </c>
      <c r="CT76" s="2" t="str">
        <f t="shared" si="84"/>
        <v/>
      </c>
      <c r="CU76" s="2" t="str">
        <f t="shared" si="85"/>
        <v/>
      </c>
      <c r="CV76" s="2" t="str">
        <f t="shared" si="86"/>
        <v/>
      </c>
      <c r="CW76" s="2"/>
      <c r="CX76" s="2"/>
      <c r="CY76" s="2"/>
      <c r="CZ76" s="2"/>
    </row>
    <row r="77" spans="2:104" ht="15" hidden="1" customHeight="1" x14ac:dyDescent="0.2">
      <c r="B77" s="2"/>
      <c r="C77" s="82"/>
      <c r="D77" s="82"/>
      <c r="E77" s="82"/>
      <c r="F77" s="82"/>
      <c r="G77" s="2"/>
      <c r="H77" s="2"/>
      <c r="I77" s="2"/>
      <c r="J77" s="2"/>
      <c r="K77" s="2">
        <f t="shared" si="56"/>
        <v>0</v>
      </c>
      <c r="L77" s="2">
        <f t="shared" si="57"/>
        <v>0</v>
      </c>
      <c r="M77" s="2">
        <f t="shared" si="58"/>
        <v>0</v>
      </c>
      <c r="N77" s="2">
        <f t="shared" si="58"/>
        <v>0</v>
      </c>
      <c r="O77" s="2">
        <f t="shared" si="59"/>
        <v>0</v>
      </c>
      <c r="P77" s="2"/>
      <c r="Q77" s="1">
        <f>IFERROR((VLOOKUP($BO$1&amp;C13,TeamsProPlayer!D:M,2,0)+AK77+AC77),0)</f>
        <v>0</v>
      </c>
      <c r="R77" s="1">
        <f>IFERROR((VLOOKUP($BO$1&amp;C13,TeamsProPlayer!D:M,3,0)+AL77+AD77),0)</f>
        <v>0</v>
      </c>
      <c r="S77" s="1">
        <f>IFERROR((VLOOKUP($BO$1&amp;C13,TeamsProPlayer!D:M,4,0)+AM77-AE77),0)</f>
        <v>0</v>
      </c>
      <c r="T77" s="1">
        <f>IFERROR((VLOOKUP($BO$1&amp;C13,TeamsProPlayer!D:M,5,0)+AN77-AF77),0)</f>
        <v>0</v>
      </c>
      <c r="U77" s="1">
        <f>IFERROR((VLOOKUP($BO$1&amp;C13,TeamsProPlayer!D:M,6,0)+AO77+AG77),0)</f>
        <v>0</v>
      </c>
      <c r="V77" s="2"/>
      <c r="W77" s="2">
        <f>IFERROR((VLOOKUP($BO$1&amp;C13,TeamsProPlayer!D:M,2,0)),0)</f>
        <v>0</v>
      </c>
      <c r="X77" s="2">
        <f>IFERROR((VLOOKUP($BO$1&amp;C13,TeamsProPlayer!D:M,3,0)),0)</f>
        <v>0</v>
      </c>
      <c r="Y77" s="2">
        <f>IFERROR((VLOOKUP($BO$1&amp;C13,TeamsProPlayer!D:M,4,0)),0)</f>
        <v>0</v>
      </c>
      <c r="Z77" s="2">
        <f>IFERROR((VLOOKUP($BO$1&amp;C13,TeamsProPlayer!D:M,5,0)),0)</f>
        <v>0</v>
      </c>
      <c r="AA77" s="2">
        <f>IFERROR((VLOOKUP($BO$1&amp;C13,TeamsProPlayer!D:M,6,0)),0)</f>
        <v>0</v>
      </c>
      <c r="AB77" s="2"/>
      <c r="AC77" s="2">
        <f t="shared" si="60"/>
        <v>0</v>
      </c>
      <c r="AD77" s="2">
        <f t="shared" si="61"/>
        <v>0</v>
      </c>
      <c r="AE77" s="2">
        <f t="shared" si="62"/>
        <v>0</v>
      </c>
      <c r="AF77" s="2">
        <f t="shared" si="63"/>
        <v>0</v>
      </c>
      <c r="AG77" s="2">
        <f t="shared" si="64"/>
        <v>0</v>
      </c>
      <c r="AH77" s="2"/>
      <c r="AI77" s="2">
        <v>1</v>
      </c>
      <c r="AJ77" s="2"/>
      <c r="AK77" s="1">
        <f t="shared" si="65"/>
        <v>0</v>
      </c>
      <c r="AL77" s="1">
        <f t="shared" si="66"/>
        <v>0</v>
      </c>
      <c r="AM77" s="1">
        <f t="shared" si="67"/>
        <v>0</v>
      </c>
      <c r="AN77" s="1">
        <f t="shared" si="68"/>
        <v>0</v>
      </c>
      <c r="AO77" s="1">
        <f t="shared" si="69"/>
        <v>0</v>
      </c>
      <c r="AP77" s="2"/>
      <c r="AQ77" s="13">
        <v>12</v>
      </c>
      <c r="AR77" s="12">
        <v>655000</v>
      </c>
      <c r="AS77" s="12">
        <v>120000</v>
      </c>
      <c r="AT77" s="1"/>
      <c r="AU77" s="1"/>
      <c r="AV77" s="1"/>
      <c r="AW77" s="1"/>
      <c r="AX77" s="78">
        <v>9</v>
      </c>
      <c r="AY77" s="78">
        <v>10</v>
      </c>
      <c r="AZ77" s="1">
        <v>40000</v>
      </c>
      <c r="BA77" s="2">
        <f>SUM(AR2:AR17)</f>
        <v>0</v>
      </c>
      <c r="BB77" s="2"/>
      <c r="BC77" s="2"/>
      <c r="BD77" s="2"/>
      <c r="BE77" s="2"/>
      <c r="BI77" s="2"/>
      <c r="BK77" s="2"/>
      <c r="BM77" s="2"/>
      <c r="BN77" s="2"/>
      <c r="BO77" s="72" t="s">
        <v>1489</v>
      </c>
      <c r="BP77" s="73">
        <v>50000</v>
      </c>
      <c r="BS77" s="81" t="str">
        <f>IF($J$24="Español","Patada",(IF($J$24="Deutsch","Kicken",(IF($J$24="Français","Joueur Déloyal (+1)","Kick")))))</f>
        <v>Patada</v>
      </c>
      <c r="BT77" s="21" t="s">
        <v>167</v>
      </c>
      <c r="BU77" s="81" t="str">
        <f>IF($J$24="Español","Patada",(IF($J$24="Deutsch","Kicken",(IF($J$24="Français","Joueur Déloyal (+1)","Kick")))))</f>
        <v>Patada</v>
      </c>
      <c r="BV77" s="21" t="s">
        <v>167</v>
      </c>
      <c r="BW77" s="81" t="str">
        <f>IF($J$24="Español","Patada",(IF($J$24="Deutsch","Kicken",(IF($J$24="Français","Joueur Déloyal (+1)","Kick")))))</f>
        <v>Patada</v>
      </c>
      <c r="BX77" s="21" t="s">
        <v>167</v>
      </c>
      <c r="BY77" s="75" t="str">
        <f>IF($J$24="Español","Patada",(IF($J$24="Deutsch","Kicken",(IF($J$24="Français","Joueur Déloyal (+1)","Kick")))))</f>
        <v>Patada</v>
      </c>
      <c r="BZ77" s="21" t="s">
        <v>167</v>
      </c>
      <c r="CA77" s="75" t="str">
        <f>IF($J$24="Español","En Pie de un Salto",(IF($J$24="Deutsch","Fangsicher",(IF($J$24="Français","Esquive","Diving Tackle")))))</f>
        <v>En Pie de un Salto</v>
      </c>
      <c r="CB77" s="21" t="s">
        <v>168</v>
      </c>
      <c r="CC77" s="75" t="str">
        <f>IF($J$24="Español","Placaje Defensivo",(IF($J$24="Deutsch","Profi",(IF($J$24="Français","Parade","Shadowing")))))</f>
        <v>Placaje Defensivo</v>
      </c>
      <c r="CD77" s="2" t="s">
        <v>167</v>
      </c>
      <c r="CE77" s="80"/>
      <c r="CF77" s="2"/>
      <c r="CG77" s="2" t="str">
        <f>IFERROR((IF($CG$62="M",BW78,IF($CG$62="PM",BY78,IF($CG$62="P",BU78,IF($CG$62="FULL",BS78,IF($CG$62="GPSM",CA82,"")))))),"")</f>
        <v/>
      </c>
      <c r="CH77" s="2" t="str">
        <f t="shared" si="72"/>
        <v/>
      </c>
      <c r="CI77" s="2" t="str">
        <f t="shared" si="73"/>
        <v/>
      </c>
      <c r="CJ77" s="2" t="str">
        <f t="shared" si="74"/>
        <v/>
      </c>
      <c r="CK77" s="2" t="str">
        <f t="shared" si="75"/>
        <v/>
      </c>
      <c r="CL77" s="2" t="str">
        <f t="shared" si="76"/>
        <v/>
      </c>
      <c r="CM77" s="2" t="str">
        <f t="shared" si="77"/>
        <v/>
      </c>
      <c r="CN77" s="2" t="str">
        <f t="shared" si="78"/>
        <v/>
      </c>
      <c r="CO77" s="2" t="str">
        <f t="shared" si="79"/>
        <v/>
      </c>
      <c r="CP77" s="2" t="str">
        <f t="shared" si="80"/>
        <v/>
      </c>
      <c r="CQ77" s="2" t="str">
        <f t="shared" si="81"/>
        <v/>
      </c>
      <c r="CR77" s="2" t="str">
        <f t="shared" si="82"/>
        <v/>
      </c>
      <c r="CS77" s="2" t="str">
        <f t="shared" si="83"/>
        <v/>
      </c>
      <c r="CT77" s="2" t="str">
        <f t="shared" si="84"/>
        <v/>
      </c>
      <c r="CU77" s="2" t="str">
        <f t="shared" si="85"/>
        <v/>
      </c>
      <c r="CV77" s="2" t="str">
        <f t="shared" si="86"/>
        <v/>
      </c>
      <c r="CW77" s="2"/>
      <c r="CX77" s="2"/>
      <c r="CY77" s="2"/>
      <c r="CZ77" s="2"/>
    </row>
    <row r="78" spans="2:104" ht="15" hidden="1" customHeight="1" x14ac:dyDescent="0.2">
      <c r="B78" s="2"/>
      <c r="C78" s="10"/>
      <c r="D78" s="10"/>
      <c r="E78" s="10"/>
      <c r="F78" s="10"/>
      <c r="G78" s="2"/>
      <c r="H78" s="2"/>
      <c r="I78" s="2"/>
      <c r="J78" s="2"/>
      <c r="K78" s="2">
        <f t="shared" si="56"/>
        <v>0</v>
      </c>
      <c r="L78" s="2">
        <f t="shared" si="57"/>
        <v>0</v>
      </c>
      <c r="M78" s="2">
        <f t="shared" si="58"/>
        <v>0</v>
      </c>
      <c r="N78" s="2">
        <f t="shared" si="58"/>
        <v>0</v>
      </c>
      <c r="O78" s="2">
        <f t="shared" si="59"/>
        <v>0</v>
      </c>
      <c r="P78" s="2"/>
      <c r="Q78" s="1">
        <f>IFERROR((VLOOKUP($BO$1&amp;C14,TeamsProPlayer!D:M,2,0)+AK78+AC78),0)</f>
        <v>0</v>
      </c>
      <c r="R78" s="1">
        <f>IFERROR((VLOOKUP($BO$1&amp;C14,TeamsProPlayer!D:M,3,0)+AL78+AD78),0)</f>
        <v>0</v>
      </c>
      <c r="S78" s="1">
        <f>IFERROR((VLOOKUP($BO$1&amp;C14,TeamsProPlayer!D:M,4,0)+AM78-AE78),0)</f>
        <v>0</v>
      </c>
      <c r="T78" s="1">
        <f>IFERROR((VLOOKUP($BO$1&amp;C14,TeamsProPlayer!D:M,5,0)+AN78-AF78),0)</f>
        <v>0</v>
      </c>
      <c r="U78" s="1">
        <f>IFERROR((VLOOKUP($BO$1&amp;C14,TeamsProPlayer!D:M,6,0)+AO78+AG78),0)</f>
        <v>0</v>
      </c>
      <c r="V78" s="2"/>
      <c r="W78" s="2">
        <f>IFERROR((VLOOKUP($BO$1&amp;C14,TeamsProPlayer!D:M,2,0)),0)</f>
        <v>0</v>
      </c>
      <c r="X78" s="2">
        <f>IFERROR((VLOOKUP($BO$1&amp;C14,TeamsProPlayer!D:M,3,0)),0)</f>
        <v>0</v>
      </c>
      <c r="Y78" s="2">
        <f>IFERROR((VLOOKUP($BO$1&amp;C14,TeamsProPlayer!D:M,4,0)),0)</f>
        <v>0</v>
      </c>
      <c r="Z78" s="2">
        <f>IFERROR((VLOOKUP($BO$1&amp;C14,TeamsProPlayer!D:M,5,0)),0)</f>
        <v>0</v>
      </c>
      <c r="AA78" s="2">
        <f>IFERROR((VLOOKUP($BO$1&amp;C14,TeamsProPlayer!D:M,6,0)),0)</f>
        <v>0</v>
      </c>
      <c r="AB78" s="2"/>
      <c r="AC78" s="2">
        <f t="shared" si="60"/>
        <v>0</v>
      </c>
      <c r="AD78" s="2">
        <f t="shared" si="61"/>
        <v>0</v>
      </c>
      <c r="AE78" s="2">
        <f t="shared" si="62"/>
        <v>0</v>
      </c>
      <c r="AF78" s="2">
        <f t="shared" si="63"/>
        <v>0</v>
      </c>
      <c r="AG78" s="2">
        <f t="shared" si="64"/>
        <v>0</v>
      </c>
      <c r="AH78" s="2"/>
      <c r="AI78" s="2">
        <v>-1</v>
      </c>
      <c r="AJ78" s="2"/>
      <c r="AK78" s="1">
        <f t="shared" si="65"/>
        <v>0</v>
      </c>
      <c r="AL78" s="1">
        <f t="shared" si="66"/>
        <v>0</v>
      </c>
      <c r="AM78" s="1">
        <f t="shared" si="67"/>
        <v>0</v>
      </c>
      <c r="AN78" s="1">
        <f t="shared" si="68"/>
        <v>0</v>
      </c>
      <c r="AO78" s="1">
        <f t="shared" si="69"/>
        <v>0</v>
      </c>
      <c r="AP78" s="2"/>
      <c r="AQ78" s="12">
        <v>13</v>
      </c>
      <c r="AR78" s="12">
        <v>660000</v>
      </c>
      <c r="AS78" s="12">
        <v>130000</v>
      </c>
      <c r="AT78" s="1"/>
      <c r="AU78" s="1"/>
      <c r="AV78" s="1"/>
      <c r="AW78" s="1"/>
      <c r="AX78" s="78">
        <v>10</v>
      </c>
      <c r="AY78" s="78">
        <v>11</v>
      </c>
      <c r="AZ78" s="1">
        <v>50000</v>
      </c>
      <c r="BA78" s="5" t="s">
        <v>221</v>
      </c>
      <c r="BB78" s="2"/>
      <c r="BC78" s="2"/>
      <c r="BD78" s="2"/>
      <c r="BE78" s="2"/>
      <c r="BI78" s="2"/>
      <c r="BK78" s="2"/>
      <c r="BM78" s="2"/>
      <c r="BN78" s="2"/>
      <c r="BO78" s="74" t="s">
        <v>1521</v>
      </c>
      <c r="BP78" s="73">
        <v>150000</v>
      </c>
      <c r="BS78" s="81" t="str">
        <f>IF($J$24="Español","Perseguir",(IF($J$24="Deutsch","Manndeckung",(IF($J$24="Français","Lutte","Pro")))))</f>
        <v>Perseguir</v>
      </c>
      <c r="BT78" s="21" t="s">
        <v>167</v>
      </c>
      <c r="BU78" s="81" t="str">
        <f>IF($J$24="Español","Perseguir",(IF($J$24="Deutsch","Manndeckung",(IF($J$24="Français","Lutte","Pro")))))</f>
        <v>Perseguir</v>
      </c>
      <c r="BV78" s="21" t="s">
        <v>167</v>
      </c>
      <c r="BW78" s="81" t="str">
        <f>IF($J$24="Español","Perseguir",(IF($J$24="Deutsch","Manndeckung",(IF($J$24="Français","Lutte","Pro")))))</f>
        <v>Perseguir</v>
      </c>
      <c r="BX78" s="21" t="s">
        <v>167</v>
      </c>
      <c r="BY78" s="75" t="str">
        <f>IF($J$24="Español","Perseguir",(IF($J$24="Deutsch","Manndeckung",(IF($J$24="Français","Lutte","Pro")))))</f>
        <v>Perseguir</v>
      </c>
      <c r="BZ78" s="21" t="s">
        <v>167</v>
      </c>
      <c r="CA78" s="75" t="str">
        <f>IF($J$24="Español","Esprintar",(IF($J$24="Deutsch","Fliegender Tackle",(IF($J$24="Français","Glissade contrôlée","Dodge")))))</f>
        <v>Esprintar</v>
      </c>
      <c r="CB78" s="21" t="s">
        <v>168</v>
      </c>
      <c r="CC78" s="75" t="str">
        <f>IF($J$24="Español","Placar",(IF($J$24="Deutsch","Rasend",(IF($J$24="Français","Poursuite","Strip Ball")))))</f>
        <v>Placar</v>
      </c>
      <c r="CD78" s="2" t="s">
        <v>167</v>
      </c>
      <c r="CE78" s="80"/>
      <c r="CF78" s="2"/>
      <c r="CG78" s="2" t="str">
        <f t="shared" si="71"/>
        <v/>
      </c>
      <c r="CH78" s="2" t="str">
        <f t="shared" si="72"/>
        <v/>
      </c>
      <c r="CI78" s="2" t="str">
        <f t="shared" si="73"/>
        <v/>
      </c>
      <c r="CJ78" s="2" t="str">
        <f t="shared" si="74"/>
        <v/>
      </c>
      <c r="CK78" s="2" t="str">
        <f t="shared" si="75"/>
        <v/>
      </c>
      <c r="CL78" s="2" t="str">
        <f t="shared" si="76"/>
        <v/>
      </c>
      <c r="CM78" s="2" t="str">
        <f t="shared" si="77"/>
        <v/>
      </c>
      <c r="CN78" s="2" t="str">
        <f t="shared" si="78"/>
        <v/>
      </c>
      <c r="CO78" s="2" t="str">
        <f t="shared" si="79"/>
        <v/>
      </c>
      <c r="CP78" s="2" t="str">
        <f t="shared" si="80"/>
        <v/>
      </c>
      <c r="CQ78" s="2" t="str">
        <f t="shared" si="81"/>
        <v/>
      </c>
      <c r="CR78" s="2" t="str">
        <f t="shared" si="82"/>
        <v/>
      </c>
      <c r="CS78" s="2" t="str">
        <f t="shared" si="83"/>
        <v/>
      </c>
      <c r="CT78" s="2" t="str">
        <f t="shared" si="84"/>
        <v/>
      </c>
      <c r="CU78" s="2" t="str">
        <f t="shared" si="85"/>
        <v/>
      </c>
      <c r="CV78" s="2" t="str">
        <f t="shared" si="86"/>
        <v/>
      </c>
      <c r="CW78" s="2"/>
      <c r="CX78" s="2"/>
      <c r="CY78" s="2"/>
      <c r="CZ78" s="2"/>
    </row>
    <row r="79" spans="2:104" ht="15" hidden="1" customHeight="1" x14ac:dyDescent="0.2">
      <c r="B79" s="2"/>
      <c r="C79" s="2"/>
      <c r="D79" s="2"/>
      <c r="E79" s="2"/>
      <c r="F79" s="2"/>
      <c r="G79" s="2"/>
      <c r="H79" s="2"/>
      <c r="I79" s="2"/>
      <c r="J79" s="2"/>
      <c r="K79" s="2">
        <f t="shared" si="56"/>
        <v>0</v>
      </c>
      <c r="L79" s="2">
        <f t="shared" si="57"/>
        <v>0</v>
      </c>
      <c r="M79" s="2">
        <f t="shared" si="58"/>
        <v>0</v>
      </c>
      <c r="N79" s="2">
        <f t="shared" si="58"/>
        <v>0</v>
      </c>
      <c r="O79" s="2">
        <f t="shared" si="59"/>
        <v>0</v>
      </c>
      <c r="P79" s="2"/>
      <c r="Q79" s="1">
        <f>IFERROR((VLOOKUP($BO$1&amp;C15,TeamsProPlayer!D:M,2,0)+AK79+AC79),0)</f>
        <v>0</v>
      </c>
      <c r="R79" s="1">
        <f>IFERROR((VLOOKUP($BO$1&amp;C15,TeamsProPlayer!D:M,3,0)+AL79+AD79),0)</f>
        <v>0</v>
      </c>
      <c r="S79" s="1">
        <f>IFERROR((VLOOKUP($BO$1&amp;C15,TeamsProPlayer!D:M,4,0)+AM79-AE79),0)</f>
        <v>0</v>
      </c>
      <c r="T79" s="1">
        <f>IFERROR((VLOOKUP($BO$1&amp;C15,TeamsProPlayer!D:M,5,0)+AN79-AF79),0)</f>
        <v>0</v>
      </c>
      <c r="U79" s="1">
        <f>IFERROR((VLOOKUP($BO$1&amp;C15,TeamsProPlayer!D:M,6,0)+AO79+AG79),0)</f>
        <v>0</v>
      </c>
      <c r="V79" s="2"/>
      <c r="W79" s="2">
        <f>IFERROR((VLOOKUP($BO$1&amp;C15,TeamsProPlayer!D:M,2,0)),0)</f>
        <v>0</v>
      </c>
      <c r="X79" s="2">
        <f>IFERROR((VLOOKUP($BO$1&amp;C15,TeamsProPlayer!D:M,3,0)),0)</f>
        <v>0</v>
      </c>
      <c r="Y79" s="2">
        <f>IFERROR((VLOOKUP($BO$1&amp;C15,TeamsProPlayer!D:M,4,0)),0)</f>
        <v>0</v>
      </c>
      <c r="Z79" s="2">
        <f>IFERROR((VLOOKUP($BO$1&amp;C15,TeamsProPlayer!D:M,5,0)),0)</f>
        <v>0</v>
      </c>
      <c r="AA79" s="2">
        <f>IFERROR((VLOOKUP($BO$1&amp;C15,TeamsProPlayer!D:M,6,0)),0)</f>
        <v>0</v>
      </c>
      <c r="AB79" s="2"/>
      <c r="AC79" s="2">
        <f t="shared" si="60"/>
        <v>0</v>
      </c>
      <c r="AD79" s="2">
        <f t="shared" si="61"/>
        <v>0</v>
      </c>
      <c r="AE79" s="2">
        <f t="shared" si="62"/>
        <v>0</v>
      </c>
      <c r="AF79" s="2">
        <f t="shared" si="63"/>
        <v>0</v>
      </c>
      <c r="AG79" s="2">
        <f t="shared" si="64"/>
        <v>0</v>
      </c>
      <c r="AH79" s="2"/>
      <c r="AI79" s="2"/>
      <c r="AJ79" s="2"/>
      <c r="AK79" s="1">
        <f t="shared" si="65"/>
        <v>0</v>
      </c>
      <c r="AL79" s="1">
        <f t="shared" si="66"/>
        <v>0</v>
      </c>
      <c r="AM79" s="1">
        <f t="shared" si="67"/>
        <v>0</v>
      </c>
      <c r="AN79" s="1">
        <f t="shared" si="68"/>
        <v>0</v>
      </c>
      <c r="AO79" s="1">
        <f t="shared" si="69"/>
        <v>0</v>
      </c>
      <c r="AP79" s="2"/>
      <c r="AQ79" s="13">
        <v>14</v>
      </c>
      <c r="AR79" s="12">
        <v>665000</v>
      </c>
      <c r="AS79" s="12">
        <v>140000</v>
      </c>
      <c r="AT79" s="1"/>
      <c r="AU79" s="1"/>
      <c r="AV79" s="1"/>
      <c r="AW79" s="1"/>
      <c r="AX79" s="78">
        <v>11</v>
      </c>
      <c r="AY79" s="78">
        <v>12</v>
      </c>
      <c r="AZ79" s="1">
        <v>60000</v>
      </c>
      <c r="BA79" s="2">
        <f>VLOOKUP(BO1,BL:BR,7,FALSE)</f>
        <v>1</v>
      </c>
      <c r="BB79" s="2"/>
      <c r="BC79" s="2"/>
      <c r="BD79" s="2"/>
      <c r="BE79" s="2"/>
      <c r="BI79" s="2"/>
      <c r="BK79" s="2"/>
      <c r="BM79" s="2"/>
      <c r="BN79" s="2"/>
      <c r="BO79" s="2"/>
      <c r="BS79" s="81" t="str">
        <f>IF($J$24="Español","Placaje Defensivo",(IF($J$24="Deutsch","Profi",(IF($J$24="Français","Parade","Shadowing")))))</f>
        <v>Placaje Defensivo</v>
      </c>
      <c r="BT79" s="21" t="s">
        <v>167</v>
      </c>
      <c r="BU79" s="81" t="str">
        <f>IF($J$24="Español","Placaje Defensivo",(IF($J$24="Deutsch","Profi",(IF($J$24="Français","Parade","Shadowing")))))</f>
        <v>Placaje Defensivo</v>
      </c>
      <c r="BV79" s="21" t="s">
        <v>167</v>
      </c>
      <c r="BW79" s="81" t="str">
        <f>IF($J$24="Español","Placaje Defensivo",(IF($J$24="Deutsch","Profi",(IF($J$24="Français","Parade","Shadowing")))))</f>
        <v>Placaje Defensivo</v>
      </c>
      <c r="BX79" s="21" t="s">
        <v>167</v>
      </c>
      <c r="BY79" s="75" t="str">
        <f>IF($J$24="Español","Placaje Defensivo",(IF($J$24="Deutsch","Profi",(IF($J$24="Français","Parade","Shadowing")))))</f>
        <v>Placaje Defensivo</v>
      </c>
      <c r="BZ79" s="21" t="s">
        <v>167</v>
      </c>
      <c r="CA79" s="75" t="str">
        <f>IF($J$24="Español","Esquivar",(IF($J$24="Deutsch","Gewandt",(IF($J$24="Français","Libération contrôlée","Defensive")))))</f>
        <v>Esquivar</v>
      </c>
      <c r="CB79" s="21" t="s">
        <v>168</v>
      </c>
      <c r="CC79" s="75" t="str">
        <f>IF($J$24="Español","Profesional",(IF($J$24="Deutsch","Tackle",(IF($J$24="Français","Prise sûre","Sure Hands")))))</f>
        <v>Profesional</v>
      </c>
      <c r="CD79" s="2" t="s">
        <v>167</v>
      </c>
      <c r="CE79" s="80"/>
      <c r="CF79" s="2"/>
      <c r="CG79" s="2" t="str">
        <f t="shared" si="71"/>
        <v/>
      </c>
      <c r="CH79" s="2" t="str">
        <f t="shared" si="72"/>
        <v/>
      </c>
      <c r="CI79" s="2" t="str">
        <f t="shared" si="73"/>
        <v/>
      </c>
      <c r="CJ79" s="2" t="str">
        <f t="shared" si="74"/>
        <v/>
      </c>
      <c r="CK79" s="2" t="str">
        <f t="shared" si="75"/>
        <v/>
      </c>
      <c r="CL79" s="2" t="str">
        <f t="shared" si="76"/>
        <v/>
      </c>
      <c r="CM79" s="2" t="str">
        <f t="shared" si="77"/>
        <v/>
      </c>
      <c r="CN79" s="2" t="str">
        <f t="shared" si="78"/>
        <v/>
      </c>
      <c r="CO79" s="2" t="str">
        <f t="shared" si="79"/>
        <v/>
      </c>
      <c r="CP79" s="2" t="str">
        <f t="shared" si="80"/>
        <v/>
      </c>
      <c r="CQ79" s="2" t="str">
        <f t="shared" si="81"/>
        <v/>
      </c>
      <c r="CR79" s="2" t="str">
        <f t="shared" si="82"/>
        <v/>
      </c>
      <c r="CS79" s="2" t="str">
        <f t="shared" si="83"/>
        <v/>
      </c>
      <c r="CT79" s="2" t="str">
        <f t="shared" si="84"/>
        <v/>
      </c>
      <c r="CU79" s="2" t="str">
        <f t="shared" si="85"/>
        <v/>
      </c>
      <c r="CV79" s="2" t="str">
        <f t="shared" si="86"/>
        <v/>
      </c>
      <c r="CW79" s="2"/>
      <c r="CX79" s="2"/>
      <c r="CY79" s="2"/>
      <c r="CZ79" s="2"/>
    </row>
    <row r="80" spans="2:104" ht="15" hidden="1" customHeight="1" x14ac:dyDescent="0.2">
      <c r="B80" s="2"/>
      <c r="C80" s="2"/>
      <c r="D80" s="2"/>
      <c r="E80" s="2"/>
      <c r="F80" s="2"/>
      <c r="G80" s="2"/>
      <c r="H80" s="2"/>
      <c r="I80" s="2"/>
      <c r="J80" s="2"/>
      <c r="K80" s="2">
        <f t="shared" si="56"/>
        <v>0</v>
      </c>
      <c r="L80" s="2">
        <f t="shared" si="57"/>
        <v>0</v>
      </c>
      <c r="M80" s="2">
        <f t="shared" si="58"/>
        <v>0</v>
      </c>
      <c r="N80" s="2">
        <f t="shared" si="58"/>
        <v>0</v>
      </c>
      <c r="O80" s="2">
        <f t="shared" si="59"/>
        <v>0</v>
      </c>
      <c r="P80" s="2"/>
      <c r="Q80" s="1">
        <f>IFERROR((VLOOKUP($BO$1&amp;C16,TeamsProPlayer!D:M,2,0)+AK80+AC80),0)</f>
        <v>0</v>
      </c>
      <c r="R80" s="1">
        <f>IFERROR((VLOOKUP($BO$1&amp;C16,TeamsProPlayer!D:M,3,0)+AL80+AD80),0)</f>
        <v>0</v>
      </c>
      <c r="S80" s="1">
        <f>IFERROR((VLOOKUP($BO$1&amp;C16,TeamsProPlayer!D:M,4,0)+AM80-AE80),0)</f>
        <v>0</v>
      </c>
      <c r="T80" s="1">
        <f>IFERROR((VLOOKUP($BO$1&amp;C16,TeamsProPlayer!D:M,5,0)+AN80-AF80),0)</f>
        <v>0</v>
      </c>
      <c r="U80" s="1">
        <f>IFERROR((VLOOKUP($BO$1&amp;C16,TeamsProPlayer!D:M,6,0)+AO80+AG80),0)</f>
        <v>0</v>
      </c>
      <c r="V80" s="2"/>
      <c r="W80" s="2">
        <f>IFERROR((VLOOKUP($BO$1&amp;C16,TeamsProPlayer!D:M,2,0)),0)</f>
        <v>0</v>
      </c>
      <c r="X80" s="2">
        <f>IFERROR((VLOOKUP($BO$1&amp;C16,TeamsProPlayer!D:M,3,0)),0)</f>
        <v>0</v>
      </c>
      <c r="Y80" s="2">
        <f>IFERROR((VLOOKUP($BO$1&amp;C16,TeamsProPlayer!D:M,4,0)),0)</f>
        <v>0</v>
      </c>
      <c r="Z80" s="2">
        <f>IFERROR((VLOOKUP($BO$1&amp;C16,TeamsProPlayer!D:M,5,0)),0)</f>
        <v>0</v>
      </c>
      <c r="AA80" s="2">
        <f>IFERROR((VLOOKUP($BO$1&amp;C16,TeamsProPlayer!D:M,6,0)),0)</f>
        <v>0</v>
      </c>
      <c r="AB80" s="2"/>
      <c r="AC80" s="2">
        <f t="shared" si="60"/>
        <v>0</v>
      </c>
      <c r="AD80" s="2">
        <f t="shared" si="61"/>
        <v>0</v>
      </c>
      <c r="AE80" s="2">
        <f t="shared" si="62"/>
        <v>0</v>
      </c>
      <c r="AF80" s="2">
        <f t="shared" si="63"/>
        <v>0</v>
      </c>
      <c r="AG80" s="2">
        <f t="shared" si="64"/>
        <v>0</v>
      </c>
      <c r="AH80" s="2"/>
      <c r="AI80" s="2"/>
      <c r="AJ80" s="2"/>
      <c r="AK80" s="1">
        <f t="shared" si="65"/>
        <v>0</v>
      </c>
      <c r="AL80" s="1">
        <f t="shared" si="66"/>
        <v>0</v>
      </c>
      <c r="AM80" s="1">
        <f t="shared" si="67"/>
        <v>0</v>
      </c>
      <c r="AN80" s="1">
        <f t="shared" si="68"/>
        <v>0</v>
      </c>
      <c r="AO80" s="1">
        <f t="shared" si="69"/>
        <v>0</v>
      </c>
      <c r="AP80" s="2"/>
      <c r="AQ80" s="13">
        <v>15</v>
      </c>
      <c r="AR80" s="12">
        <v>670000</v>
      </c>
      <c r="AS80" s="12">
        <v>150000</v>
      </c>
      <c r="AT80" s="1"/>
      <c r="AU80" s="1"/>
      <c r="AV80" s="1"/>
      <c r="AW80" s="1"/>
      <c r="AX80" s="78">
        <v>12</v>
      </c>
      <c r="AY80" s="78">
        <v>13</v>
      </c>
      <c r="AZ80" s="1">
        <v>70000</v>
      </c>
      <c r="BA80" s="5" t="s">
        <v>222</v>
      </c>
      <c r="BB80" s="2"/>
      <c r="BC80" s="2"/>
      <c r="BD80" s="2"/>
      <c r="BE80" s="2"/>
      <c r="BI80" s="2"/>
      <c r="BK80" s="2"/>
      <c r="BM80" s="2"/>
      <c r="BN80" s="2"/>
      <c r="BO80" s="2"/>
      <c r="BS80" s="81" t="str">
        <f>IF($J$24="Español","Placar",(IF($J$24="Deutsch","Rasend",(IF($J$24="Français","Poursuite","Strip Ball")))))</f>
        <v>Placar</v>
      </c>
      <c r="BT80" s="21" t="s">
        <v>167</v>
      </c>
      <c r="BU80" s="81" t="str">
        <f>IF($J$24="Español","Placar",(IF($J$24="Deutsch","Rasend",(IF($J$24="Français","Poursuite","Strip Ball")))))</f>
        <v>Placar</v>
      </c>
      <c r="BV80" s="21" t="s">
        <v>167</v>
      </c>
      <c r="BW80" s="81" t="str">
        <f>IF($J$24="Español","Placar",(IF($J$24="Deutsch","Rasend",(IF($J$24="Français","Poursuite","Strip Ball")))))</f>
        <v>Placar</v>
      </c>
      <c r="BX80" s="21" t="s">
        <v>167</v>
      </c>
      <c r="BY80" s="75" t="str">
        <f>IF($J$24="Español","Placar",(IF($J$24="Deutsch","Rasend",(IF($J$24="Français","Poursuite","Strip Ball")))))</f>
        <v>Placar</v>
      </c>
      <c r="BZ80" s="21" t="s">
        <v>167</v>
      </c>
      <c r="CA80" s="75" t="str">
        <f>IF($J$24="Español","Furtivo",(IF($J$24="Deutsch","Hechtsprung",(IF($J$24="Français","Réception ","Jump Up")))))</f>
        <v>Furtivo</v>
      </c>
      <c r="CB80" s="21" t="s">
        <v>168</v>
      </c>
      <c r="CC80" s="75" t="str">
        <f>IF($J$24="Español","Robar Balón",(IF($J$24="Deutsch","Unerschrocken",(IF($J$24="Français","Pro","Tackle")))))</f>
        <v>Robar Balón</v>
      </c>
      <c r="CD80" s="2" t="s">
        <v>167</v>
      </c>
      <c r="CE80" s="80"/>
      <c r="CF80" s="2"/>
      <c r="CG80" s="2" t="str">
        <f t="shared" si="71"/>
        <v/>
      </c>
      <c r="CH80" s="2" t="str">
        <f t="shared" si="72"/>
        <v/>
      </c>
      <c r="CI80" s="2" t="str">
        <f t="shared" si="73"/>
        <v/>
      </c>
      <c r="CJ80" s="2" t="str">
        <f t="shared" si="74"/>
        <v/>
      </c>
      <c r="CK80" s="2" t="str">
        <f t="shared" si="75"/>
        <v/>
      </c>
      <c r="CL80" s="2" t="str">
        <f t="shared" si="76"/>
        <v/>
      </c>
      <c r="CM80" s="2" t="str">
        <f t="shared" si="77"/>
        <v/>
      </c>
      <c r="CN80" s="2" t="str">
        <f t="shared" si="78"/>
        <v/>
      </c>
      <c r="CO80" s="2" t="str">
        <f t="shared" si="79"/>
        <v/>
      </c>
      <c r="CP80" s="2" t="str">
        <f t="shared" si="80"/>
        <v/>
      </c>
      <c r="CQ80" s="2" t="str">
        <f t="shared" si="81"/>
        <v/>
      </c>
      <c r="CR80" s="2" t="str">
        <f t="shared" si="82"/>
        <v/>
      </c>
      <c r="CS80" s="2" t="str">
        <f t="shared" si="83"/>
        <v/>
      </c>
      <c r="CT80" s="2" t="str">
        <f t="shared" si="84"/>
        <v/>
      </c>
      <c r="CU80" s="2" t="str">
        <f t="shared" si="85"/>
        <v/>
      </c>
      <c r="CV80" s="2" t="str">
        <f t="shared" si="86"/>
        <v/>
      </c>
      <c r="CW80" s="2"/>
      <c r="CX80" s="2"/>
      <c r="CY80" s="2"/>
      <c r="CZ80" s="2"/>
    </row>
    <row r="81" spans="2:104" ht="15" hidden="1" customHeight="1" x14ac:dyDescent="0.2">
      <c r="B81" s="2"/>
      <c r="C81" s="2"/>
      <c r="D81" s="2"/>
      <c r="E81" s="2"/>
      <c r="F81" s="2"/>
      <c r="G81" s="2"/>
      <c r="H81" s="2"/>
      <c r="I81" s="2"/>
      <c r="J81" s="2"/>
      <c r="K81" s="2">
        <f t="shared" si="56"/>
        <v>0</v>
      </c>
      <c r="L81" s="2">
        <f t="shared" si="57"/>
        <v>0</v>
      </c>
      <c r="M81" s="2">
        <f t="shared" si="58"/>
        <v>0</v>
      </c>
      <c r="N81" s="2">
        <f t="shared" si="58"/>
        <v>0</v>
      </c>
      <c r="O81" s="2">
        <f t="shared" si="59"/>
        <v>0</v>
      </c>
      <c r="P81" s="2"/>
      <c r="Q81" s="1">
        <f>IFERROR((VLOOKUP($BO$1&amp;C17,TeamsProPlayer!D:M,2,0)+AK81+AC81),0)</f>
        <v>0</v>
      </c>
      <c r="R81" s="1">
        <f>IFERROR((VLOOKUP($BO$1&amp;C17,TeamsProPlayer!D:M,3,0)+AL81+AD81),0)</f>
        <v>0</v>
      </c>
      <c r="S81" s="1">
        <f>IFERROR((VLOOKUP($BO$1&amp;C17,TeamsProPlayer!D:M,4,0)+AM81-AE81),0)</f>
        <v>0</v>
      </c>
      <c r="T81" s="1">
        <f>IFERROR((VLOOKUP($BO$1&amp;C17,TeamsProPlayer!D:M,5,0)+AN81-AF81),0)</f>
        <v>0</v>
      </c>
      <c r="U81" s="1">
        <f>IFERROR((VLOOKUP($BO$1&amp;C17,TeamsProPlayer!D:M,6,0)+AO81+AG81),0)</f>
        <v>0</v>
      </c>
      <c r="V81" s="2"/>
      <c r="W81" s="2">
        <f>IFERROR((VLOOKUP($BO$1&amp;C17,TeamsProPlayer!D:M,2,0)),0)</f>
        <v>0</v>
      </c>
      <c r="X81" s="2">
        <f>IFERROR((VLOOKUP($BO$1&amp;C17,TeamsProPlayer!D:M,3,0)),0)</f>
        <v>0</v>
      </c>
      <c r="Y81" s="2">
        <f>IFERROR((VLOOKUP($BO$1&amp;C17,TeamsProPlayer!D:M,4,0)),0)</f>
        <v>0</v>
      </c>
      <c r="Z81" s="2">
        <f>IFERROR((VLOOKUP($BO$1&amp;C17,TeamsProPlayer!D:M,5,0)),0)</f>
        <v>0</v>
      </c>
      <c r="AA81" s="2">
        <f>IFERROR((VLOOKUP($BO$1&amp;C17,TeamsProPlayer!D:M,6,0)),0)</f>
        <v>0</v>
      </c>
      <c r="AB81" s="2"/>
      <c r="AC81" s="2">
        <f t="shared" si="60"/>
        <v>0</v>
      </c>
      <c r="AD81" s="2">
        <f t="shared" si="61"/>
        <v>0</v>
      </c>
      <c r="AE81" s="2">
        <f t="shared" si="62"/>
        <v>0</v>
      </c>
      <c r="AF81" s="2">
        <f t="shared" si="63"/>
        <v>0</v>
      </c>
      <c r="AG81" s="2">
        <f t="shared" si="64"/>
        <v>0</v>
      </c>
      <c r="AH81" s="2"/>
      <c r="AI81" s="2"/>
      <c r="AJ81" s="2"/>
      <c r="AK81" s="1">
        <f t="shared" si="65"/>
        <v>0</v>
      </c>
      <c r="AL81" s="1">
        <f t="shared" si="66"/>
        <v>0</v>
      </c>
      <c r="AM81" s="1">
        <f t="shared" si="67"/>
        <v>0</v>
      </c>
      <c r="AN81" s="1">
        <f t="shared" si="68"/>
        <v>0</v>
      </c>
      <c r="AO81" s="1">
        <f t="shared" si="69"/>
        <v>0</v>
      </c>
      <c r="AP81" s="2"/>
      <c r="AQ81" s="12">
        <v>16</v>
      </c>
      <c r="AR81" s="12">
        <v>675000</v>
      </c>
      <c r="AS81" s="12">
        <v>160000</v>
      </c>
      <c r="AT81" s="1"/>
      <c r="AU81" s="1"/>
      <c r="AV81" s="1"/>
      <c r="AW81" s="1"/>
      <c r="AX81" s="78">
        <v>13</v>
      </c>
      <c r="AY81" s="78">
        <v>14</v>
      </c>
      <c r="AZ81" s="1">
        <v>80000</v>
      </c>
      <c r="BA81" s="2" t="str">
        <f>IFERROR((IF(BU2="Favouredof",(IF($J$24="Italiano","(sceglierne uno)",(IF($J$24="Español","(elegir uno)",(IF($J$24="Deutsch","(wähle)",(IF(J25="Français","(choisir soit)","(choose either)")))))))),"")),"")</f>
        <v/>
      </c>
      <c r="BB81" s="2"/>
      <c r="BC81" s="2"/>
      <c r="BD81" s="2"/>
      <c r="BE81" s="2"/>
      <c r="BI81" s="2"/>
      <c r="BJ81" s="2"/>
      <c r="BL81" s="13"/>
      <c r="BN81" s="2"/>
      <c r="BO81" s="2"/>
      <c r="BP81" s="13"/>
      <c r="BS81" s="81" t="str">
        <f>IF($J$24="Español","Profesional",(IF($J$24="Deutsch","Tackle",(IF($J$24="Français","Prise sûre","Sure Hands")))))</f>
        <v>Profesional</v>
      </c>
      <c r="BT81" s="21" t="s">
        <v>167</v>
      </c>
      <c r="BU81" s="81" t="str">
        <f>IF($J$24="Español","Profesional",(IF($J$24="Deutsch","Tackle",(IF($J$24="Français","Prise sûre","Sure Hands")))))</f>
        <v>Profesional</v>
      </c>
      <c r="BV81" s="21" t="s">
        <v>167</v>
      </c>
      <c r="BW81" s="81" t="str">
        <f>IF($J$24="Español","Profesional",(IF($J$24="Deutsch","Tackle",(IF($J$24="Français","Prise sûre","Sure Hands")))))</f>
        <v>Profesional</v>
      </c>
      <c r="BX81" s="21" t="s">
        <v>167</v>
      </c>
      <c r="BY81" s="75" t="str">
        <f>IF($J$24="Español","Profesional",(IF($J$24="Deutsch","Tackle",(IF($J$24="Français","Prise sûre","Sure Hands")))))</f>
        <v>Profesional</v>
      </c>
      <c r="BZ81" s="21" t="s">
        <v>167</v>
      </c>
      <c r="CA81" s="75" t="str">
        <f>IF($J$24="Español","Pies Firmes",(IF($J$24="Deutsch","Heimtückisch",(IF($J$24="Français","Réception plongeante ","Leap")))))</f>
        <v>Pies Firmes</v>
      </c>
      <c r="CB81" s="21" t="s">
        <v>168</v>
      </c>
      <c r="CC81" s="75" t="str">
        <f>IF($J$24="Español","Zafarse",(IF($J$24="Deutsch","Wrestling",(IF($J$24="Français","Tacle","Wrestle")))))</f>
        <v>Zafarse</v>
      </c>
      <c r="CD81" s="2" t="s">
        <v>167</v>
      </c>
      <c r="CE81" s="2"/>
      <c r="CF81" s="2"/>
      <c r="CG81" s="2" t="str">
        <f t="shared" si="71"/>
        <v/>
      </c>
      <c r="CH81" s="2" t="str">
        <f t="shared" si="72"/>
        <v/>
      </c>
      <c r="CI81" s="2" t="str">
        <f t="shared" si="73"/>
        <v/>
      </c>
      <c r="CJ81" s="2" t="str">
        <f t="shared" si="74"/>
        <v/>
      </c>
      <c r="CK81" s="2" t="str">
        <f t="shared" si="75"/>
        <v/>
      </c>
      <c r="CL81" s="2" t="str">
        <f t="shared" si="76"/>
        <v/>
      </c>
      <c r="CM81" s="2" t="str">
        <f t="shared" si="77"/>
        <v/>
      </c>
      <c r="CN81" s="2" t="str">
        <f t="shared" si="78"/>
        <v/>
      </c>
      <c r="CO81" s="2" t="str">
        <f t="shared" si="79"/>
        <v/>
      </c>
      <c r="CP81" s="2" t="str">
        <f t="shared" si="80"/>
        <v/>
      </c>
      <c r="CQ81" s="2" t="str">
        <f t="shared" si="81"/>
        <v/>
      </c>
      <c r="CR81" s="2" t="str">
        <f t="shared" si="82"/>
        <v/>
      </c>
      <c r="CS81" s="2" t="str">
        <f t="shared" si="83"/>
        <v/>
      </c>
      <c r="CT81" s="2" t="str">
        <f t="shared" si="84"/>
        <v/>
      </c>
      <c r="CU81" s="2" t="str">
        <f t="shared" si="85"/>
        <v/>
      </c>
      <c r="CV81" s="2" t="str">
        <f t="shared" si="86"/>
        <v/>
      </c>
      <c r="CW81" s="2"/>
      <c r="CX81" s="2"/>
      <c r="CY81" s="2"/>
      <c r="CZ81" s="2"/>
    </row>
    <row r="82" spans="2:104" ht="15" hidden="1" customHeight="1" x14ac:dyDescent="0.2">
      <c r="B82" s="1"/>
      <c r="C82" s="1"/>
      <c r="D82" s="1"/>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13">
        <v>17</v>
      </c>
      <c r="AR82" s="12">
        <v>680000</v>
      </c>
      <c r="AS82" s="12">
        <v>170000</v>
      </c>
      <c r="AT82" s="1"/>
      <c r="AU82" s="1"/>
      <c r="AV82" s="1"/>
      <c r="AW82" s="1"/>
      <c r="AX82" s="78">
        <v>14</v>
      </c>
      <c r="AY82" s="78">
        <v>15</v>
      </c>
      <c r="AZ82" s="1">
        <v>90000</v>
      </c>
      <c r="BA82" s="2" t="str">
        <f>IF(OR(BU2="Favouredof",BU2="FavouredofWorldsEdgeSuperleagueBadlandsBrawl"),(IF(BO2="Nurgle","",(IF(BO2="DaemonsofKhorne","","Chaos Undivided")))),"")</f>
        <v/>
      </c>
      <c r="BB82" s="2"/>
      <c r="BC82" s="2"/>
      <c r="BD82" s="2"/>
      <c r="BE82" s="2"/>
      <c r="BI82" s="2"/>
      <c r="BJ82" s="13"/>
      <c r="BL82" s="13"/>
      <c r="BN82" s="13"/>
      <c r="BO82" s="2"/>
      <c r="BP82" s="13"/>
      <c r="BS82" s="81" t="str">
        <f>IF($J$24="Español","Robar Balón",(IF($J$24="Deutsch","Unerschrocken",(IF($J$24="Français","Pro","Tackle")))))</f>
        <v>Robar Balón</v>
      </c>
      <c r="BT82" s="21" t="s">
        <v>167</v>
      </c>
      <c r="BU82" s="81" t="str">
        <f>IF($J$24="Español","Robar Balón",(IF($J$24="Deutsch","Unerschrocken",(IF($J$24="Français","Pro","Tackle")))))</f>
        <v>Robar Balón</v>
      </c>
      <c r="BV82" s="21" t="s">
        <v>167</v>
      </c>
      <c r="BW82" s="81" t="str">
        <f>IF($J$24="Español","Robar Balón",(IF($J$24="Deutsch","Unerschrocken",(IF($J$24="Français","Pro","Tackle")))))</f>
        <v>Robar Balón</v>
      </c>
      <c r="BX82" s="21" t="s">
        <v>167</v>
      </c>
      <c r="BY82" s="75" t="str">
        <f>IF($J$24="Español","Robar Balón",(IF($J$24="Deutsch","Unerschrocken",(IF($J$24="Français","Pro","Tackle")))))</f>
        <v>Robar Balón</v>
      </c>
      <c r="BZ82" s="21" t="s">
        <v>167</v>
      </c>
      <c r="CA82" s="75" t="str">
        <f>IF($J$24="Español","Placaje Heroico",(IF($J$24="Deutsch","Sichere Hände",(IF($J$24="Français","Rétablissement","Safe Pair of Hands")))))</f>
        <v>Placaje Heroico</v>
      </c>
      <c r="CB82" s="21" t="s">
        <v>168</v>
      </c>
      <c r="CC82" s="75" t="str">
        <f>IF($J$24="Español","Atrapar",(IF($J$24="Deutsch","Aufspringen",(IF($J$24="Français","Défenseur ","Catch")))))</f>
        <v>Atrapar</v>
      </c>
      <c r="CD82" s="2" t="s">
        <v>168</v>
      </c>
      <c r="CE82" s="80"/>
      <c r="CF82" s="2"/>
      <c r="CG82" s="2" t="str">
        <f t="shared" si="71"/>
        <v/>
      </c>
      <c r="CH82" s="2" t="str">
        <f t="shared" si="72"/>
        <v/>
      </c>
      <c r="CI82" s="2" t="str">
        <f t="shared" si="73"/>
        <v/>
      </c>
      <c r="CJ82" s="2" t="str">
        <f t="shared" si="74"/>
        <v/>
      </c>
      <c r="CK82" s="2" t="str">
        <f t="shared" si="75"/>
        <v/>
      </c>
      <c r="CL82" s="2" t="str">
        <f t="shared" si="76"/>
        <v/>
      </c>
      <c r="CM82" s="2" t="str">
        <f t="shared" si="77"/>
        <v/>
      </c>
      <c r="CN82" s="2" t="str">
        <f t="shared" si="78"/>
        <v/>
      </c>
      <c r="CO82" s="2" t="str">
        <f t="shared" si="79"/>
        <v/>
      </c>
      <c r="CP82" s="2" t="str">
        <f t="shared" si="80"/>
        <v/>
      </c>
      <c r="CQ82" s="2" t="str">
        <f t="shared" si="81"/>
        <v/>
      </c>
      <c r="CR82" s="2" t="str">
        <f t="shared" si="82"/>
        <v/>
      </c>
      <c r="CS82" s="2" t="str">
        <f t="shared" si="83"/>
        <v/>
      </c>
      <c r="CT82" s="2" t="str">
        <f t="shared" si="84"/>
        <v/>
      </c>
      <c r="CU82" s="2" t="str">
        <f t="shared" si="85"/>
        <v/>
      </c>
      <c r="CV82" s="2" t="str">
        <f t="shared" si="86"/>
        <v/>
      </c>
      <c r="CW82" s="2"/>
      <c r="CX82" s="2"/>
      <c r="CY82" s="2"/>
      <c r="CZ82" s="2"/>
    </row>
    <row r="83" spans="2:104" ht="14.25" hidden="1" customHeight="1" x14ac:dyDescent="0.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83">
        <f>SUM(AM2:AM17)</f>
        <v>0</v>
      </c>
      <c r="AJ83" s="2"/>
      <c r="AK83" s="2"/>
      <c r="AL83" s="2"/>
      <c r="AM83" s="2"/>
      <c r="AN83" s="2"/>
      <c r="AO83" s="2"/>
      <c r="AP83" s="2"/>
      <c r="AQ83" s="13">
        <v>18</v>
      </c>
      <c r="AR83" s="12">
        <v>685000</v>
      </c>
      <c r="AS83" s="12">
        <v>180000</v>
      </c>
      <c r="AT83" s="1"/>
      <c r="AU83" s="1"/>
      <c r="AV83" s="1"/>
      <c r="AW83" s="1"/>
      <c r="AX83" s="78">
        <v>15</v>
      </c>
      <c r="AY83" s="78">
        <v>16</v>
      </c>
      <c r="AZ83" s="1">
        <v>100000</v>
      </c>
      <c r="BA83" s="2" t="str">
        <f>IF(OR(BU2="Favouredof",BU2="FavouredofWorldsEdgeSuperleagueBadlandsBrawl"),(IF(BO2="Nurgle","",(IF(BO2="DaemonsofKhorne","","Khorne")))),"")</f>
        <v/>
      </c>
      <c r="BB83" s="2"/>
      <c r="BC83" s="2"/>
      <c r="BD83" s="2"/>
      <c r="BE83" s="2"/>
      <c r="BI83" s="2"/>
      <c r="BJ83" s="13"/>
      <c r="BL83" s="13"/>
      <c r="BN83" s="13"/>
      <c r="BO83" s="2"/>
      <c r="BP83" s="13"/>
      <c r="BS83" s="81" t="str">
        <f>IF($J$24="Español","Zafarse",(IF($J$24="Deutsch","Wrestling",(IF($J$24="Français","Tacle","Wrestle")))))</f>
        <v>Zafarse</v>
      </c>
      <c r="BT83" s="21" t="s">
        <v>167</v>
      </c>
      <c r="BU83" s="81" t="str">
        <f>IF($J$24="Español","Zafarse",(IF($J$24="Deutsch","Wrestling",(IF($J$24="Français","Tacle","Wrestle")))))</f>
        <v>Zafarse</v>
      </c>
      <c r="BV83" s="21" t="s">
        <v>167</v>
      </c>
      <c r="BW83" s="81" t="str">
        <f>IF($J$24="Español","Zafarse",(IF($J$24="Deutsch","Wrestling",(IF($J$24="Français","Tacle","Wrestle")))))</f>
        <v>Zafarse</v>
      </c>
      <c r="BX83" s="21" t="s">
        <v>167</v>
      </c>
      <c r="BY83" s="75" t="str">
        <f>IF($J$24="Español","Zafarse",(IF($J$24="Deutsch","Wrestling",(IF($J$24="Français","Tacle","Wrestle")))))</f>
        <v>Zafarse</v>
      </c>
      <c r="BZ83" s="21" t="s">
        <v>167</v>
      </c>
      <c r="CA83" s="75" t="str">
        <f>IF($J$24="Español","Proteger el Cuero",(IF($J$24="Deutsch","Springen",(IF($J$24="Français","Saut","Sidestep")))))</f>
        <v>Proteger el Cuero</v>
      </c>
      <c r="CB83" s="21" t="s">
        <v>168</v>
      </c>
      <c r="CC83" s="75" t="str">
        <f>IF($J$24="Español","Echarse a un Lado",(IF($J$24="Deutsch","Ausweichen",(IF($J$24="Français","Équilibre","Diving Catch")))))</f>
        <v>Echarse a un Lado</v>
      </c>
      <c r="CD83" s="2" t="s">
        <v>168</v>
      </c>
      <c r="CE83" s="80"/>
      <c r="CF83" s="2"/>
      <c r="CG83" s="2" t="str">
        <f t="shared" si="71"/>
        <v/>
      </c>
      <c r="CH83" s="2" t="str">
        <f t="shared" si="72"/>
        <v/>
      </c>
      <c r="CI83" s="2" t="str">
        <f t="shared" si="73"/>
        <v/>
      </c>
      <c r="CJ83" s="2" t="str">
        <f t="shared" si="74"/>
        <v/>
      </c>
      <c r="CK83" s="2" t="str">
        <f t="shared" si="75"/>
        <v/>
      </c>
      <c r="CL83" s="2" t="str">
        <f t="shared" si="76"/>
        <v/>
      </c>
      <c r="CM83" s="2" t="str">
        <f t="shared" si="77"/>
        <v/>
      </c>
      <c r="CN83" s="2" t="str">
        <f t="shared" si="78"/>
        <v/>
      </c>
      <c r="CO83" s="2" t="str">
        <f t="shared" si="79"/>
        <v/>
      </c>
      <c r="CP83" s="2" t="str">
        <f t="shared" si="80"/>
        <v/>
      </c>
      <c r="CQ83" s="2" t="str">
        <f t="shared" si="81"/>
        <v/>
      </c>
      <c r="CR83" s="2" t="str">
        <f t="shared" si="82"/>
        <v/>
      </c>
      <c r="CS83" s="2" t="str">
        <f t="shared" si="83"/>
        <v/>
      </c>
      <c r="CT83" s="2" t="str">
        <f t="shared" si="84"/>
        <v/>
      </c>
      <c r="CU83" s="2" t="str">
        <f t="shared" si="85"/>
        <v/>
      </c>
      <c r="CV83" s="2" t="str">
        <f t="shared" si="86"/>
        <v/>
      </c>
      <c r="CW83" s="2"/>
      <c r="CX83" s="2"/>
      <c r="CY83" s="2"/>
      <c r="CZ83" s="2"/>
    </row>
    <row r="84" spans="2:104" ht="15" hidden="1" customHeight="1" x14ac:dyDescent="0.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12">
        <v>19</v>
      </c>
      <c r="AR84" s="12">
        <v>690000</v>
      </c>
      <c r="AS84" s="12">
        <v>190000</v>
      </c>
      <c r="AT84" s="1"/>
      <c r="AU84" s="1"/>
      <c r="AV84" s="1"/>
      <c r="AW84" s="1"/>
      <c r="AX84" s="78">
        <v>16</v>
      </c>
      <c r="AY84" s="78">
        <v>17</v>
      </c>
      <c r="AZ84" s="1">
        <v>110000</v>
      </c>
      <c r="BA84" s="2" t="str">
        <f>IF(OR(BU2="Favouredof",BU2="FavouredofWorldsEdgeSuperleagueBadlandsBrawl"),(IF(BO2="Nurgle","",(IF(BO2="DaemonsofKhorne","","Nurgle")))),"")</f>
        <v/>
      </c>
      <c r="BB84" s="2"/>
      <c r="BC84" s="2"/>
      <c r="BD84" s="2"/>
      <c r="BE84" s="2"/>
      <c r="BJ84" s="13"/>
      <c r="BL84" s="13"/>
      <c r="BN84" s="13"/>
      <c r="BO84" s="2"/>
      <c r="BP84" s="13"/>
      <c r="BS84" s="81" t="str">
        <f>IF($J$24="Español","Atrapar",(IF($J$24="Deutsch","Aufspringen",(IF($J$24="Français","Défenseur ","Catch")))))</f>
        <v>Atrapar</v>
      </c>
      <c r="BT84" s="21" t="s">
        <v>168</v>
      </c>
      <c r="BU84" s="81" t="str">
        <f>IF($J$24="Español","Atrapar",(IF($J$24="Deutsch","Aufspringen",(IF($J$24="Français","Défenseur ","Catch")))))</f>
        <v>Atrapar</v>
      </c>
      <c r="BV84" s="21" t="s">
        <v>168</v>
      </c>
      <c r="BW84" s="81" t="str">
        <f>IF($J$24="Español","Atrapar",(IF($J$24="Deutsch","Aufspringen",(IF($J$24="Français","Défenseur ","Catch")))))</f>
        <v>Atrapar</v>
      </c>
      <c r="BX84" s="21" t="s">
        <v>168</v>
      </c>
      <c r="BY84" s="75" t="str">
        <f>IF($J$24="Español","Atrapar",(IF($J$24="Deutsch","Aufspringen",(IF($J$24="Français","Défenseur ","Catch")))))</f>
        <v>Atrapar</v>
      </c>
      <c r="BZ84" s="21" t="s">
        <v>168</v>
      </c>
      <c r="CA84" s="75" t="str">
        <f>IF($J$24="Español","Recepción Heroica",(IF($J$24="Deutsch","Sprinten",(IF($J$24="Français","Sprint","Sneaky Git")))))</f>
        <v>Recepción Heroica</v>
      </c>
      <c r="CB84" s="21" t="s">
        <v>168</v>
      </c>
      <c r="CC84" s="75" t="str">
        <f>IF($J$24="Español","En Pie de un Salto",(IF($J$24="Deutsch","Fangsicher",(IF($J$24="Français","Esquive","Diving Tackle")))))</f>
        <v>En Pie de un Salto</v>
      </c>
      <c r="CD84" s="2" t="s">
        <v>168</v>
      </c>
      <c r="CE84" s="80"/>
      <c r="CF84" s="2"/>
      <c r="CG84" s="2" t="str">
        <f t="shared" si="71"/>
        <v/>
      </c>
      <c r="CH84" s="2" t="str">
        <f t="shared" si="72"/>
        <v/>
      </c>
      <c r="CI84" s="2" t="str">
        <f t="shared" si="73"/>
        <v/>
      </c>
      <c r="CJ84" s="2" t="str">
        <f t="shared" si="74"/>
        <v/>
      </c>
      <c r="CK84" s="2" t="str">
        <f t="shared" si="75"/>
        <v/>
      </c>
      <c r="CL84" s="2" t="str">
        <f t="shared" si="76"/>
        <v/>
      </c>
      <c r="CM84" s="2" t="str">
        <f t="shared" si="77"/>
        <v/>
      </c>
      <c r="CN84" s="2" t="str">
        <f t="shared" si="78"/>
        <v/>
      </c>
      <c r="CO84" s="2" t="str">
        <f t="shared" si="79"/>
        <v/>
      </c>
      <c r="CP84" s="2" t="str">
        <f t="shared" si="80"/>
        <v/>
      </c>
      <c r="CQ84" s="2" t="str">
        <f t="shared" si="81"/>
        <v/>
      </c>
      <c r="CR84" s="2" t="str">
        <f t="shared" si="82"/>
        <v/>
      </c>
      <c r="CS84" s="2" t="str">
        <f t="shared" si="83"/>
        <v/>
      </c>
      <c r="CT84" s="2" t="str">
        <f t="shared" si="84"/>
        <v/>
      </c>
      <c r="CU84" s="2" t="str">
        <f t="shared" si="85"/>
        <v/>
      </c>
      <c r="CV84" s="2" t="str">
        <f t="shared" si="86"/>
        <v/>
      </c>
      <c r="CW84" s="2"/>
      <c r="CX84" s="2"/>
      <c r="CY84" s="2"/>
      <c r="CZ84" s="2"/>
    </row>
    <row r="85" spans="2:104" ht="15" hidden="1" customHeight="1" x14ac:dyDescent="0.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13">
        <v>20</v>
      </c>
      <c r="AR85" s="12">
        <v>695000</v>
      </c>
      <c r="AS85" s="12">
        <v>200000</v>
      </c>
      <c r="AT85" s="1"/>
      <c r="AU85" s="1"/>
      <c r="AV85" s="1"/>
      <c r="AW85" s="1"/>
      <c r="AX85" s="78">
        <v>17</v>
      </c>
      <c r="AY85" s="78">
        <v>18</v>
      </c>
      <c r="AZ85" s="1">
        <v>120000</v>
      </c>
      <c r="BA85" s="2" t="str">
        <f>IF(OR(BU2="Favouredof",BU2="FavouredofWorldsEdgeSuperleagueBadlandsBrawl"),(IF(BO2="Nurgle","",(IF(BO2="DaemonsofKhorne","","Slaanesh")))),"")</f>
        <v/>
      </c>
      <c r="BB85" s="2"/>
      <c r="BC85" s="2"/>
      <c r="BD85" s="2"/>
      <c r="BE85" s="2"/>
      <c r="BJ85" s="13"/>
      <c r="BL85" s="13"/>
      <c r="BN85" s="13"/>
      <c r="BO85" s="2"/>
      <c r="BP85" s="13"/>
      <c r="BS85" s="81" t="str">
        <f>IF($J$24="Español","Echarse a un Lado",(IF($J$24="Deutsch","Ausweichen",(IF($J$24="Français","Équilibre","Diving Catch")))))</f>
        <v>Echarse a un Lado</v>
      </c>
      <c r="BT85" s="21" t="s">
        <v>168</v>
      </c>
      <c r="BU85" s="81" t="str">
        <f>IF($J$24="Español","Echarse a un Lado",(IF($J$24="Deutsch","Ausweichen",(IF($J$24="Français","Équilibre","Diving Catch")))))</f>
        <v>Echarse a un Lado</v>
      </c>
      <c r="BV85" s="21" t="s">
        <v>168</v>
      </c>
      <c r="BW85" s="81" t="str">
        <f>IF($J$24="Español","Echarse a un Lado",(IF($J$24="Deutsch","Ausweichen",(IF($J$24="Français","Équilibre","Diving Catch")))))</f>
        <v>Echarse a un Lado</v>
      </c>
      <c r="BX85" s="21" t="s">
        <v>168</v>
      </c>
      <c r="BY85" s="75" t="str">
        <f>IF($J$24="Español","Echarse a un Lado",(IF($J$24="Deutsch","Ausweichen",(IF($J$24="Français","Équilibre","Diving Catch")))))</f>
        <v>Echarse a un Lado</v>
      </c>
      <c r="BZ85" s="21" t="s">
        <v>168</v>
      </c>
      <c r="CA85" s="75" t="str">
        <f>IF($J$24="Español","Romper Defensas",(IF($J$24="Deutsch","Sprintensicher",(IF($J$24="Français","Sournois","Sprint")))))</f>
        <v>Romper Defensas</v>
      </c>
      <c r="CB85" s="21" t="s">
        <v>168</v>
      </c>
      <c r="CC85" s="75" t="str">
        <f>IF($J$24="Español","Esprintar",(IF($J$24="Deutsch","Fliegender Tackle",(IF($J$24="Français","Glissade contrôlée","Dodge")))))</f>
        <v>Esprintar</v>
      </c>
      <c r="CD85" s="2" t="s">
        <v>168</v>
      </c>
      <c r="CE85" s="80"/>
      <c r="CF85" s="2"/>
      <c r="CG85" s="2" t="str">
        <f t="shared" si="71"/>
        <v/>
      </c>
      <c r="CH85" s="2" t="str">
        <f t="shared" si="72"/>
        <v/>
      </c>
      <c r="CI85" s="2" t="str">
        <f t="shared" si="73"/>
        <v/>
      </c>
      <c r="CJ85" s="2" t="str">
        <f t="shared" si="74"/>
        <v/>
      </c>
      <c r="CK85" s="2" t="str">
        <f t="shared" si="75"/>
        <v/>
      </c>
      <c r="CL85" s="2" t="str">
        <f t="shared" si="76"/>
        <v/>
      </c>
      <c r="CM85" s="2" t="str">
        <f t="shared" si="77"/>
        <v/>
      </c>
      <c r="CN85" s="2" t="str">
        <f t="shared" si="78"/>
        <v/>
      </c>
      <c r="CO85" s="2" t="str">
        <f t="shared" si="79"/>
        <v/>
      </c>
      <c r="CP85" s="2" t="str">
        <f t="shared" si="80"/>
        <v/>
      </c>
      <c r="CQ85" s="2" t="str">
        <f t="shared" si="81"/>
        <v/>
      </c>
      <c r="CR85" s="2" t="str">
        <f t="shared" si="82"/>
        <v/>
      </c>
      <c r="CS85" s="2" t="str">
        <f t="shared" si="83"/>
        <v/>
      </c>
      <c r="CT85" s="2" t="str">
        <f t="shared" si="84"/>
        <v/>
      </c>
      <c r="CU85" s="2" t="str">
        <f t="shared" si="85"/>
        <v/>
      </c>
      <c r="CV85" s="2" t="str">
        <f t="shared" si="86"/>
        <v/>
      </c>
      <c r="CW85" s="2"/>
      <c r="CX85" s="2"/>
      <c r="CY85" s="2"/>
      <c r="CZ85" s="2"/>
    </row>
    <row r="86" spans="2:104" ht="15" hidden="1" customHeight="1" x14ac:dyDescent="0.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13">
        <v>21</v>
      </c>
      <c r="AR86" s="12">
        <v>700000</v>
      </c>
      <c r="AS86" s="12">
        <v>210000</v>
      </c>
      <c r="AT86" s="1"/>
      <c r="AU86" s="1"/>
      <c r="AV86" s="1"/>
      <c r="AW86" s="1"/>
      <c r="AX86" s="78">
        <v>18</v>
      </c>
      <c r="AY86" s="78">
        <v>19</v>
      </c>
      <c r="AZ86" s="1">
        <v>130000</v>
      </c>
      <c r="BA86" s="2" t="str">
        <f>IF(OR(BU2="Favouredof",BU2="FavouredofWorldsEdgeSuperleagueBadlandsBrawl"),(IF(BO2="Nurgle","",(IF(BO2="DaemonsofKhorne","","Tzeentch")))),"")</f>
        <v/>
      </c>
      <c r="BB86" s="2"/>
      <c r="BC86" s="2"/>
      <c r="BD86" s="2"/>
      <c r="BE86" s="2"/>
      <c r="BJ86" s="13"/>
      <c r="BL86" s="13"/>
      <c r="BN86" s="13"/>
      <c r="BO86" s="2"/>
      <c r="BP86" s="13"/>
      <c r="BS86" s="81" t="str">
        <f>IF($J$24="Español","En Pie de un Salto",(IF($J$24="Deutsch","Fangsicher",(IF($J$24="Français","Esquive","Diving Tackle")))))</f>
        <v>En Pie de un Salto</v>
      </c>
      <c r="BT86" s="21" t="s">
        <v>168</v>
      </c>
      <c r="BU86" s="81" t="str">
        <f>IF($J$24="Español","En Pie de un Salto",(IF($J$24="Deutsch","Fangsicher",(IF($J$24="Français","Esquive","Diving Tackle")))))</f>
        <v>En Pie de un Salto</v>
      </c>
      <c r="BV86" s="21" t="s">
        <v>168</v>
      </c>
      <c r="BW86" s="81" t="str">
        <f>IF($J$24="Español","En Pie de un Salto",(IF($J$24="Deutsch","Fangsicher",(IF($J$24="Français","Esquive","Diving Tackle")))))</f>
        <v>En Pie de un Salto</v>
      </c>
      <c r="BX86" s="21" t="s">
        <v>168</v>
      </c>
      <c r="BY86" s="75" t="str">
        <f>IF($J$24="Español","En Pie de un Salto",(IF($J$24="Deutsch","Fangsicher",(IF($J$24="Français","Esquive","Diving Tackle")))))</f>
        <v>En Pie de un Salto</v>
      </c>
      <c r="BZ86" s="21" t="s">
        <v>168</v>
      </c>
      <c r="CA86" s="75" t="str">
        <f>IF($J$24="Español","Saltar",(IF($J$24="Deutsch","Wehrhaft",(IF($J$24="Français","Tacle plongeant ","Sure Feet")))))</f>
        <v>Saltar</v>
      </c>
      <c r="CB86" s="21" t="s">
        <v>168</v>
      </c>
      <c r="CC86" s="75" t="str">
        <f>IF($J$24="Español","Esquivar",(IF($J$24="Deutsch","Gewandt",(IF($J$24="Français","Libération contrôlée","Defensive")))))</f>
        <v>Esquivar</v>
      </c>
      <c r="CD86" s="2" t="s">
        <v>168</v>
      </c>
      <c r="CE86" s="80"/>
      <c r="CF86" s="2"/>
      <c r="CG86" s="2" t="str">
        <f t="shared" si="71"/>
        <v/>
      </c>
      <c r="CH86" s="2" t="str">
        <f t="shared" si="72"/>
        <v/>
      </c>
      <c r="CI86" s="2" t="str">
        <f t="shared" si="73"/>
        <v/>
      </c>
      <c r="CJ86" s="2" t="str">
        <f t="shared" si="74"/>
        <v/>
      </c>
      <c r="CK86" s="2" t="str">
        <f t="shared" si="75"/>
        <v/>
      </c>
      <c r="CL86" s="2" t="str">
        <f t="shared" si="76"/>
        <v/>
      </c>
      <c r="CM86" s="2" t="str">
        <f t="shared" si="77"/>
        <v/>
      </c>
      <c r="CN86" s="2" t="str">
        <f t="shared" si="78"/>
        <v/>
      </c>
      <c r="CO86" s="2" t="str">
        <f t="shared" si="79"/>
        <v/>
      </c>
      <c r="CP86" s="2" t="str">
        <f t="shared" si="80"/>
        <v/>
      </c>
      <c r="CQ86" s="2" t="str">
        <f t="shared" si="81"/>
        <v/>
      </c>
      <c r="CR86" s="2" t="str">
        <f t="shared" si="82"/>
        <v/>
      </c>
      <c r="CS86" s="2" t="str">
        <f t="shared" si="83"/>
        <v/>
      </c>
      <c r="CT86" s="2" t="str">
        <f t="shared" si="84"/>
        <v/>
      </c>
      <c r="CU86" s="2" t="str">
        <f t="shared" si="85"/>
        <v/>
      </c>
      <c r="CV86" s="2" t="str">
        <f t="shared" si="86"/>
        <v/>
      </c>
      <c r="CW86" s="2"/>
      <c r="CX86" s="2"/>
      <c r="CY86" s="2"/>
      <c r="CZ86" s="2"/>
    </row>
    <row r="87" spans="2:104" ht="15" hidden="1" customHeight="1" x14ac:dyDescent="0.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12">
        <v>22</v>
      </c>
      <c r="AR87" s="12">
        <v>705000</v>
      </c>
      <c r="AS87" s="12">
        <v>220000</v>
      </c>
      <c r="AT87" s="1"/>
      <c r="AU87" s="1"/>
      <c r="AV87" s="1"/>
      <c r="AW87" s="1"/>
      <c r="AX87" s="78">
        <v>19</v>
      </c>
      <c r="AY87" s="78">
        <v>20</v>
      </c>
      <c r="AZ87" s="1">
        <v>140000</v>
      </c>
      <c r="BA87" s="2"/>
      <c r="BB87" s="2"/>
      <c r="BC87" s="2"/>
      <c r="BD87" s="2"/>
      <c r="BE87" s="2"/>
      <c r="BJ87" s="13"/>
      <c r="BL87" s="13"/>
      <c r="BN87" s="13"/>
      <c r="BO87" s="2"/>
      <c r="BP87" s="13"/>
      <c r="BS87" s="81" t="str">
        <f>IF($J$24="Español","Esprintar",(IF($J$24="Deutsch","Fliegender Tackle",(IF($J$24="Français","Glissade contrôlée","Dodge")))))</f>
        <v>Esprintar</v>
      </c>
      <c r="BT87" s="21" t="s">
        <v>168</v>
      </c>
      <c r="BU87" s="81" t="str">
        <f>IF($J$24="Español","Esprintar",(IF($J$24="Deutsch","Fliegender Tackle",(IF($J$24="Français","Glissade contrôlée","Dodge")))))</f>
        <v>Esprintar</v>
      </c>
      <c r="BV87" s="21" t="s">
        <v>168</v>
      </c>
      <c r="BW87" s="81" t="str">
        <f>IF($J$24="Español","Esprintar",(IF($J$24="Deutsch","Fliegender Tackle",(IF($J$24="Français","Glissade contrôlée","Dodge")))))</f>
        <v>Esprintar</v>
      </c>
      <c r="BX87" s="21" t="s">
        <v>168</v>
      </c>
      <c r="BY87" s="75" t="str">
        <f>IF($J$24="Español","Esprintar",(IF($J$24="Deutsch","Fliegender Tackle",(IF($J$24="Français","Glissade contrôlée","Dodge")))))</f>
        <v>Esprintar</v>
      </c>
      <c r="BZ87" s="21" t="s">
        <v>168</v>
      </c>
      <c r="CA87" s="21" t="str">
        <f t="shared" ref="CA87:CB144" si="87">""</f>
        <v/>
      </c>
      <c r="CB87" s="21" t="str">
        <f t="shared" si="87"/>
        <v/>
      </c>
      <c r="CC87" s="75" t="str">
        <f>IF($J$24="Español","Furtivo",(IF($J$24="Deutsch","Hechtsprung",(IF($J$24="Français","Réception ","Jump Up")))))</f>
        <v>Furtivo</v>
      </c>
      <c r="CD87" s="2" t="s">
        <v>168</v>
      </c>
      <c r="CE87" s="80"/>
      <c r="CF87" s="2"/>
      <c r="CG87" s="2" t="str">
        <f t="shared" si="71"/>
        <v/>
      </c>
      <c r="CH87" s="2" t="str">
        <f t="shared" si="72"/>
        <v/>
      </c>
      <c r="CI87" s="2" t="str">
        <f t="shared" si="73"/>
        <v/>
      </c>
      <c r="CJ87" s="2" t="str">
        <f t="shared" si="74"/>
        <v/>
      </c>
      <c r="CK87" s="2" t="str">
        <f t="shared" si="75"/>
        <v/>
      </c>
      <c r="CL87" s="2" t="str">
        <f t="shared" si="76"/>
        <v/>
      </c>
      <c r="CM87" s="2" t="str">
        <f t="shared" si="77"/>
        <v/>
      </c>
      <c r="CN87" s="2" t="str">
        <f t="shared" si="78"/>
        <v/>
      </c>
      <c r="CO87" s="2" t="str">
        <f t="shared" si="79"/>
        <v/>
      </c>
      <c r="CP87" s="2" t="str">
        <f t="shared" si="80"/>
        <v/>
      </c>
      <c r="CQ87" s="2" t="str">
        <f t="shared" si="81"/>
        <v/>
      </c>
      <c r="CR87" s="2" t="str">
        <f t="shared" si="82"/>
        <v/>
      </c>
      <c r="CS87" s="2" t="str">
        <f t="shared" si="83"/>
        <v/>
      </c>
      <c r="CT87" s="2" t="str">
        <f t="shared" si="84"/>
        <v/>
      </c>
      <c r="CU87" s="2" t="str">
        <f t="shared" si="85"/>
        <v/>
      </c>
      <c r="CV87" s="2" t="str">
        <f t="shared" si="86"/>
        <v/>
      </c>
      <c r="CW87" s="2"/>
      <c r="CX87" s="2"/>
      <c r="CY87" s="2"/>
      <c r="CZ87" s="2"/>
    </row>
    <row r="88" spans="2:104" ht="15" hidden="1" customHeight="1" x14ac:dyDescent="0.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13">
        <v>23</v>
      </c>
      <c r="AR88" s="12">
        <v>710000</v>
      </c>
      <c r="AS88" s="12">
        <v>230000</v>
      </c>
      <c r="AT88" s="1"/>
      <c r="AU88" s="1"/>
      <c r="AV88" s="1"/>
      <c r="AW88" s="1"/>
      <c r="AX88" s="78">
        <v>20</v>
      </c>
      <c r="AY88" s="2"/>
      <c r="AZ88" s="1">
        <v>150000</v>
      </c>
      <c r="BA88" s="2"/>
      <c r="BB88" s="2"/>
      <c r="BC88" s="2"/>
      <c r="BD88" s="2"/>
      <c r="BE88" s="2"/>
      <c r="BJ88" s="2"/>
      <c r="BL88" s="2"/>
      <c r="BN88" s="2"/>
      <c r="BO88" s="2"/>
      <c r="BP88" s="2"/>
      <c r="BS88" s="81" t="str">
        <f>IF($J$24="Español","Esquivar",(IF($J$24="Deutsch","Gewandt",(IF($J$24="Français","Libération contrôlée","Defensive")))))</f>
        <v>Esquivar</v>
      </c>
      <c r="BT88" s="21" t="s">
        <v>168</v>
      </c>
      <c r="BU88" s="81" t="str">
        <f>IF($J$24="Español","Esquivar",(IF($J$24="Deutsch","Gewandt",(IF($J$24="Français","Libération contrôlée","Defensive")))))</f>
        <v>Esquivar</v>
      </c>
      <c r="BV88" s="21" t="s">
        <v>168</v>
      </c>
      <c r="BW88" s="81" t="str">
        <f>IF($J$24="Español","Esquivar",(IF($J$24="Deutsch","Gewandt",(IF($J$24="Français","Libération contrôlée","Defensive")))))</f>
        <v>Esquivar</v>
      </c>
      <c r="BX88" s="21" t="s">
        <v>168</v>
      </c>
      <c r="BY88" s="75" t="str">
        <f>IF($J$24="Español","Esquivar",(IF($J$24="Deutsch","Gewandt",(IF($J$24="Français","Libération contrôlée","Defensive")))))</f>
        <v>Esquivar</v>
      </c>
      <c r="BZ88" s="21" t="s">
        <v>168</v>
      </c>
      <c r="CA88" s="21" t="str">
        <f t="shared" si="87"/>
        <v/>
      </c>
      <c r="CB88" s="21" t="str">
        <f t="shared" si="87"/>
        <v/>
      </c>
      <c r="CC88" s="75" t="str">
        <f>IF($J$24="Español","Pies Firmes",(IF($J$24="Deutsch","Heimtückisch",(IF($J$24="Français","Réception plongeante ","Leap")))))</f>
        <v>Pies Firmes</v>
      </c>
      <c r="CD88" s="2" t="s">
        <v>168</v>
      </c>
      <c r="CE88" s="80"/>
      <c r="CF88" s="2"/>
      <c r="CG88" s="2" t="str">
        <f t="shared" si="71"/>
        <v/>
      </c>
      <c r="CH88" s="2" t="str">
        <f t="shared" si="72"/>
        <v/>
      </c>
      <c r="CI88" s="2" t="str">
        <f t="shared" si="73"/>
        <v/>
      </c>
      <c r="CJ88" s="2" t="str">
        <f t="shared" si="74"/>
        <v/>
      </c>
      <c r="CK88" s="2" t="str">
        <f t="shared" si="75"/>
        <v/>
      </c>
      <c r="CL88" s="2" t="str">
        <f t="shared" si="76"/>
        <v/>
      </c>
      <c r="CM88" s="2" t="str">
        <f t="shared" si="77"/>
        <v/>
      </c>
      <c r="CN88" s="2" t="str">
        <f t="shared" si="78"/>
        <v/>
      </c>
      <c r="CO88" s="2" t="str">
        <f t="shared" si="79"/>
        <v/>
      </c>
      <c r="CP88" s="2" t="str">
        <f t="shared" si="80"/>
        <v/>
      </c>
      <c r="CQ88" s="2" t="str">
        <f t="shared" si="81"/>
        <v/>
      </c>
      <c r="CR88" s="2" t="str">
        <f t="shared" si="82"/>
        <v/>
      </c>
      <c r="CS88" s="2" t="str">
        <f t="shared" si="83"/>
        <v/>
      </c>
      <c r="CT88" s="2" t="str">
        <f t="shared" si="84"/>
        <v/>
      </c>
      <c r="CU88" s="2" t="str">
        <f t="shared" si="85"/>
        <v/>
      </c>
      <c r="CV88" s="2" t="str">
        <f t="shared" si="86"/>
        <v/>
      </c>
      <c r="CW88" s="2"/>
      <c r="CX88" s="2"/>
      <c r="CY88" s="2"/>
      <c r="CZ88" s="2"/>
    </row>
    <row r="89" spans="2:104" ht="15" hidden="1" customHeight="1" x14ac:dyDescent="0.2">
      <c r="B89" s="122"/>
      <c r="C89" s="123"/>
      <c r="D89" s="123"/>
      <c r="E89" s="123"/>
      <c r="F89" s="123"/>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13">
        <v>24</v>
      </c>
      <c r="AR89" s="12">
        <v>715000</v>
      </c>
      <c r="AS89" s="12">
        <v>240000</v>
      </c>
      <c r="AT89" s="1"/>
      <c r="AU89" s="1"/>
      <c r="AV89" s="1"/>
      <c r="AW89" s="1"/>
      <c r="AX89" s="2"/>
      <c r="AY89" s="2"/>
      <c r="AZ89" s="1">
        <v>160000</v>
      </c>
      <c r="BA89" s="2"/>
      <c r="BB89" s="2"/>
      <c r="BC89" s="2"/>
      <c r="BD89" s="2"/>
      <c r="BE89" s="2"/>
      <c r="BJ89" s="13"/>
      <c r="BL89" s="13"/>
      <c r="BN89" s="13"/>
      <c r="BO89" s="2"/>
      <c r="BP89" s="13"/>
      <c r="BS89" s="81" t="str">
        <f>IF($J$24="Español","Furtivo",(IF($J$24="Deutsch","Hechtsprung",(IF($J$24="Français","Réception ","Jump Up")))))</f>
        <v>Furtivo</v>
      </c>
      <c r="BT89" s="21" t="s">
        <v>168</v>
      </c>
      <c r="BU89" s="81" t="str">
        <f>IF($J$24="Español","Furtivo",(IF($J$24="Deutsch","Hechtsprung",(IF($J$24="Français","Réception ","Jump Up")))))</f>
        <v>Furtivo</v>
      </c>
      <c r="BV89" s="21" t="s">
        <v>168</v>
      </c>
      <c r="BW89" s="81" t="str">
        <f>IF($J$24="Español","Furtivo",(IF($J$24="Deutsch","Hechtsprung",(IF($J$24="Français","Réception ","Jump Up")))))</f>
        <v>Furtivo</v>
      </c>
      <c r="BX89" s="21" t="s">
        <v>168</v>
      </c>
      <c r="BY89" s="75" t="str">
        <f>IF($J$24="Español","Furtivo",(IF($J$24="Deutsch","Hechtsprung",(IF($J$24="Français","Réception ","Jump Up")))))</f>
        <v>Furtivo</v>
      </c>
      <c r="BZ89" s="21" t="s">
        <v>168</v>
      </c>
      <c r="CA89" s="21" t="str">
        <f t="shared" si="87"/>
        <v/>
      </c>
      <c r="CB89" s="21" t="str">
        <f t="shared" si="87"/>
        <v/>
      </c>
      <c r="CC89" s="75" t="str">
        <f>IF($J$24="Español","Placaje Heroico",(IF($J$24="Deutsch","Sichere Hände",(IF($J$24="Français","Rétablissement","Safe Pair of Hands")))))</f>
        <v>Placaje Heroico</v>
      </c>
      <c r="CD89" s="2" t="s">
        <v>168</v>
      </c>
      <c r="CE89" s="80" t="s">
        <v>216</v>
      </c>
      <c r="CF89" s="2"/>
      <c r="CG89" s="2" t="str">
        <f t="shared" si="71"/>
        <v/>
      </c>
      <c r="CH89" s="2" t="str">
        <f t="shared" si="72"/>
        <v/>
      </c>
      <c r="CI89" s="2" t="str">
        <f t="shared" si="73"/>
        <v/>
      </c>
      <c r="CJ89" s="2" t="str">
        <f t="shared" si="74"/>
        <v/>
      </c>
      <c r="CK89" s="2" t="str">
        <f t="shared" si="75"/>
        <v/>
      </c>
      <c r="CL89" s="2" t="str">
        <f t="shared" si="76"/>
        <v/>
      </c>
      <c r="CM89" s="2" t="str">
        <f t="shared" si="77"/>
        <v/>
      </c>
      <c r="CN89" s="2" t="str">
        <f t="shared" si="78"/>
        <v/>
      </c>
      <c r="CO89" s="2" t="str">
        <f t="shared" si="79"/>
        <v/>
      </c>
      <c r="CP89" s="2" t="str">
        <f t="shared" si="80"/>
        <v/>
      </c>
      <c r="CQ89" s="2" t="str">
        <f t="shared" si="81"/>
        <v/>
      </c>
      <c r="CR89" s="2" t="str">
        <f t="shared" si="82"/>
        <v/>
      </c>
      <c r="CS89" s="2" t="str">
        <f t="shared" si="83"/>
        <v/>
      </c>
      <c r="CT89" s="2" t="str">
        <f t="shared" si="84"/>
        <v/>
      </c>
      <c r="CU89" s="2" t="str">
        <f t="shared" si="85"/>
        <v/>
      </c>
      <c r="CV89" s="2" t="str">
        <f t="shared" si="86"/>
        <v/>
      </c>
      <c r="CW89" s="2"/>
      <c r="CX89" s="2"/>
      <c r="CY89" s="2"/>
      <c r="CZ89" s="2"/>
    </row>
    <row r="90" spans="2:104" ht="15" hidden="1" customHeight="1" x14ac:dyDescent="0.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12">
        <v>25</v>
      </c>
      <c r="AR90" s="12">
        <v>720000</v>
      </c>
      <c r="AS90" s="12">
        <v>250000</v>
      </c>
      <c r="AT90" s="1"/>
      <c r="AU90" s="1"/>
      <c r="AV90" s="1"/>
      <c r="AW90" s="1"/>
      <c r="AX90" s="2"/>
      <c r="AY90" s="2"/>
      <c r="AZ90" s="1">
        <v>170000</v>
      </c>
      <c r="BA90" s="2"/>
      <c r="BB90" s="2"/>
      <c r="BC90" s="2"/>
      <c r="BD90" s="2"/>
      <c r="BE90" s="2"/>
      <c r="BJ90" s="13"/>
      <c r="BL90" s="13"/>
      <c r="BN90" s="13"/>
      <c r="BO90" s="2"/>
      <c r="BP90" s="13"/>
      <c r="BS90" s="81" t="str">
        <f>IF($J$24="Español","Pies Firmes",(IF($J$24="Deutsch","Heimtückisch",(IF($J$24="Français","Réception plongeante ","Leap")))))</f>
        <v>Pies Firmes</v>
      </c>
      <c r="BT90" s="21" t="s">
        <v>168</v>
      </c>
      <c r="BU90" s="81" t="str">
        <f>IF($J$24="Español","Pies Firmes",(IF($J$24="Deutsch","Heimtückisch",(IF($J$24="Français","Réception plongeante ","Leap")))))</f>
        <v>Pies Firmes</v>
      </c>
      <c r="BV90" s="21" t="s">
        <v>168</v>
      </c>
      <c r="BW90" s="81" t="str">
        <f>IF($J$24="Español","Pies Firmes",(IF($J$24="Deutsch","Heimtückisch",(IF($J$24="Français","Réception plongeante ","Leap")))))</f>
        <v>Pies Firmes</v>
      </c>
      <c r="BX90" s="21" t="s">
        <v>168</v>
      </c>
      <c r="BY90" s="75" t="str">
        <f>IF($J$24="Español","Pies Firmes",(IF($J$24="Deutsch","Heimtückisch",(IF($J$24="Français","Réception plongeante ","Leap")))))</f>
        <v>Pies Firmes</v>
      </c>
      <c r="BZ90" s="21" t="s">
        <v>168</v>
      </c>
      <c r="CA90" s="21" t="str">
        <f t="shared" si="87"/>
        <v/>
      </c>
      <c r="CB90" s="21" t="str">
        <f t="shared" si="87"/>
        <v/>
      </c>
      <c r="CC90" s="75" t="str">
        <f>IF($J$24="Español","Proteger el Cuero",(IF($J$24="Deutsch","Springen",(IF($J$24="Français","Saut","Sidestep")))))</f>
        <v>Proteger el Cuero</v>
      </c>
      <c r="CD90" s="2" t="s">
        <v>168</v>
      </c>
      <c r="CE90" s="80"/>
      <c r="CF90" s="2"/>
      <c r="CG90" s="2" t="str">
        <f t="shared" si="71"/>
        <v/>
      </c>
      <c r="CH90" s="2" t="str">
        <f t="shared" si="72"/>
        <v/>
      </c>
      <c r="CI90" s="2" t="str">
        <f t="shared" si="73"/>
        <v/>
      </c>
      <c r="CJ90" s="2" t="str">
        <f t="shared" si="74"/>
        <v/>
      </c>
      <c r="CK90" s="2" t="str">
        <f t="shared" si="75"/>
        <v/>
      </c>
      <c r="CL90" s="2" t="str">
        <f t="shared" si="76"/>
        <v/>
      </c>
      <c r="CM90" s="2" t="str">
        <f t="shared" si="77"/>
        <v/>
      </c>
      <c r="CN90" s="2" t="str">
        <f t="shared" si="78"/>
        <v/>
      </c>
      <c r="CO90" s="2" t="str">
        <f t="shared" si="79"/>
        <v/>
      </c>
      <c r="CP90" s="2" t="str">
        <f t="shared" si="80"/>
        <v/>
      </c>
      <c r="CQ90" s="2" t="str">
        <f t="shared" si="81"/>
        <v/>
      </c>
      <c r="CR90" s="2" t="str">
        <f t="shared" si="82"/>
        <v/>
      </c>
      <c r="CS90" s="2" t="str">
        <f t="shared" si="83"/>
        <v/>
      </c>
      <c r="CT90" s="2" t="str">
        <f t="shared" si="84"/>
        <v/>
      </c>
      <c r="CU90" s="2" t="str">
        <f t="shared" si="85"/>
        <v/>
      </c>
      <c r="CV90" s="2" t="str">
        <f t="shared" si="86"/>
        <v/>
      </c>
      <c r="CW90" s="2"/>
      <c r="CX90" s="2"/>
      <c r="CY90" s="2"/>
      <c r="CZ90" s="2"/>
    </row>
    <row r="91" spans="2:104" ht="15" hidden="1" customHeight="1" x14ac:dyDescent="0.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13">
        <v>26</v>
      </c>
      <c r="AR91" s="12">
        <v>725000</v>
      </c>
      <c r="AS91" s="12">
        <v>260000</v>
      </c>
      <c r="AT91" s="1"/>
      <c r="AU91" s="1"/>
      <c r="AV91" s="1"/>
      <c r="AW91" s="1"/>
      <c r="AX91" s="2"/>
      <c r="AY91" s="2"/>
      <c r="AZ91" s="1">
        <v>180000</v>
      </c>
      <c r="BA91" s="2"/>
      <c r="BB91" s="2"/>
      <c r="BC91" s="2"/>
      <c r="BD91" s="2"/>
      <c r="BE91" s="2"/>
      <c r="BJ91" s="13"/>
      <c r="BL91" s="13"/>
      <c r="BN91" s="13"/>
      <c r="BO91" s="2"/>
      <c r="BP91" s="13"/>
      <c r="BS91" s="81" t="str">
        <f>IF($J$24="Español","Placaje Heroico",(IF($J$24="Deutsch","Sichere Hände",(IF($J$24="Français","Rétablissement","Safe Pair of Hands")))))</f>
        <v>Placaje Heroico</v>
      </c>
      <c r="BT91" s="21" t="s">
        <v>168</v>
      </c>
      <c r="BU91" s="81" t="str">
        <f>IF($J$24="Español","Placaje Heroico",(IF($J$24="Deutsch","Sichere Hände",(IF($J$24="Français","Rétablissement","Safe Pair of Hands")))))</f>
        <v>Placaje Heroico</v>
      </c>
      <c r="BV91" s="21" t="s">
        <v>168</v>
      </c>
      <c r="BW91" s="81" t="str">
        <f>IF($J$24="Español","Placaje Heroico",(IF($J$24="Deutsch","Sichere Hände",(IF($J$24="Français","Rétablissement","Safe Pair of Hands")))))</f>
        <v>Placaje Heroico</v>
      </c>
      <c r="BX91" s="21" t="s">
        <v>168</v>
      </c>
      <c r="BY91" s="75" t="str">
        <f>IF($J$24="Español","Placaje Heroico",(IF($J$24="Deutsch","Sichere Hände",(IF($J$24="Français","Rétablissement","Safe Pair of Hands")))))</f>
        <v>Placaje Heroico</v>
      </c>
      <c r="BZ91" s="21" t="s">
        <v>168</v>
      </c>
      <c r="CA91" s="21" t="str">
        <f t="shared" si="87"/>
        <v/>
      </c>
      <c r="CB91" s="21" t="str">
        <f t="shared" si="87"/>
        <v/>
      </c>
      <c r="CC91" s="75" t="str">
        <f>IF($J$24="Español","Recepción Heroica",(IF($J$24="Deutsch","Sprinten",(IF($J$24="Français","Sprint","Sneaky Git")))))</f>
        <v>Recepción Heroica</v>
      </c>
      <c r="CD91" s="2" t="s">
        <v>168</v>
      </c>
      <c r="CE91" s="80"/>
      <c r="CF91" s="2"/>
      <c r="CG91" s="2" t="str">
        <f t="shared" si="71"/>
        <v/>
      </c>
      <c r="CH91" s="2" t="str">
        <f t="shared" si="72"/>
        <v/>
      </c>
      <c r="CI91" s="2" t="str">
        <f t="shared" si="73"/>
        <v/>
      </c>
      <c r="CJ91" s="2" t="str">
        <f t="shared" si="74"/>
        <v/>
      </c>
      <c r="CK91" s="2" t="str">
        <f t="shared" si="75"/>
        <v/>
      </c>
      <c r="CL91" s="2" t="str">
        <f t="shared" si="76"/>
        <v/>
      </c>
      <c r="CM91" s="2" t="str">
        <f t="shared" si="77"/>
        <v/>
      </c>
      <c r="CN91" s="2" t="str">
        <f t="shared" si="78"/>
        <v/>
      </c>
      <c r="CO91" s="2" t="str">
        <f t="shared" si="79"/>
        <v/>
      </c>
      <c r="CP91" s="2" t="str">
        <f t="shared" si="80"/>
        <v/>
      </c>
      <c r="CQ91" s="2" t="str">
        <f t="shared" si="81"/>
        <v/>
      </c>
      <c r="CR91" s="2" t="str">
        <f t="shared" si="82"/>
        <v/>
      </c>
      <c r="CS91" s="2" t="str">
        <f t="shared" si="83"/>
        <v/>
      </c>
      <c r="CT91" s="2" t="str">
        <f t="shared" si="84"/>
        <v/>
      </c>
      <c r="CU91" s="2" t="str">
        <f t="shared" si="85"/>
        <v/>
      </c>
      <c r="CV91" s="2" t="str">
        <f t="shared" si="86"/>
        <v/>
      </c>
      <c r="CW91" s="2"/>
      <c r="CX91" s="2"/>
      <c r="CY91" s="2"/>
      <c r="CZ91" s="2"/>
    </row>
    <row r="92" spans="2:104" ht="15" hidden="1" customHeight="1" x14ac:dyDescent="0.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13">
        <v>27</v>
      </c>
      <c r="AR92" s="12">
        <v>730000</v>
      </c>
      <c r="AS92" s="12">
        <v>270000</v>
      </c>
      <c r="AT92" s="1"/>
      <c r="AU92" s="1"/>
      <c r="AV92" s="1"/>
      <c r="AW92" s="1"/>
      <c r="AX92" s="2"/>
      <c r="AY92" s="2"/>
      <c r="AZ92" s="1">
        <v>190000</v>
      </c>
      <c r="BA92" s="2"/>
      <c r="BB92" s="2"/>
      <c r="BC92" s="2"/>
      <c r="BD92" s="2"/>
      <c r="BE92" s="2"/>
      <c r="BJ92" s="13"/>
      <c r="BL92" s="13"/>
      <c r="BN92" s="13"/>
      <c r="BO92" s="2"/>
      <c r="BP92" s="13"/>
      <c r="BS92" s="81" t="str">
        <f>IF($J$24="Español","Proteger el Cuero",(IF($J$24="Deutsch","Springen",(IF($J$24="Français","Saut","Sidestep")))))</f>
        <v>Proteger el Cuero</v>
      </c>
      <c r="BT92" s="21" t="s">
        <v>168</v>
      </c>
      <c r="BU92" s="81" t="str">
        <f>IF($J$24="Español","Proteger el Cuero",(IF($J$24="Deutsch","Springen",(IF($J$24="Français","Saut","Sidestep")))))</f>
        <v>Proteger el Cuero</v>
      </c>
      <c r="BV92" s="21" t="s">
        <v>168</v>
      </c>
      <c r="BW92" s="81" t="str">
        <f>IF($J$24="Español","Proteger el Cuero",(IF($J$24="Deutsch","Springen",(IF($J$24="Français","Saut","Sidestep")))))</f>
        <v>Proteger el Cuero</v>
      </c>
      <c r="BX92" s="21" t="s">
        <v>168</v>
      </c>
      <c r="BY92" s="75" t="str">
        <f>IF($J$24="Español","Proteger el Cuero",(IF($J$24="Deutsch","Springen",(IF($J$24="Français","Saut","Sidestep")))))</f>
        <v>Proteger el Cuero</v>
      </c>
      <c r="BZ92" s="21" t="s">
        <v>168</v>
      </c>
      <c r="CA92" s="21" t="str">
        <f t="shared" si="87"/>
        <v/>
      </c>
      <c r="CB92" s="21" t="str">
        <f t="shared" si="87"/>
        <v/>
      </c>
      <c r="CC92" s="75" t="str">
        <f>IF($J$24="Español","Romper Defensas",(IF($J$24="Deutsch","Sprintensicher",(IF($J$24="Français","Sournois","Sprint")))))</f>
        <v>Romper Defensas</v>
      </c>
      <c r="CD92" s="2" t="s">
        <v>168</v>
      </c>
      <c r="CE92" s="80"/>
      <c r="CF92" s="2"/>
      <c r="CG92" s="2" t="str">
        <f t="shared" si="71"/>
        <v/>
      </c>
      <c r="CH92" s="2" t="str">
        <f t="shared" si="72"/>
        <v/>
      </c>
      <c r="CI92" s="2" t="str">
        <f t="shared" si="73"/>
        <v/>
      </c>
      <c r="CJ92" s="2" t="str">
        <f t="shared" si="74"/>
        <v/>
      </c>
      <c r="CK92" s="2" t="str">
        <f t="shared" si="75"/>
        <v/>
      </c>
      <c r="CL92" s="2" t="str">
        <f t="shared" si="76"/>
        <v/>
      </c>
      <c r="CM92" s="2" t="str">
        <f t="shared" si="77"/>
        <v/>
      </c>
      <c r="CN92" s="2" t="str">
        <f t="shared" si="78"/>
        <v/>
      </c>
      <c r="CO92" s="2" t="str">
        <f t="shared" si="79"/>
        <v/>
      </c>
      <c r="CP92" s="2" t="str">
        <f t="shared" si="80"/>
        <v/>
      </c>
      <c r="CQ92" s="2" t="str">
        <f t="shared" si="81"/>
        <v/>
      </c>
      <c r="CR92" s="2" t="str">
        <f t="shared" si="82"/>
        <v/>
      </c>
      <c r="CS92" s="2" t="str">
        <f t="shared" si="83"/>
        <v/>
      </c>
      <c r="CT92" s="2" t="str">
        <f t="shared" si="84"/>
        <v/>
      </c>
      <c r="CU92" s="2" t="str">
        <f t="shared" si="85"/>
        <v/>
      </c>
      <c r="CV92" s="2" t="str">
        <f t="shared" si="86"/>
        <v/>
      </c>
      <c r="CW92" s="2"/>
      <c r="CX92" s="2"/>
      <c r="CY92" s="2"/>
      <c r="CZ92" s="2"/>
    </row>
    <row r="93" spans="2:104" ht="15" hidden="1" customHeight="1" x14ac:dyDescent="0.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12">
        <v>28</v>
      </c>
      <c r="AR93" s="12">
        <v>735000</v>
      </c>
      <c r="AS93" s="12">
        <v>280000</v>
      </c>
      <c r="AT93" s="1"/>
      <c r="AU93" s="1"/>
      <c r="AV93" s="1"/>
      <c r="AW93" s="1"/>
      <c r="AX93" s="2"/>
      <c r="AY93" s="2"/>
      <c r="AZ93" s="1">
        <v>200000</v>
      </c>
      <c r="BA93" s="2"/>
      <c r="BB93" s="2"/>
      <c r="BC93" s="2"/>
      <c r="BD93" s="2"/>
      <c r="BE93" s="2"/>
      <c r="BJ93" s="13"/>
      <c r="BL93" s="13"/>
      <c r="BN93" s="13"/>
      <c r="BO93" s="2"/>
      <c r="BP93" s="13"/>
      <c r="BS93" s="81" t="str">
        <f>IF($J$24="Español","Recepción Heroica",(IF($J$24="Deutsch","Sprinten",(IF($J$24="Français","Sprint","Sneaky Git")))))</f>
        <v>Recepción Heroica</v>
      </c>
      <c r="BT93" s="21" t="s">
        <v>168</v>
      </c>
      <c r="BU93" s="81" t="str">
        <f>IF($J$24="Español","Recepción Heroica",(IF($J$24="Deutsch","Sprinten",(IF($J$24="Français","Sprint","Sneaky Git")))))</f>
        <v>Recepción Heroica</v>
      </c>
      <c r="BV93" s="21" t="s">
        <v>168</v>
      </c>
      <c r="BW93" s="81" t="str">
        <f>IF($J$24="Español","Recepción Heroica",(IF($J$24="Deutsch","Sprinten",(IF($J$24="Français","Sprint","Sneaky Git")))))</f>
        <v>Recepción Heroica</v>
      </c>
      <c r="BX93" s="21" t="s">
        <v>168</v>
      </c>
      <c r="BY93" s="75" t="str">
        <f>IF($J$24="Español","Recepción Heroica",(IF($J$24="Deutsch","Sprinten",(IF($J$24="Français","Sprint","Sneaky Git")))))</f>
        <v>Recepción Heroica</v>
      </c>
      <c r="BZ93" s="21" t="s">
        <v>168</v>
      </c>
      <c r="CA93" s="21" t="str">
        <f t="shared" si="87"/>
        <v/>
      </c>
      <c r="CB93" s="21" t="str">
        <f t="shared" si="87"/>
        <v/>
      </c>
      <c r="CC93" s="75" t="str">
        <f>IF($J$24="Español","Saltar",(IF($J$24="Deutsch","Wehrhaft",(IF($J$24="Français","Tacle plongeant ","Sure Feet")))))</f>
        <v>Saltar</v>
      </c>
      <c r="CD93" s="2" t="s">
        <v>168</v>
      </c>
      <c r="CE93" s="80"/>
      <c r="CF93" s="2"/>
      <c r="CG93" s="2" t="str">
        <f t="shared" si="71"/>
        <v/>
      </c>
      <c r="CH93" s="2" t="str">
        <f t="shared" si="72"/>
        <v/>
      </c>
      <c r="CI93" s="2" t="str">
        <f t="shared" si="73"/>
        <v/>
      </c>
      <c r="CJ93" s="2" t="str">
        <f t="shared" si="74"/>
        <v/>
      </c>
      <c r="CK93" s="2" t="str">
        <f t="shared" si="75"/>
        <v/>
      </c>
      <c r="CL93" s="2" t="str">
        <f t="shared" si="76"/>
        <v/>
      </c>
      <c r="CM93" s="2" t="str">
        <f t="shared" si="77"/>
        <v/>
      </c>
      <c r="CN93" s="2" t="str">
        <f t="shared" si="78"/>
        <v/>
      </c>
      <c r="CO93" s="2" t="str">
        <f t="shared" si="79"/>
        <v/>
      </c>
      <c r="CP93" s="2" t="str">
        <f t="shared" si="80"/>
        <v/>
      </c>
      <c r="CQ93" s="2" t="str">
        <f t="shared" si="81"/>
        <v/>
      </c>
      <c r="CR93" s="2" t="str">
        <f t="shared" si="82"/>
        <v/>
      </c>
      <c r="CS93" s="2" t="str">
        <f t="shared" si="83"/>
        <v/>
      </c>
      <c r="CT93" s="2" t="str">
        <f t="shared" si="84"/>
        <v/>
      </c>
      <c r="CU93" s="2" t="str">
        <f t="shared" si="85"/>
        <v/>
      </c>
      <c r="CV93" s="2" t="str">
        <f t="shared" si="86"/>
        <v/>
      </c>
      <c r="CW93" s="2"/>
      <c r="CX93" s="2"/>
      <c r="CY93" s="2"/>
      <c r="CZ93" s="2"/>
    </row>
    <row r="94" spans="2:104" ht="15" hidden="1" customHeight="1" x14ac:dyDescent="0.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13">
        <v>29</v>
      </c>
      <c r="AR94" s="12">
        <v>740000</v>
      </c>
      <c r="AS94" s="12">
        <v>290000</v>
      </c>
      <c r="AT94" s="1"/>
      <c r="AU94" s="1"/>
      <c r="AV94" s="1"/>
      <c r="AW94" s="1"/>
      <c r="AX94" s="2"/>
      <c r="AY94" s="2"/>
      <c r="AZ94" s="1">
        <v>210000</v>
      </c>
      <c r="BA94" s="2"/>
      <c r="BB94" s="2"/>
      <c r="BC94" s="2"/>
      <c r="BD94" s="2"/>
      <c r="BE94" s="2"/>
      <c r="BJ94" s="13"/>
      <c r="BL94" s="13"/>
      <c r="BN94" s="13"/>
      <c r="BO94" s="2"/>
      <c r="BP94" s="13"/>
      <c r="BS94" s="81" t="str">
        <f>IF($J$24="Español","Romper Defensas",(IF($J$24="Deutsch","Sprintensicher",(IF($J$24="Français","Sournois","Sprint")))))</f>
        <v>Romper Defensas</v>
      </c>
      <c r="BT94" s="21" t="s">
        <v>168</v>
      </c>
      <c r="BU94" s="81" t="str">
        <f>IF($J$24="Español","Romper Defensas",(IF($J$24="Deutsch","Sprintensicher",(IF($J$24="Français","Sournois","Sprint")))))</f>
        <v>Romper Defensas</v>
      </c>
      <c r="BV94" s="21" t="s">
        <v>168</v>
      </c>
      <c r="BW94" s="81" t="str">
        <f>IF($J$24="Español","Romper Defensas",(IF($J$24="Deutsch","Sprintensicher",(IF($J$24="Français","Sournois","Sprint")))))</f>
        <v>Romper Defensas</v>
      </c>
      <c r="BX94" s="21" t="s">
        <v>168</v>
      </c>
      <c r="BY94" s="75" t="str">
        <f>IF($J$24="Español","Romper Defensas",(IF($J$24="Deutsch","Sprintensicher",(IF($J$24="Français","Sournois","Sprint")))))</f>
        <v>Romper Defensas</v>
      </c>
      <c r="BZ94" s="21" t="s">
        <v>168</v>
      </c>
      <c r="CA94" s="21" t="str">
        <f t="shared" si="87"/>
        <v/>
      </c>
      <c r="CB94" s="21" t="str">
        <f t="shared" si="87"/>
        <v/>
      </c>
      <c r="CC94" s="21" t="str">
        <f>IF($J$24="Español","Atento al Balón",(IF($J$24="Deutsch","Abspiel",(IF($J$24="Français","Canonnier","Accurate")))))</f>
        <v>Atento al Balón</v>
      </c>
      <c r="CD94" s="2" t="s">
        <v>170</v>
      </c>
      <c r="CE94" s="80"/>
      <c r="CG94" s="2" t="str">
        <f t="shared" si="71"/>
        <v/>
      </c>
      <c r="CH94" s="2" t="str">
        <f t="shared" si="72"/>
        <v/>
      </c>
      <c r="CI94" s="2" t="str">
        <f t="shared" si="73"/>
        <v/>
      </c>
      <c r="CJ94" s="2" t="str">
        <f t="shared" si="74"/>
        <v/>
      </c>
      <c r="CK94" s="2" t="str">
        <f t="shared" si="75"/>
        <v/>
      </c>
      <c r="CL94" s="2" t="str">
        <f t="shared" si="76"/>
        <v/>
      </c>
      <c r="CM94" s="2" t="str">
        <f t="shared" si="77"/>
        <v/>
      </c>
      <c r="CN94" s="2" t="str">
        <f t="shared" si="78"/>
        <v/>
      </c>
      <c r="CO94" s="2" t="str">
        <f t="shared" si="79"/>
        <v/>
      </c>
      <c r="CP94" s="2" t="str">
        <f t="shared" si="80"/>
        <v/>
      </c>
      <c r="CQ94" s="2" t="str">
        <f t="shared" si="81"/>
        <v/>
      </c>
      <c r="CR94" s="2" t="str">
        <f t="shared" si="82"/>
        <v/>
      </c>
      <c r="CS94" s="2" t="str">
        <f t="shared" si="83"/>
        <v/>
      </c>
      <c r="CT94" s="2" t="str">
        <f t="shared" si="84"/>
        <v/>
      </c>
      <c r="CU94" s="2" t="str">
        <f t="shared" si="85"/>
        <v/>
      </c>
      <c r="CV94" s="2" t="str">
        <f t="shared" si="86"/>
        <v/>
      </c>
      <c r="CW94" s="2"/>
      <c r="CX94" s="2"/>
      <c r="CY94" s="2"/>
      <c r="CZ94" s="2"/>
    </row>
    <row r="95" spans="2:104" ht="15" hidden="1" customHeight="1" x14ac:dyDescent="0.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13">
        <v>30</v>
      </c>
      <c r="AR95" s="12">
        <v>745000</v>
      </c>
      <c r="AS95" s="12">
        <v>300000</v>
      </c>
      <c r="AT95" s="1"/>
      <c r="AU95" s="1"/>
      <c r="AV95" s="1"/>
      <c r="AW95" s="1"/>
      <c r="AX95" s="2"/>
      <c r="AY95" s="2"/>
      <c r="AZ95" s="1">
        <v>220000</v>
      </c>
      <c r="BA95" s="2"/>
      <c r="BB95" s="2"/>
      <c r="BC95" s="2"/>
      <c r="BD95" s="2"/>
      <c r="BE95" s="2"/>
      <c r="BJ95" s="13"/>
      <c r="BL95" s="13"/>
      <c r="BN95" s="13"/>
      <c r="BO95" s="2"/>
      <c r="BP95" s="13"/>
      <c r="BS95" s="81" t="str">
        <f>IF($J$24="Español","Saltar",(IF($J$24="Deutsch","Wehrhaft",(IF($J$24="Français","Tacle plongeant ","Sure Feet")))))</f>
        <v>Saltar</v>
      </c>
      <c r="BT95" s="21" t="s">
        <v>168</v>
      </c>
      <c r="BU95" s="81" t="str">
        <f>IF($J$24="Español","Saltar",(IF($J$24="Deutsch","Wehrhaft",(IF($J$24="Français","Tacle plongeant ","Sure Feet")))))</f>
        <v>Saltar</v>
      </c>
      <c r="BV95" s="21" t="s">
        <v>168</v>
      </c>
      <c r="BW95" s="81" t="str">
        <f>IF($J$24="Español","Saltar",(IF($J$24="Deutsch","Wehrhaft",(IF($J$24="Français","Tacle plongeant ","Sure Feet")))))</f>
        <v>Saltar</v>
      </c>
      <c r="BX95" s="21" t="s">
        <v>168</v>
      </c>
      <c r="BY95" s="75" t="str">
        <f>IF($J$24="Español","Saltar",(IF($J$24="Deutsch","Wehrhaft",(IF($J$24="Français","Tacle plongeant ","Sure Feet")))))</f>
        <v>Saltar</v>
      </c>
      <c r="BZ95" s="21" t="s">
        <v>168</v>
      </c>
      <c r="CA95" s="21" t="str">
        <f t="shared" si="87"/>
        <v/>
      </c>
      <c r="CB95" s="21" t="str">
        <f t="shared" si="87"/>
        <v/>
      </c>
      <c r="CC95" s="21" t="str">
        <f>IF($J$24="Español","Cañonero",(IF($J$24="Deutsch","Hau wech das Leder",(IF($J$24="Français","Chef","Cannoneer")))))</f>
        <v>Cañonero</v>
      </c>
      <c r="CD95" s="2" t="s">
        <v>170</v>
      </c>
      <c r="CE95" s="80"/>
      <c r="CG95" s="2" t="str">
        <f t="shared" si="71"/>
        <v/>
      </c>
      <c r="CH95" s="2" t="str">
        <f t="shared" si="72"/>
        <v/>
      </c>
      <c r="CI95" s="2" t="str">
        <f t="shared" si="73"/>
        <v/>
      </c>
      <c r="CJ95" s="2" t="str">
        <f t="shared" si="74"/>
        <v/>
      </c>
      <c r="CK95" s="2" t="str">
        <f t="shared" si="75"/>
        <v/>
      </c>
      <c r="CL95" s="2" t="str">
        <f t="shared" si="76"/>
        <v/>
      </c>
      <c r="CM95" s="2" t="str">
        <f t="shared" si="77"/>
        <v/>
      </c>
      <c r="CN95" s="2" t="str">
        <f t="shared" si="78"/>
        <v/>
      </c>
      <c r="CO95" s="2" t="str">
        <f t="shared" si="79"/>
        <v/>
      </c>
      <c r="CP95" s="2" t="str">
        <f t="shared" si="80"/>
        <v/>
      </c>
      <c r="CQ95" s="2" t="str">
        <f t="shared" si="81"/>
        <v/>
      </c>
      <c r="CR95" s="2" t="str">
        <f t="shared" si="82"/>
        <v/>
      </c>
      <c r="CS95" s="2" t="str">
        <f t="shared" si="83"/>
        <v/>
      </c>
      <c r="CT95" s="2" t="str">
        <f t="shared" si="84"/>
        <v/>
      </c>
      <c r="CU95" s="2" t="str">
        <f t="shared" si="85"/>
        <v/>
      </c>
      <c r="CV95" s="2" t="str">
        <f t="shared" si="86"/>
        <v/>
      </c>
      <c r="CW95" s="2"/>
      <c r="CX95" s="2"/>
      <c r="CY95" s="2"/>
      <c r="CZ95" s="2"/>
    </row>
    <row r="96" spans="2:104" ht="15" hidden="1" customHeight="1" x14ac:dyDescent="0.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12">
        <v>31</v>
      </c>
      <c r="AR96" s="12">
        <v>750000</v>
      </c>
      <c r="AS96" s="12">
        <v>310000</v>
      </c>
      <c r="AT96" s="1"/>
      <c r="AU96" s="1"/>
      <c r="AV96" s="1"/>
      <c r="AW96" s="1"/>
      <c r="AX96" s="2"/>
      <c r="AY96" s="2"/>
      <c r="AZ96" s="1">
        <v>230000</v>
      </c>
      <c r="BA96" s="2"/>
      <c r="BB96" s="2"/>
      <c r="BC96" s="2"/>
      <c r="BD96" s="2"/>
      <c r="BE96" s="2"/>
      <c r="BJ96" s="13"/>
      <c r="BL96" s="13"/>
      <c r="BN96" s="13"/>
      <c r="BO96" s="2"/>
      <c r="BP96" s="13"/>
      <c r="BS96" s="21" t="str">
        <f>IF($J$24="Español","Atento al Balón",(IF($J$24="Deutsch","Abspiel",(IF($J$24="Français","Canonnier","Accurate")))))</f>
        <v>Atento al Balón</v>
      </c>
      <c r="BT96" s="21" t="s">
        <v>170</v>
      </c>
      <c r="BU96" s="81" t="str">
        <f>IF($J$24="Español","Abrirse Paso",(IF($J$24="Deutsch","Armhebel",(IF($J$24="Français","Bagarre","Arm Bar")))))</f>
        <v>Abrirse Paso</v>
      </c>
      <c r="BV96" s="21" t="s">
        <v>169</v>
      </c>
      <c r="BW96" s="21" t="str">
        <f>IF($J$24="Español","Atento al Balón",(IF($J$24="Deutsch","Abspiel",(IF($J$24="Français","Canonnier","Accurate")))))</f>
        <v>Atento al Balón</v>
      </c>
      <c r="BX96" s="21" t="s">
        <v>170</v>
      </c>
      <c r="BY96" s="75" t="str">
        <f>IF($J$24="Español","Abrirse Paso",(IF($J$24="Deutsch","Armhebel",(IF($J$24="Français","Bagarre","Arm Bar")))))</f>
        <v>Abrirse Paso</v>
      </c>
      <c r="BZ96" s="21" t="s">
        <v>169</v>
      </c>
      <c r="CA96" s="21" t="str">
        <f t="shared" si="87"/>
        <v/>
      </c>
      <c r="CB96" s="21" t="str">
        <f t="shared" si="87"/>
        <v/>
      </c>
      <c r="CC96" s="75" t="str">
        <f>IF($J$24="Español","Dejada",(IF($J$24="Deutsch","Im Laufen passen",(IF($J$24="Français","Délestage","Cloud Burster")))))</f>
        <v>Dejada</v>
      </c>
      <c r="CD96" s="2" t="s">
        <v>170</v>
      </c>
      <c r="CE96" s="80"/>
      <c r="CG96" s="2" t="str">
        <f t="shared" si="71"/>
        <v/>
      </c>
      <c r="CH96" s="2" t="str">
        <f t="shared" si="72"/>
        <v/>
      </c>
      <c r="CI96" s="2" t="str">
        <f t="shared" si="73"/>
        <v/>
      </c>
      <c r="CJ96" s="2" t="str">
        <f t="shared" si="74"/>
        <v/>
      </c>
      <c r="CK96" s="2" t="str">
        <f t="shared" si="75"/>
        <v/>
      </c>
      <c r="CL96" s="2" t="str">
        <f t="shared" si="76"/>
        <v/>
      </c>
      <c r="CM96" s="2" t="str">
        <f t="shared" si="77"/>
        <v/>
      </c>
      <c r="CN96" s="2" t="str">
        <f t="shared" si="78"/>
        <v/>
      </c>
      <c r="CO96" s="2" t="str">
        <f t="shared" si="79"/>
        <v/>
      </c>
      <c r="CP96" s="2" t="str">
        <f t="shared" si="80"/>
        <v/>
      </c>
      <c r="CQ96" s="2" t="str">
        <f t="shared" si="81"/>
        <v/>
      </c>
      <c r="CR96" s="2" t="str">
        <f t="shared" si="82"/>
        <v/>
      </c>
      <c r="CS96" s="2" t="str">
        <f t="shared" si="83"/>
        <v/>
      </c>
      <c r="CT96" s="2" t="str">
        <f t="shared" si="84"/>
        <v/>
      </c>
      <c r="CU96" s="2" t="str">
        <f t="shared" si="85"/>
        <v/>
      </c>
      <c r="CV96" s="2" t="str">
        <f t="shared" si="86"/>
        <v/>
      </c>
      <c r="CW96" s="2"/>
      <c r="CX96" s="2"/>
      <c r="CY96" s="2"/>
      <c r="CZ96" s="2"/>
    </row>
    <row r="97" spans="43:104" ht="15" hidden="1" customHeight="1" x14ac:dyDescent="0.2">
      <c r="AQ97" s="13">
        <v>32</v>
      </c>
      <c r="AR97" s="12">
        <v>755000</v>
      </c>
      <c r="AS97" s="12">
        <v>320000</v>
      </c>
      <c r="AT97" s="1"/>
      <c r="AU97" s="1"/>
      <c r="AV97" s="1"/>
      <c r="AW97" s="1"/>
      <c r="AX97" s="2"/>
      <c r="AY97" s="2"/>
      <c r="AZ97" s="1">
        <v>240000</v>
      </c>
      <c r="BA97" s="2"/>
      <c r="BB97" s="2"/>
      <c r="BC97" s="2"/>
      <c r="BD97" s="2"/>
      <c r="BE97" s="2"/>
      <c r="BJ97" s="13"/>
      <c r="BL97" s="13"/>
      <c r="BN97" s="13"/>
      <c r="BO97" s="2"/>
      <c r="BP97" s="13"/>
      <c r="BS97" s="21" t="str">
        <f>IF($J$24="Español","Cañonero",(IF($J$24="Deutsch","Hau wech das Leder",(IF($J$24="Français","Chef","Cannoneer")))))</f>
        <v>Cañonero</v>
      </c>
      <c r="BT97" s="21" t="s">
        <v>170</v>
      </c>
      <c r="BU97" s="81" t="str">
        <f>IF($J$24="Español","Apartar",(IF($J$24="Deutsch","Greifer",(IF($J$24="Français","Blocage multiple","Brawler")))))</f>
        <v>Apartar</v>
      </c>
      <c r="BV97" s="21" t="s">
        <v>169</v>
      </c>
      <c r="BW97" s="21" t="str">
        <f>IF($J$24="Español","Cañonero",(IF($J$24="Deutsch","Hau wech das Leder",(IF($J$24="Français","Chef","Cannoneer")))))</f>
        <v>Cañonero</v>
      </c>
      <c r="BX97" s="21" t="s">
        <v>170</v>
      </c>
      <c r="BY97" s="75" t="str">
        <f>IF($J$24="Español","Apartar",(IF($J$24="Deutsch","Greifer",(IF($J$24="Français","Blocage multiple","Brawler")))))</f>
        <v>Apartar</v>
      </c>
      <c r="BZ97" s="21" t="s">
        <v>169</v>
      </c>
      <c r="CA97" s="21" t="str">
        <f t="shared" si="87"/>
        <v/>
      </c>
      <c r="CB97" s="21" t="str">
        <f t="shared" si="87"/>
        <v/>
      </c>
      <c r="CC97" s="75" t="str">
        <f>IF($J$24="Español","Líder",(IF($J$24="Deutsch","In die Wolken",(IF($J$24="Français","Fumblerooskie","Dump-Off")))))</f>
        <v>Líder</v>
      </c>
      <c r="CD97" s="2" t="s">
        <v>170</v>
      </c>
      <c r="CE97" s="80"/>
      <c r="CG97" s="2" t="str">
        <f t="shared" si="71"/>
        <v/>
      </c>
      <c r="CH97" s="2" t="str">
        <f t="shared" si="72"/>
        <v/>
      </c>
      <c r="CI97" s="2" t="str">
        <f t="shared" si="73"/>
        <v/>
      </c>
      <c r="CJ97" s="2" t="str">
        <f t="shared" si="74"/>
        <v/>
      </c>
      <c r="CK97" s="2" t="str">
        <f t="shared" si="75"/>
        <v/>
      </c>
      <c r="CL97" s="2" t="str">
        <f t="shared" si="76"/>
        <v/>
      </c>
      <c r="CM97" s="2" t="str">
        <f t="shared" si="77"/>
        <v/>
      </c>
      <c r="CN97" s="2" t="str">
        <f t="shared" si="78"/>
        <v/>
      </c>
      <c r="CO97" s="2" t="str">
        <f t="shared" si="79"/>
        <v/>
      </c>
      <c r="CP97" s="2" t="str">
        <f t="shared" si="80"/>
        <v/>
      </c>
      <c r="CQ97" s="2" t="str">
        <f t="shared" si="81"/>
        <v/>
      </c>
      <c r="CR97" s="2" t="str">
        <f t="shared" si="82"/>
        <v/>
      </c>
      <c r="CS97" s="2" t="str">
        <f t="shared" si="83"/>
        <v/>
      </c>
      <c r="CT97" s="2" t="str">
        <f t="shared" si="84"/>
        <v/>
      </c>
      <c r="CU97" s="2" t="str">
        <f t="shared" si="85"/>
        <v/>
      </c>
      <c r="CV97" s="2" t="str">
        <f t="shared" si="86"/>
        <v/>
      </c>
      <c r="CW97" s="2"/>
      <c r="CX97" s="2"/>
      <c r="CY97" s="2"/>
      <c r="CZ97" s="2"/>
    </row>
    <row r="98" spans="43:104" ht="15" hidden="1" customHeight="1" x14ac:dyDescent="0.2">
      <c r="AQ98" s="13">
        <v>33</v>
      </c>
      <c r="AR98" s="12">
        <v>760000</v>
      </c>
      <c r="AS98" s="12">
        <v>330000</v>
      </c>
      <c r="AT98" s="1"/>
      <c r="AU98" s="1"/>
      <c r="AV98" s="1"/>
      <c r="AW98" s="1"/>
      <c r="AX98" s="2"/>
      <c r="AY98" s="2"/>
      <c r="AZ98" s="1">
        <v>250000</v>
      </c>
      <c r="BA98" s="2"/>
      <c r="BB98" s="2"/>
      <c r="BC98" s="2"/>
      <c r="BD98" s="2"/>
      <c r="BE98" s="2"/>
      <c r="BJ98" s="13"/>
      <c r="BL98" s="13"/>
      <c r="BN98" s="13"/>
      <c r="BO98" s="2"/>
      <c r="BP98" s="13"/>
      <c r="BS98" s="81" t="str">
        <f>IF($J$24="Español","Dejada",(IF($J$24="Deutsch","Im Laufen passen",(IF($J$24="Français","Délestage","Cloud Burster")))))</f>
        <v>Dejada</v>
      </c>
      <c r="BT98" s="21" t="s">
        <v>170</v>
      </c>
      <c r="BU98" s="81" t="str">
        <f>IF($J$24="Español","Brazo Fuerte",(IF($J$24="Deutsch","Knochenbrecher (+1)",(IF($J$24="Français","Bras musclé","Break Tackle")))))</f>
        <v>Brazo Fuerte</v>
      </c>
      <c r="BV98" s="21" t="s">
        <v>169</v>
      </c>
      <c r="BW98" s="81" t="str">
        <f>IF($J$24="Español","Dejada",(IF($J$24="Deutsch","Im Laufen passen",(IF($J$24="Français","Délestage","Cloud Burster")))))</f>
        <v>Dejada</v>
      </c>
      <c r="BX98" s="21" t="s">
        <v>170</v>
      </c>
      <c r="BY98" s="75" t="str">
        <f>IF($J$24="Español","Brazo Fuerte",(IF($J$24="Deutsch","Knochenbrecher (+1)",(IF($J$24="Français","Bras musclé","Break Tackle")))))</f>
        <v>Brazo Fuerte</v>
      </c>
      <c r="BZ98" s="21" t="s">
        <v>169</v>
      </c>
      <c r="CA98" s="21" t="str">
        <f t="shared" si="87"/>
        <v/>
      </c>
      <c r="CB98" s="21" t="str">
        <f t="shared" si="87"/>
        <v/>
      </c>
      <c r="CC98" s="75" t="str">
        <f>IF($J$24="Español","Nervios de Acero",(IF($J$24="Deutsch","Immer am Ball",(IF($J$24="Français","Nerfs d’acier","Fumblerooskie")))))</f>
        <v>Nervios de Acero</v>
      </c>
      <c r="CD98" s="2" t="s">
        <v>170</v>
      </c>
      <c r="CE98" s="80"/>
      <c r="CF98" s="2"/>
      <c r="CG98" s="2" t="str">
        <f t="shared" si="71"/>
        <v/>
      </c>
      <c r="CH98" s="2" t="str">
        <f t="shared" si="72"/>
        <v/>
      </c>
      <c r="CI98" s="2" t="str">
        <f t="shared" si="73"/>
        <v/>
      </c>
      <c r="CJ98" s="2" t="str">
        <f t="shared" si="74"/>
        <v/>
      </c>
      <c r="CK98" s="2" t="str">
        <f t="shared" si="75"/>
        <v/>
      </c>
      <c r="CL98" s="2" t="str">
        <f t="shared" si="76"/>
        <v/>
      </c>
      <c r="CM98" s="2" t="str">
        <f t="shared" si="77"/>
        <v/>
      </c>
      <c r="CN98" s="2" t="str">
        <f t="shared" si="78"/>
        <v/>
      </c>
      <c r="CO98" s="2" t="str">
        <f t="shared" si="79"/>
        <v/>
      </c>
      <c r="CP98" s="2" t="str">
        <f t="shared" si="80"/>
        <v/>
      </c>
      <c r="CQ98" s="2" t="str">
        <f t="shared" si="81"/>
        <v/>
      </c>
      <c r="CR98" s="2" t="str">
        <f t="shared" si="82"/>
        <v/>
      </c>
      <c r="CS98" s="2" t="str">
        <f t="shared" si="83"/>
        <v/>
      </c>
      <c r="CT98" s="2" t="str">
        <f t="shared" si="84"/>
        <v/>
      </c>
      <c r="CU98" s="2" t="str">
        <f t="shared" si="85"/>
        <v/>
      </c>
      <c r="CV98" s="2" t="str">
        <f t="shared" si="86"/>
        <v/>
      </c>
      <c r="CW98" s="2"/>
      <c r="CX98" s="2"/>
      <c r="CY98" s="2"/>
      <c r="CZ98" s="2"/>
    </row>
    <row r="99" spans="43:104" ht="15" hidden="1" customHeight="1" x14ac:dyDescent="0.2">
      <c r="AQ99" s="12">
        <v>34</v>
      </c>
      <c r="AR99" s="12">
        <v>765000</v>
      </c>
      <c r="AS99" s="12">
        <v>340000</v>
      </c>
      <c r="AT99" s="1"/>
      <c r="AU99" s="1"/>
      <c r="AV99" s="1"/>
      <c r="AW99" s="1"/>
      <c r="AX99" s="2"/>
      <c r="AY99" s="2"/>
      <c r="AZ99" s="1">
        <v>260000</v>
      </c>
      <c r="BA99" s="2"/>
      <c r="BB99" s="2"/>
      <c r="BC99" s="2"/>
      <c r="BD99" s="2"/>
      <c r="BE99" s="2"/>
      <c r="BJ99" s="13"/>
      <c r="BL99" s="13"/>
      <c r="BN99" s="13"/>
      <c r="BO99" s="2"/>
      <c r="BP99" s="13"/>
      <c r="BS99" s="81" t="str">
        <f>IF($J$24="Español","Líder",(IF($J$24="Deutsch","In die Wolken",(IF($J$24="Français","Fumblerooskie","Dump-Off")))))</f>
        <v>Líder</v>
      </c>
      <c r="BT99" s="21" t="s">
        <v>170</v>
      </c>
      <c r="BU99" s="81" t="str">
        <f>IF($J$24="Español","Cabeza Dura",(IF($J$24="Deutsch","Mehrfachblock",(IF($J$24="Français","Châtaigne (+1)","Grab")))))</f>
        <v>Cabeza Dura</v>
      </c>
      <c r="BV99" s="21" t="s">
        <v>169</v>
      </c>
      <c r="BW99" s="81" t="str">
        <f>IF($J$24="Español","Líder",(IF($J$24="Deutsch","In die Wolken",(IF($J$24="Français","Fumblerooskie","Dump-Off")))))</f>
        <v>Líder</v>
      </c>
      <c r="BX99" s="21" t="s">
        <v>170</v>
      </c>
      <c r="BY99" s="75" t="str">
        <f>IF($J$24="Español","Cabeza Dura",(IF($J$24="Deutsch","Mehrfachblock",(IF($J$24="Français","Châtaigne (+1)","Grab")))))</f>
        <v>Cabeza Dura</v>
      </c>
      <c r="BZ99" s="21" t="s">
        <v>169</v>
      </c>
      <c r="CA99" s="21" t="str">
        <f t="shared" si="87"/>
        <v/>
      </c>
      <c r="CB99" s="21" t="str">
        <f t="shared" si="87"/>
        <v/>
      </c>
      <c r="CC99" s="75" t="str">
        <f>IF($J$24="Español","Partenubes",(IF($J$24="Deutsch","Kanonier",(IF($J$24="Français","Passe","Hail Mary Pass")))))</f>
        <v>Partenubes</v>
      </c>
      <c r="CD99" s="2" t="s">
        <v>170</v>
      </c>
      <c r="CE99" s="80"/>
      <c r="CF99" s="2"/>
      <c r="CG99" s="2" t="str">
        <f t="shared" si="71"/>
        <v/>
      </c>
      <c r="CH99" s="2" t="str">
        <f t="shared" si="72"/>
        <v/>
      </c>
      <c r="CI99" s="2" t="str">
        <f t="shared" si="73"/>
        <v/>
      </c>
      <c r="CJ99" s="2" t="str">
        <f t="shared" si="74"/>
        <v/>
      </c>
      <c r="CK99" s="2" t="str">
        <f t="shared" si="75"/>
        <v/>
      </c>
      <c r="CL99" s="2" t="str">
        <f t="shared" si="76"/>
        <v/>
      </c>
      <c r="CM99" s="2" t="str">
        <f t="shared" si="77"/>
        <v/>
      </c>
      <c r="CN99" s="2" t="str">
        <f t="shared" si="78"/>
        <v/>
      </c>
      <c r="CO99" s="2" t="str">
        <f t="shared" si="79"/>
        <v/>
      </c>
      <c r="CP99" s="2" t="str">
        <f t="shared" si="80"/>
        <v/>
      </c>
      <c r="CQ99" s="2" t="str">
        <f t="shared" si="81"/>
        <v/>
      </c>
      <c r="CR99" s="2" t="str">
        <f t="shared" si="82"/>
        <v/>
      </c>
      <c r="CS99" s="2" t="str">
        <f t="shared" si="83"/>
        <v/>
      </c>
      <c r="CT99" s="2" t="str">
        <f t="shared" si="84"/>
        <v/>
      </c>
      <c r="CU99" s="2" t="str">
        <f t="shared" si="85"/>
        <v/>
      </c>
      <c r="CV99" s="2" t="str">
        <f t="shared" si="86"/>
        <v/>
      </c>
      <c r="CW99" s="2"/>
      <c r="CX99" s="2"/>
      <c r="CY99" s="2"/>
      <c r="CZ99" s="2"/>
    </row>
    <row r="100" spans="43:104" ht="15" hidden="1" customHeight="1" x14ac:dyDescent="0.2">
      <c r="AQ100" s="13">
        <v>35</v>
      </c>
      <c r="AR100" s="12">
        <v>770000</v>
      </c>
      <c r="AS100" s="12">
        <v>350000</v>
      </c>
      <c r="AT100" s="1"/>
      <c r="AU100" s="1"/>
      <c r="AV100" s="1"/>
      <c r="AW100" s="1"/>
      <c r="AX100" s="2"/>
      <c r="AY100" s="2"/>
      <c r="AZ100" s="1">
        <v>270000</v>
      </c>
      <c r="BA100" s="2"/>
      <c r="BB100" s="2"/>
      <c r="BC100" s="2"/>
      <c r="BD100" s="2"/>
      <c r="BE100" s="2"/>
      <c r="BJ100" s="13"/>
      <c r="BL100" s="13"/>
      <c r="BN100" s="13"/>
      <c r="BO100" s="2"/>
      <c r="BP100" s="13"/>
      <c r="BS100" s="81" t="str">
        <f>IF($J$24="Español","Nervios de Acero",(IF($J$24="Deutsch","Immer am Ball",(IF($J$24="Français","Nerfs d’acier","Fumblerooskie")))))</f>
        <v>Nervios de Acero</v>
      </c>
      <c r="BT100" s="21" t="s">
        <v>170</v>
      </c>
      <c r="BU100" s="81" t="str">
        <f>IF($J$24="Español","Crujir",(IF($J$24="Deutsch","Ramme",(IF($J$24="Français","Clé de bras","Guard")))))</f>
        <v>Crujir</v>
      </c>
      <c r="BV100" s="21" t="s">
        <v>169</v>
      </c>
      <c r="BW100" s="81" t="str">
        <f>IF($J$24="Español","Nervios de Acero",(IF($J$24="Deutsch","Immer am Ball",(IF($J$24="Français","Nerfs d’acier","Fumblerooskie")))))</f>
        <v>Nervios de Acero</v>
      </c>
      <c r="BX100" s="21" t="s">
        <v>170</v>
      </c>
      <c r="BY100" s="75" t="str">
        <f>IF($J$24="Español","Crujir",(IF($J$24="Deutsch","Ramme",(IF($J$24="Français","Clé de bras","Guard")))))</f>
        <v>Crujir</v>
      </c>
      <c r="BZ100" s="21" t="s">
        <v>169</v>
      </c>
      <c r="CA100" s="21" t="str">
        <f t="shared" si="87"/>
        <v/>
      </c>
      <c r="CB100" s="21" t="str">
        <f t="shared" si="87"/>
        <v/>
      </c>
      <c r="CC100" s="75" t="str">
        <f>IF($J$24="Español","Pasar",(IF($J$24="Deutsch","Nerven aus Stahl",(IF($J$24="Français","Passe assurée","Leader")))))</f>
        <v>Pasar</v>
      </c>
      <c r="CD100" s="2" t="s">
        <v>170</v>
      </c>
      <c r="CE100" s="80"/>
      <c r="CF100" s="2"/>
      <c r="CG100" s="2" t="str">
        <f t="shared" si="71"/>
        <v/>
      </c>
      <c r="CH100" s="2" t="str">
        <f t="shared" si="72"/>
        <v/>
      </c>
      <c r="CI100" s="2" t="str">
        <f t="shared" si="73"/>
        <v/>
      </c>
      <c r="CJ100" s="2" t="str">
        <f t="shared" si="74"/>
        <v/>
      </c>
      <c r="CK100" s="2" t="str">
        <f t="shared" si="75"/>
        <v/>
      </c>
      <c r="CL100" s="2" t="str">
        <f t="shared" si="76"/>
        <v/>
      </c>
      <c r="CM100" s="2" t="str">
        <f t="shared" si="77"/>
        <v/>
      </c>
      <c r="CN100" s="2" t="str">
        <f t="shared" si="78"/>
        <v/>
      </c>
      <c r="CO100" s="2" t="str">
        <f t="shared" si="79"/>
        <v/>
      </c>
      <c r="CP100" s="2" t="str">
        <f t="shared" si="80"/>
        <v/>
      </c>
      <c r="CQ100" s="2" t="str">
        <f t="shared" si="81"/>
        <v/>
      </c>
      <c r="CR100" s="2" t="str">
        <f t="shared" si="82"/>
        <v/>
      </c>
      <c r="CS100" s="2" t="str">
        <f t="shared" si="83"/>
        <v/>
      </c>
      <c r="CT100" s="2" t="str">
        <f t="shared" si="84"/>
        <v/>
      </c>
      <c r="CU100" s="2" t="str">
        <f t="shared" si="85"/>
        <v/>
      </c>
      <c r="CV100" s="2" t="str">
        <f t="shared" si="86"/>
        <v/>
      </c>
      <c r="CW100" s="2"/>
      <c r="CX100" s="2"/>
      <c r="CY100" s="2"/>
      <c r="CZ100" s="2"/>
    </row>
    <row r="101" spans="43:104" ht="15" hidden="1" customHeight="1" x14ac:dyDescent="0.2">
      <c r="AQ101" s="13">
        <v>36</v>
      </c>
      <c r="AR101" s="12">
        <v>775000</v>
      </c>
      <c r="AS101" s="12">
        <v>360000</v>
      </c>
      <c r="AT101" s="1"/>
      <c r="AU101" s="1"/>
      <c r="AV101" s="1"/>
      <c r="AW101" s="1"/>
      <c r="AX101" s="2"/>
      <c r="AY101" s="2"/>
      <c r="AZ101" s="1">
        <v>280000</v>
      </c>
      <c r="BA101" s="2"/>
      <c r="BB101" s="2"/>
      <c r="BC101" s="2"/>
      <c r="BD101" s="2"/>
      <c r="BE101" s="2"/>
      <c r="BJ101" s="13"/>
      <c r="BL101" s="13"/>
      <c r="BN101" s="13"/>
      <c r="BO101" s="2"/>
      <c r="BP101" s="13"/>
      <c r="BS101" s="81" t="str">
        <f>IF($J$24="Español","Partenubes",(IF($J$24="Deutsch","Kanonier",(IF($J$24="Français","Passe","Hail Mary Pass")))))</f>
        <v>Partenubes</v>
      </c>
      <c r="BT101" s="21" t="s">
        <v>170</v>
      </c>
      <c r="BU101" s="21" t="str">
        <f>IF($J$24="Español","Defensa",(IF($J$24="Deutsch","Raufbold",(IF($J$24="Français","Crâne épais","Juggernaut")))))</f>
        <v>Defensa</v>
      </c>
      <c r="BV101" s="21" t="s">
        <v>169</v>
      </c>
      <c r="BW101" s="81" t="str">
        <f>IF($J$24="Español","Partenubes",(IF($J$24="Deutsch","Kanonier",(IF($J$24="Français","Passe","Hail Mary Pass")))))</f>
        <v>Partenubes</v>
      </c>
      <c r="BX101" s="21" t="s">
        <v>170</v>
      </c>
      <c r="BY101" s="21" t="str">
        <f>IF($J$24="Español","Defensa",(IF($J$24="Deutsch","Raufbold",(IF($J$24="Français","Crâne épais","Juggernaut")))))</f>
        <v>Defensa</v>
      </c>
      <c r="BZ101" s="21" t="s">
        <v>169</v>
      </c>
      <c r="CA101" s="21" t="str">
        <f t="shared" si="87"/>
        <v/>
      </c>
      <c r="CB101" s="21" t="str">
        <f t="shared" si="87"/>
        <v/>
      </c>
      <c r="CC101" s="75" t="str">
        <f>IF($J$24="Español","Pase a la Carrera",(IF($J$24="Deutsch","Scheinpatzer",(IF($J$24="Français","Passe dans la course","Nerves of Steel")))))</f>
        <v>Pase a la Carrera</v>
      </c>
      <c r="CD101" s="2" t="s">
        <v>170</v>
      </c>
      <c r="CE101" s="80"/>
      <c r="CF101" s="2"/>
      <c r="CG101" s="2" t="str">
        <f t="shared" si="71"/>
        <v/>
      </c>
      <c r="CH101" s="2" t="str">
        <f t="shared" si="72"/>
        <v/>
      </c>
      <c r="CI101" s="2" t="str">
        <f t="shared" si="73"/>
        <v/>
      </c>
      <c r="CJ101" s="2" t="str">
        <f t="shared" si="74"/>
        <v/>
      </c>
      <c r="CK101" s="2" t="str">
        <f t="shared" si="75"/>
        <v/>
      </c>
      <c r="CL101" s="2" t="str">
        <f t="shared" si="76"/>
        <v/>
      </c>
      <c r="CM101" s="2" t="str">
        <f t="shared" si="77"/>
        <v/>
      </c>
      <c r="CN101" s="2" t="str">
        <f t="shared" si="78"/>
        <v/>
      </c>
      <c r="CO101" s="2" t="str">
        <f t="shared" si="79"/>
        <v/>
      </c>
      <c r="CP101" s="2" t="str">
        <f t="shared" si="80"/>
        <v/>
      </c>
      <c r="CQ101" s="2" t="str">
        <f t="shared" si="81"/>
        <v/>
      </c>
      <c r="CR101" s="2" t="str">
        <f t="shared" si="82"/>
        <v/>
      </c>
      <c r="CS101" s="2" t="str">
        <f t="shared" si="83"/>
        <v/>
      </c>
      <c r="CT101" s="2" t="str">
        <f t="shared" si="84"/>
        <v/>
      </c>
      <c r="CU101" s="2" t="str">
        <f t="shared" si="85"/>
        <v/>
      </c>
      <c r="CV101" s="2" t="str">
        <f t="shared" si="86"/>
        <v/>
      </c>
      <c r="CW101" s="2"/>
      <c r="CX101" s="2"/>
      <c r="CY101" s="2"/>
      <c r="CZ101" s="2"/>
    </row>
    <row r="102" spans="43:104" ht="15" hidden="1" customHeight="1" x14ac:dyDescent="0.2">
      <c r="AQ102" s="12">
        <v>37</v>
      </c>
      <c r="AR102" s="12">
        <v>780000</v>
      </c>
      <c r="AS102" s="12">
        <v>370000</v>
      </c>
      <c r="AT102" s="1"/>
      <c r="AU102" s="1"/>
      <c r="AV102" s="1"/>
      <c r="AW102" s="1"/>
      <c r="AX102" s="2"/>
      <c r="AY102" s="71"/>
      <c r="AZ102" s="1">
        <v>290000</v>
      </c>
      <c r="BA102" s="71"/>
      <c r="BB102" s="71"/>
      <c r="BC102" s="2"/>
      <c r="BD102" s="71"/>
      <c r="BE102" s="2"/>
      <c r="BH102" s="5"/>
      <c r="BI102" s="5"/>
      <c r="BJ102" s="13"/>
      <c r="BL102" s="13"/>
      <c r="BN102" s="13"/>
      <c r="BO102" s="2"/>
      <c r="BP102" s="13"/>
      <c r="BS102" s="81" t="str">
        <f>IF($J$24="Español","Pasar",(IF($J$24="Deutsch","Nerven aus Stahl",(IF($J$24="Français","Passe assurée","Leader")))))</f>
        <v>Pasar</v>
      </c>
      <c r="BT102" s="21" t="s">
        <v>170</v>
      </c>
      <c r="BU102" s="21" t="str">
        <f>IF($J$24="Español","Golpe Mortífero (+1)",(IF($J$24="Deutsch","Schweres Gerät",(IF($J$24="Français","Esquive en force","Mighty Blow (+1)")))))</f>
        <v>Golpe Mortífero (+1)</v>
      </c>
      <c r="BV102" s="21" t="s">
        <v>169</v>
      </c>
      <c r="BW102" s="81" t="str">
        <f>IF($J$24="Español","Pasar",(IF($J$24="Deutsch","Nerven aus Stahl",(IF($J$24="Français","Passe assurée","Leader")))))</f>
        <v>Pasar</v>
      </c>
      <c r="BX102" s="21" t="s">
        <v>170</v>
      </c>
      <c r="BY102" s="21" t="str">
        <f>IF($J$24="Español","Golpe Mortífero (+1)",(IF($J$24="Deutsch","Schweres Gerät",(IF($J$24="Français","Esquive en force","Mighty Blow (+1)")))))</f>
        <v>Golpe Mortífero (+1)</v>
      </c>
      <c r="BZ102" s="21" t="s">
        <v>169</v>
      </c>
      <c r="CA102" s="21" t="str">
        <f t="shared" si="87"/>
        <v/>
      </c>
      <c r="CB102" s="21" t="str">
        <f t="shared" si="87"/>
        <v/>
      </c>
      <c r="CC102" s="75" t="str">
        <f>IF($J$24="Español","Pase a lo Loco",(IF($J$24="Deutsch","Sicherer Pass",(IF($J$24="Français","Passe désespérée","On the Ball")))))</f>
        <v>Pase a lo Loco</v>
      </c>
      <c r="CD102" s="2" t="s">
        <v>170</v>
      </c>
      <c r="CE102" s="80"/>
      <c r="CF102" s="2"/>
      <c r="CG102" s="2" t="str">
        <f t="shared" si="71"/>
        <v/>
      </c>
      <c r="CH102" s="2" t="str">
        <f t="shared" si="72"/>
        <v/>
      </c>
      <c r="CI102" s="2" t="str">
        <f t="shared" si="73"/>
        <v/>
      </c>
      <c r="CJ102" s="2" t="str">
        <f t="shared" si="74"/>
        <v/>
      </c>
      <c r="CK102" s="2" t="str">
        <f t="shared" si="75"/>
        <v/>
      </c>
      <c r="CL102" s="2" t="str">
        <f t="shared" si="76"/>
        <v/>
      </c>
      <c r="CM102" s="2" t="str">
        <f t="shared" si="77"/>
        <v/>
      </c>
      <c r="CN102" s="2" t="str">
        <f t="shared" si="78"/>
        <v/>
      </c>
      <c r="CO102" s="2" t="str">
        <f t="shared" si="79"/>
        <v/>
      </c>
      <c r="CP102" s="2" t="str">
        <f t="shared" si="80"/>
        <v/>
      </c>
      <c r="CQ102" s="2" t="str">
        <f t="shared" si="81"/>
        <v/>
      </c>
      <c r="CR102" s="2" t="str">
        <f t="shared" si="82"/>
        <v/>
      </c>
      <c r="CS102" s="2" t="str">
        <f t="shared" si="83"/>
        <v/>
      </c>
      <c r="CT102" s="2" t="str">
        <f t="shared" si="84"/>
        <v/>
      </c>
      <c r="CU102" s="2" t="str">
        <f t="shared" si="85"/>
        <v/>
      </c>
      <c r="CV102" s="2" t="str">
        <f t="shared" si="86"/>
        <v/>
      </c>
      <c r="CW102" s="2"/>
      <c r="CX102" s="2"/>
      <c r="CY102" s="2"/>
      <c r="CZ102" s="2"/>
    </row>
    <row r="103" spans="43:104" ht="15" hidden="1" customHeight="1" x14ac:dyDescent="0.2">
      <c r="AQ103" s="13">
        <v>38</v>
      </c>
      <c r="AR103" s="12">
        <v>785000</v>
      </c>
      <c r="AS103" s="12">
        <v>380000</v>
      </c>
      <c r="AT103" s="1"/>
      <c r="AU103" s="1"/>
      <c r="AV103" s="1"/>
      <c r="AW103" s="1"/>
      <c r="AX103" s="2"/>
      <c r="AY103" s="73"/>
      <c r="AZ103" s="1">
        <v>300000</v>
      </c>
      <c r="BA103" s="73"/>
      <c r="BB103" s="73"/>
      <c r="BC103" s="2"/>
      <c r="BD103" s="73"/>
      <c r="BE103" s="2"/>
      <c r="BG103" s="2"/>
      <c r="BH103" s="2"/>
      <c r="BI103" s="2"/>
      <c r="BJ103" s="13"/>
      <c r="BL103" s="13"/>
      <c r="BN103" s="13"/>
      <c r="BO103" s="2"/>
      <c r="BP103" s="13"/>
      <c r="BS103" s="81" t="str">
        <f>IF($J$24="Español","Pase a la Carrera",(IF($J$24="Deutsch","Scheinpatzer",(IF($J$24="Français","Passe dans la course","Nerves of Steel")))))</f>
        <v>Pase a la Carrera</v>
      </c>
      <c r="BT103" s="21" t="s">
        <v>170</v>
      </c>
      <c r="BU103" s="21" t="str">
        <f>IF($J$24="Español","Imparable",(IF($J$24="Deutsch","Standfest",(IF($J$24="Français","Garde","Multiple Blocks")))))</f>
        <v>Imparable</v>
      </c>
      <c r="BV103" s="21" t="s">
        <v>169</v>
      </c>
      <c r="BW103" s="81" t="str">
        <f>IF($J$24="Español","Pase a la Carrera",(IF($J$24="Deutsch","Scheinpatzer",(IF($J$24="Français","Passe dans la course","Nerves of Steel")))))</f>
        <v>Pase a la Carrera</v>
      </c>
      <c r="BX103" s="21" t="s">
        <v>170</v>
      </c>
      <c r="BY103" s="21" t="str">
        <f>IF($J$24="Español","Imparable",(IF($J$24="Deutsch","Standfest",(IF($J$24="Français","Garde","Multiple Blocks")))))</f>
        <v>Imparable</v>
      </c>
      <c r="BZ103" s="21" t="s">
        <v>169</v>
      </c>
      <c r="CA103" s="21" t="str">
        <f t="shared" si="87"/>
        <v/>
      </c>
      <c r="CB103" s="21" t="str">
        <f t="shared" si="87"/>
        <v/>
      </c>
      <c r="CC103" s="75" t="str">
        <f>IF($J$24="Español","Pase Precipitado",(IF($J$24="Deutsch","Teamkapitän",(IF($J$24="Français","Perce-nuage","Pass")))))</f>
        <v>Pase Precipitado</v>
      </c>
      <c r="CD103" s="2" t="s">
        <v>170</v>
      </c>
      <c r="CE103" s="80"/>
      <c r="CF103" s="2"/>
      <c r="CG103" s="2" t="str">
        <f t="shared" si="71"/>
        <v/>
      </c>
      <c r="CH103" s="2" t="str">
        <f t="shared" si="72"/>
        <v/>
      </c>
      <c r="CI103" s="2" t="str">
        <f t="shared" si="73"/>
        <v/>
      </c>
      <c r="CJ103" s="2" t="str">
        <f t="shared" si="74"/>
        <v/>
      </c>
      <c r="CK103" s="2" t="str">
        <f t="shared" si="75"/>
        <v/>
      </c>
      <c r="CL103" s="2" t="str">
        <f t="shared" si="76"/>
        <v/>
      </c>
      <c r="CM103" s="2" t="str">
        <f t="shared" si="77"/>
        <v/>
      </c>
      <c r="CN103" s="2" t="str">
        <f t="shared" si="78"/>
        <v/>
      </c>
      <c r="CO103" s="2" t="str">
        <f t="shared" si="79"/>
        <v/>
      </c>
      <c r="CP103" s="2" t="str">
        <f t="shared" si="80"/>
        <v/>
      </c>
      <c r="CQ103" s="2" t="str">
        <f t="shared" si="81"/>
        <v/>
      </c>
      <c r="CR103" s="2" t="str">
        <f t="shared" si="82"/>
        <v/>
      </c>
      <c r="CS103" s="2" t="str">
        <f t="shared" si="83"/>
        <v/>
      </c>
      <c r="CT103" s="2" t="str">
        <f t="shared" si="84"/>
        <v/>
      </c>
      <c r="CU103" s="2" t="str">
        <f t="shared" si="85"/>
        <v/>
      </c>
      <c r="CV103" s="2" t="str">
        <f t="shared" si="86"/>
        <v/>
      </c>
      <c r="CW103" s="2"/>
      <c r="CX103" s="2"/>
      <c r="CY103" s="2"/>
      <c r="CZ103" s="2"/>
    </row>
    <row r="104" spans="43:104" ht="15" hidden="1" customHeight="1" x14ac:dyDescent="0.2">
      <c r="AQ104" s="13">
        <v>39</v>
      </c>
      <c r="AR104" s="12">
        <v>790000</v>
      </c>
      <c r="AS104" s="12">
        <v>390000</v>
      </c>
      <c r="AT104" s="1"/>
      <c r="AU104" s="1"/>
      <c r="AV104" s="1"/>
      <c r="AW104" s="1"/>
      <c r="AX104" s="2"/>
      <c r="AY104" s="73"/>
      <c r="AZ104" s="1">
        <v>310000</v>
      </c>
      <c r="BA104" s="73"/>
      <c r="BB104" s="73"/>
      <c r="BC104" s="2"/>
      <c r="BD104" s="73"/>
      <c r="BE104" s="2"/>
      <c r="BG104" s="2"/>
      <c r="BI104" s="5"/>
      <c r="BJ104" s="13"/>
      <c r="BL104" s="13"/>
      <c r="BN104" s="13"/>
      <c r="BO104" s="2"/>
      <c r="BP104" s="13"/>
      <c r="BS104" s="81" t="str">
        <f>IF($J$24="Español","Pase a lo Loco",(IF($J$24="Deutsch","Sicherer Pass",(IF($J$24="Français","Passe désespérée","On the Ball")))))</f>
        <v>Pase a lo Loco</v>
      </c>
      <c r="BT104" s="21" t="s">
        <v>170</v>
      </c>
      <c r="BU104" s="21" t="str">
        <f>IF($J$24="Español","Llave de Brazo",(IF($J$24="Deutsch","Starker Wurfarm",(IF($J$24="Français","Juggernaut","Pile Diver")))))</f>
        <v>Llave de Brazo</v>
      </c>
      <c r="BV104" s="21" t="s">
        <v>169</v>
      </c>
      <c r="BW104" s="81" t="str">
        <f>IF($J$24="Español","Pase a lo Loco",(IF($J$24="Deutsch","Sicherer Pass",(IF($J$24="Français","Passe désespérée","On the Ball")))))</f>
        <v>Pase a lo Loco</v>
      </c>
      <c r="BX104" s="21" t="s">
        <v>170</v>
      </c>
      <c r="BY104" s="21" t="str">
        <f>IF($J$24="Español","Llave de Brazo",(IF($J$24="Deutsch","Starker Wurfarm",(IF($J$24="Français","Juggernaut","Pile Diver")))))</f>
        <v>Llave de Brazo</v>
      </c>
      <c r="BZ104" s="21" t="s">
        <v>169</v>
      </c>
      <c r="CA104" s="21" t="str">
        <f t="shared" si="87"/>
        <v/>
      </c>
      <c r="CB104" s="21" t="str">
        <f t="shared" si="87"/>
        <v/>
      </c>
      <c r="CC104" s="75" t="str">
        <f>IF($J$24="Español","Pase Seguro",(IF($J$24="Deutsch","Wurfsicher",(IF($J$24="Français","Précision","Running Pass")))))</f>
        <v>Pase Seguro</v>
      </c>
      <c r="CD104" s="2" t="s">
        <v>170</v>
      </c>
      <c r="CE104" s="80"/>
      <c r="CF104" s="2"/>
      <c r="CG104" s="2" t="str">
        <f t="shared" si="71"/>
        <v/>
      </c>
      <c r="CH104" s="2" t="str">
        <f t="shared" si="72"/>
        <v/>
      </c>
      <c r="CI104" s="2" t="str">
        <f t="shared" si="73"/>
        <v/>
      </c>
      <c r="CJ104" s="2" t="str">
        <f t="shared" si="74"/>
        <v/>
      </c>
      <c r="CK104" s="2" t="str">
        <f t="shared" si="75"/>
        <v/>
      </c>
      <c r="CL104" s="2" t="str">
        <f t="shared" si="76"/>
        <v/>
      </c>
      <c r="CM104" s="2" t="str">
        <f t="shared" si="77"/>
        <v/>
      </c>
      <c r="CN104" s="2" t="str">
        <f t="shared" si="78"/>
        <v/>
      </c>
      <c r="CO104" s="2" t="str">
        <f t="shared" si="79"/>
        <v/>
      </c>
      <c r="CP104" s="2" t="str">
        <f t="shared" si="80"/>
        <v/>
      </c>
      <c r="CQ104" s="2" t="str">
        <f t="shared" si="81"/>
        <v/>
      </c>
      <c r="CR104" s="2" t="str">
        <f t="shared" si="82"/>
        <v/>
      </c>
      <c r="CS104" s="2" t="str">
        <f t="shared" si="83"/>
        <v/>
      </c>
      <c r="CT104" s="2" t="str">
        <f t="shared" si="84"/>
        <v/>
      </c>
      <c r="CU104" s="2" t="str">
        <f t="shared" si="85"/>
        <v/>
      </c>
      <c r="CV104" s="2" t="str">
        <f t="shared" si="86"/>
        <v/>
      </c>
      <c r="CW104" s="2"/>
      <c r="CX104" s="2"/>
      <c r="CY104" s="2"/>
      <c r="CZ104" s="2"/>
    </row>
    <row r="105" spans="43:104" ht="15" hidden="1" customHeight="1" x14ac:dyDescent="0.2">
      <c r="AQ105" s="12">
        <v>40</v>
      </c>
      <c r="AR105" s="12">
        <v>795000</v>
      </c>
      <c r="AS105" s="12">
        <v>400000</v>
      </c>
      <c r="AT105" s="1"/>
      <c r="AU105" s="1"/>
      <c r="AV105" s="1"/>
      <c r="AW105" s="1"/>
      <c r="AX105" s="2"/>
      <c r="AY105" s="73"/>
      <c r="AZ105" s="1">
        <v>320000</v>
      </c>
      <c r="BA105" s="73"/>
      <c r="BB105" s="73"/>
      <c r="BC105" s="2"/>
      <c r="BD105" s="73"/>
      <c r="BE105" s="2"/>
      <c r="BF105" s="2"/>
      <c r="BG105" s="2"/>
      <c r="BI105" s="2"/>
      <c r="BJ105" s="13"/>
      <c r="BL105" s="13"/>
      <c r="BN105" s="13"/>
      <c r="BO105" s="2"/>
      <c r="BP105" s="13"/>
      <c r="BS105" s="81" t="str">
        <f>IF($J$24="Español","Pase Precipitado",(IF($J$24="Deutsch","Teamkapitän",(IF($J$24="Français","Perce-nuage","Pass")))))</f>
        <v>Pase Precipitado</v>
      </c>
      <c r="BT105" s="21" t="s">
        <v>170</v>
      </c>
      <c r="BU105" s="21" t="str">
        <f>IF($J$24="Español","Luchador",(IF($J$24="Deutsch","Tackle durchbrechen",(IF($J$24="Français","Mateau-pilon","Stand Firm")))))</f>
        <v>Luchador</v>
      </c>
      <c r="BV105" s="21" t="s">
        <v>169</v>
      </c>
      <c r="BW105" s="81" t="str">
        <f>IF($J$24="Español","Pase Precipitado",(IF($J$24="Deutsch","Teamkapitän",(IF($J$24="Français","Perce-nuage","Pass")))))</f>
        <v>Pase Precipitado</v>
      </c>
      <c r="BX105" s="21" t="s">
        <v>170</v>
      </c>
      <c r="BY105" s="21" t="str">
        <f>IF($J$24="Español","Luchador",(IF($J$24="Deutsch","Tackle durchbrechen",(IF($J$24="Français","Mateau-pilon","Stand Firm")))))</f>
        <v>Luchador</v>
      </c>
      <c r="BZ105" s="21" t="s">
        <v>169</v>
      </c>
      <c r="CA105" s="21" t="str">
        <f t="shared" si="87"/>
        <v/>
      </c>
      <c r="CB105" s="21" t="str">
        <f t="shared" si="87"/>
        <v/>
      </c>
      <c r="CC105" s="75" t="str">
        <f>IF($J$24="Español","Precisión",(IF($J$24="Deutsch","Zielsicher",(IF($J$24="Français","Sur le ballon","Safe Pass")))))</f>
        <v>Precisión</v>
      </c>
      <c r="CD105" s="2" t="s">
        <v>170</v>
      </c>
      <c r="CE105" s="80"/>
      <c r="CF105" s="2"/>
      <c r="CG105" s="2" t="str">
        <f t="shared" si="71"/>
        <v/>
      </c>
      <c r="CH105" s="2" t="str">
        <f t="shared" si="72"/>
        <v/>
      </c>
      <c r="CI105" s="2" t="str">
        <f t="shared" si="73"/>
        <v/>
      </c>
      <c r="CJ105" s="2" t="str">
        <f t="shared" si="74"/>
        <v/>
      </c>
      <c r="CK105" s="2" t="str">
        <f t="shared" si="75"/>
        <v/>
      </c>
      <c r="CL105" s="2" t="str">
        <f t="shared" si="76"/>
        <v/>
      </c>
      <c r="CM105" s="2" t="str">
        <f t="shared" si="77"/>
        <v/>
      </c>
      <c r="CN105" s="2" t="str">
        <f t="shared" si="78"/>
        <v/>
      </c>
      <c r="CO105" s="2" t="str">
        <f t="shared" si="79"/>
        <v/>
      </c>
      <c r="CP105" s="2" t="str">
        <f t="shared" si="80"/>
        <v/>
      </c>
      <c r="CQ105" s="2" t="str">
        <f t="shared" si="81"/>
        <v/>
      </c>
      <c r="CR105" s="2" t="str">
        <f t="shared" si="82"/>
        <v/>
      </c>
      <c r="CS105" s="2" t="str">
        <f t="shared" si="83"/>
        <v/>
      </c>
      <c r="CT105" s="2" t="str">
        <f t="shared" si="84"/>
        <v/>
      </c>
      <c r="CU105" s="2" t="str">
        <f t="shared" si="85"/>
        <v/>
      </c>
      <c r="CV105" s="2" t="str">
        <f t="shared" si="86"/>
        <v/>
      </c>
      <c r="CW105" s="2"/>
      <c r="CX105" s="2"/>
      <c r="CY105" s="2"/>
      <c r="CZ105" s="2"/>
    </row>
    <row r="106" spans="43:104" ht="15" hidden="1" customHeight="1" x14ac:dyDescent="0.2">
      <c r="AQ106" s="13">
        <v>41</v>
      </c>
      <c r="AR106" s="12">
        <v>800000</v>
      </c>
      <c r="AS106" s="12">
        <v>410000</v>
      </c>
      <c r="AT106" s="1"/>
      <c r="AU106" s="1"/>
      <c r="AV106" s="1"/>
      <c r="AW106" s="1"/>
      <c r="AX106" s="2"/>
      <c r="AY106" s="73"/>
      <c r="AZ106" s="1">
        <v>330000</v>
      </c>
      <c r="BA106" s="73"/>
      <c r="BB106" s="73"/>
      <c r="BC106" s="2"/>
      <c r="BD106" s="73"/>
      <c r="BE106" s="2"/>
      <c r="BF106" s="2"/>
      <c r="BG106" s="2"/>
      <c r="BJ106" s="13"/>
      <c r="BL106" s="13"/>
      <c r="BN106" s="13"/>
      <c r="BO106" s="2"/>
      <c r="BP106" s="13"/>
      <c r="BS106" s="81" t="str">
        <f>IF($J$24="Español","Pase Seguro",(IF($J$24="Deutsch","Wurfsicher",(IF($J$24="Français","Précision","Running Pass")))))</f>
        <v>Pase Seguro</v>
      </c>
      <c r="BT106" s="21" t="s">
        <v>170</v>
      </c>
      <c r="BU106" s="21" t="str">
        <f>IF($J$24="Español","Mantenerse Firme",(IF($J$24="Deutsch","Robust",(IF($J$24="Français","Projection","Strong Arm")))))</f>
        <v>Mantenerse Firme</v>
      </c>
      <c r="BV106" s="21" t="s">
        <v>169</v>
      </c>
      <c r="BW106" s="81" t="str">
        <f>IF($J$24="Español","Pase Seguro",(IF($J$24="Deutsch","Wurfsicher",(IF($J$24="Français","Précision","Running Pass")))))</f>
        <v>Pase Seguro</v>
      </c>
      <c r="BX106" s="21" t="s">
        <v>170</v>
      </c>
      <c r="BY106" s="21" t="str">
        <f>IF($J$24="Español","Mantenerse Firme",(IF($J$24="Deutsch","Robust",(IF($J$24="Français","Projection","Strong Arm")))))</f>
        <v>Mantenerse Firme</v>
      </c>
      <c r="BZ106" s="21" t="s">
        <v>169</v>
      </c>
      <c r="CA106" s="21" t="str">
        <f t="shared" si="87"/>
        <v/>
      </c>
      <c r="CB106" s="21" t="str">
        <f t="shared" si="87"/>
        <v/>
      </c>
      <c r="CC106" s="75" t="str">
        <f>IF($J$24="Español","Abrirse Paso",(IF($J$24="Deutsch","Armhebel",(IF($J$24="Français","Bagarre","Arm Bar")))))</f>
        <v>Abrirse Paso</v>
      </c>
      <c r="CD106" s="2" t="s">
        <v>169</v>
      </c>
      <c r="CE106" s="80"/>
      <c r="CF106" s="2"/>
      <c r="CG106" s="2" t="str">
        <f t="shared" si="71"/>
        <v/>
      </c>
      <c r="CH106" s="2" t="str">
        <f t="shared" si="72"/>
        <v/>
      </c>
      <c r="CI106" s="2" t="str">
        <f t="shared" si="73"/>
        <v/>
      </c>
      <c r="CJ106" s="2" t="str">
        <f t="shared" si="74"/>
        <v/>
      </c>
      <c r="CK106" s="2" t="str">
        <f t="shared" si="75"/>
        <v/>
      </c>
      <c r="CL106" s="2" t="str">
        <f t="shared" si="76"/>
        <v/>
      </c>
      <c r="CM106" s="2" t="str">
        <f t="shared" si="77"/>
        <v/>
      </c>
      <c r="CN106" s="2" t="str">
        <f t="shared" si="78"/>
        <v/>
      </c>
      <c r="CO106" s="2" t="str">
        <f t="shared" si="79"/>
        <v/>
      </c>
      <c r="CP106" s="2" t="str">
        <f t="shared" si="80"/>
        <v/>
      </c>
      <c r="CQ106" s="2" t="str">
        <f t="shared" si="81"/>
        <v/>
      </c>
      <c r="CR106" s="2" t="str">
        <f t="shared" si="82"/>
        <v/>
      </c>
      <c r="CS106" s="2" t="str">
        <f t="shared" si="83"/>
        <v/>
      </c>
      <c r="CT106" s="2" t="str">
        <f t="shared" si="84"/>
        <v/>
      </c>
      <c r="CU106" s="2" t="str">
        <f t="shared" si="85"/>
        <v/>
      </c>
      <c r="CV106" s="2" t="str">
        <f t="shared" si="86"/>
        <v/>
      </c>
      <c r="CW106" s="2"/>
      <c r="CX106" s="2"/>
      <c r="CY106" s="2"/>
      <c r="CZ106" s="2"/>
    </row>
    <row r="107" spans="43:104" ht="15" hidden="1" customHeight="1" x14ac:dyDescent="0.2">
      <c r="AQ107" s="13">
        <v>42</v>
      </c>
      <c r="AR107" s="12">
        <v>805000</v>
      </c>
      <c r="AS107" s="12">
        <v>420000</v>
      </c>
      <c r="AT107" s="1"/>
      <c r="AU107" s="1"/>
      <c r="AV107" s="1"/>
      <c r="AW107" s="1"/>
      <c r="AX107" s="2"/>
      <c r="AY107" s="73"/>
      <c r="AZ107" s="1">
        <v>340000</v>
      </c>
      <c r="BA107" s="73"/>
      <c r="BB107" s="73"/>
      <c r="BC107" s="2"/>
      <c r="BD107" s="73"/>
      <c r="BE107" s="2"/>
      <c r="BF107" s="2"/>
      <c r="BG107" s="2"/>
      <c r="BJ107" s="13"/>
      <c r="BL107" s="13"/>
      <c r="BN107" s="13"/>
      <c r="BO107" s="2"/>
      <c r="BP107" s="13"/>
      <c r="BS107" s="81" t="str">
        <f>IF($J$24="Español","Precisión",(IF($J$24="Deutsch","Zielsicher",(IF($J$24="Français","Sur le ballon","Safe Pass")))))</f>
        <v>Precisión</v>
      </c>
      <c r="BT107" s="21" t="s">
        <v>170</v>
      </c>
      <c r="BU107" s="21" t="str">
        <f>IF($J$24="Español","Placaje Múltiple",(IF($J$24="Deutsch","Unterstützen",(IF($J$24="Français","Stabilité","Thick Skull")))))</f>
        <v>Placaje Múltiple</v>
      </c>
      <c r="BV107" s="21" t="s">
        <v>169</v>
      </c>
      <c r="BW107" s="81" t="str">
        <f>IF($J$24="Español","Precisión",(IF($J$24="Deutsch","Zielsicher",(IF($J$24="Français","Sur le ballon","Safe Pass")))))</f>
        <v>Precisión</v>
      </c>
      <c r="BX107" s="21" t="s">
        <v>170</v>
      </c>
      <c r="BY107" s="21" t="str">
        <f>IF($J$24="Español","Placaje Múltiple",(IF($J$24="Deutsch","Unterstützen",(IF($J$24="Français","Stabilité","Thick Skull")))))</f>
        <v>Placaje Múltiple</v>
      </c>
      <c r="BZ107" s="21" t="s">
        <v>169</v>
      </c>
      <c r="CA107" s="21" t="str">
        <f t="shared" si="87"/>
        <v/>
      </c>
      <c r="CB107" s="21" t="str">
        <f t="shared" si="87"/>
        <v/>
      </c>
      <c r="CC107" s="75" t="str">
        <f>IF($J$24="Español","Apartar",(IF($J$24="Deutsch","Greifer",(IF($J$24="Français","Blocage multiple","Brawler")))))</f>
        <v>Apartar</v>
      </c>
      <c r="CD107" s="2" t="s">
        <v>169</v>
      </c>
      <c r="CE107" s="80"/>
      <c r="CF107" s="2"/>
      <c r="CG107" s="2" t="str">
        <f t="shared" si="71"/>
        <v/>
      </c>
      <c r="CH107" s="2" t="str">
        <f t="shared" si="72"/>
        <v/>
      </c>
      <c r="CI107" s="2" t="str">
        <f t="shared" si="73"/>
        <v/>
      </c>
      <c r="CJ107" s="2" t="str">
        <f t="shared" si="74"/>
        <v/>
      </c>
      <c r="CK107" s="2" t="str">
        <f t="shared" si="75"/>
        <v/>
      </c>
      <c r="CL107" s="2" t="str">
        <f t="shared" si="76"/>
        <v/>
      </c>
      <c r="CM107" s="2" t="str">
        <f t="shared" si="77"/>
        <v/>
      </c>
      <c r="CN107" s="2" t="str">
        <f t="shared" si="78"/>
        <v/>
      </c>
      <c r="CO107" s="2" t="str">
        <f t="shared" si="79"/>
        <v/>
      </c>
      <c r="CP107" s="2" t="str">
        <f t="shared" si="80"/>
        <v/>
      </c>
      <c r="CQ107" s="2" t="str">
        <f t="shared" si="81"/>
        <v/>
      </c>
      <c r="CR107" s="2" t="str">
        <f t="shared" si="82"/>
        <v/>
      </c>
      <c r="CS107" s="2" t="str">
        <f t="shared" si="83"/>
        <v/>
      </c>
      <c r="CT107" s="2" t="str">
        <f t="shared" si="84"/>
        <v/>
      </c>
      <c r="CU107" s="2" t="str">
        <f t="shared" si="85"/>
        <v/>
      </c>
      <c r="CV107" s="2" t="str">
        <f t="shared" si="86"/>
        <v/>
      </c>
      <c r="CW107" s="2"/>
      <c r="CX107" s="2"/>
      <c r="CY107" s="2"/>
      <c r="CZ107" s="2"/>
    </row>
    <row r="108" spans="43:104" ht="15" hidden="1" customHeight="1" x14ac:dyDescent="0.2">
      <c r="AQ108" s="12">
        <v>43</v>
      </c>
      <c r="AR108" s="12">
        <v>810000</v>
      </c>
      <c r="AS108" s="12">
        <v>430000</v>
      </c>
      <c r="AT108" s="1"/>
      <c r="AU108" s="1"/>
      <c r="AV108" s="1"/>
      <c r="AW108" s="1"/>
      <c r="AX108" s="2"/>
      <c r="AY108" s="73"/>
      <c r="AZ108" s="1">
        <v>350000</v>
      </c>
      <c r="BA108" s="73"/>
      <c r="BB108" s="73"/>
      <c r="BC108" s="2"/>
      <c r="BD108" s="73"/>
      <c r="BE108" s="2"/>
      <c r="BJ108" s="13"/>
      <c r="BL108" s="13"/>
      <c r="BN108" s="13"/>
      <c r="BO108" s="2"/>
      <c r="BP108" s="13"/>
      <c r="BS108" s="81" t="str">
        <f>IF($J$24="Español","Abrirse Paso",(IF($J$24="Deutsch","Armhebel",(IF($J$24="Français","Bagarre","Arm Bar")))))</f>
        <v>Abrirse Paso</v>
      </c>
      <c r="BT108" s="21" t="s">
        <v>169</v>
      </c>
      <c r="BU108" s="81" t="str">
        <f>IF($J$24="Español","Apariencia Asquerosa",(IF($J$24="Deutsch","Abstoßendes Aussehen",(IF($J$24="Français","Bras supplémentaire","Big Hand")))))</f>
        <v>Apariencia Asquerosa</v>
      </c>
      <c r="BV108" s="21" t="s">
        <v>171</v>
      </c>
      <c r="BW108" s="81" t="str">
        <f>IF($J$24="Español","Abrirse Paso",(IF($J$24="Deutsch","Armhebel",(IF($J$24="Français","Bagarre","Arm Bar")))))</f>
        <v>Abrirse Paso</v>
      </c>
      <c r="BX108" s="21" t="s">
        <v>169</v>
      </c>
      <c r="BY108" s="21" t="str">
        <f t="shared" ref="BY108:BZ119" si="88">""</f>
        <v/>
      </c>
      <c r="BZ108" s="21" t="str">
        <f t="shared" si="88"/>
        <v/>
      </c>
      <c r="CA108" s="21" t="str">
        <f t="shared" si="87"/>
        <v/>
      </c>
      <c r="CB108" s="21" t="str">
        <f t="shared" si="87"/>
        <v/>
      </c>
      <c r="CC108" s="75" t="str">
        <f>IF($J$24="Español","Brazo Fuerte",(IF($J$24="Deutsch","Knochenbrecher (+1)",(IF($J$24="Français","Bras musclé","Break Tackle")))))</f>
        <v>Brazo Fuerte</v>
      </c>
      <c r="CD108" s="2" t="s">
        <v>169</v>
      </c>
      <c r="CE108" s="80"/>
      <c r="CF108" s="2"/>
      <c r="CG108" s="2" t="str">
        <f t="shared" si="71"/>
        <v/>
      </c>
      <c r="CH108" s="2" t="str">
        <f t="shared" si="72"/>
        <v/>
      </c>
      <c r="CI108" s="2" t="str">
        <f t="shared" si="73"/>
        <v/>
      </c>
      <c r="CJ108" s="2" t="str">
        <f t="shared" si="74"/>
        <v/>
      </c>
      <c r="CK108" s="2" t="str">
        <f t="shared" si="75"/>
        <v/>
      </c>
      <c r="CL108" s="2" t="str">
        <f t="shared" si="76"/>
        <v/>
      </c>
      <c r="CM108" s="2" t="str">
        <f t="shared" si="77"/>
        <v/>
      </c>
      <c r="CN108" s="2" t="str">
        <f t="shared" si="78"/>
        <v/>
      </c>
      <c r="CO108" s="2" t="str">
        <f t="shared" si="79"/>
        <v/>
      </c>
      <c r="CP108" s="2" t="str">
        <f t="shared" si="80"/>
        <v/>
      </c>
      <c r="CQ108" s="2" t="str">
        <f t="shared" si="81"/>
        <v/>
      </c>
      <c r="CR108" s="2" t="str">
        <f t="shared" si="82"/>
        <v/>
      </c>
      <c r="CS108" s="2" t="str">
        <f t="shared" si="83"/>
        <v/>
      </c>
      <c r="CT108" s="2" t="str">
        <f t="shared" si="84"/>
        <v/>
      </c>
      <c r="CU108" s="2" t="str">
        <f t="shared" si="85"/>
        <v/>
      </c>
      <c r="CV108" s="2" t="str">
        <f t="shared" si="86"/>
        <v/>
      </c>
      <c r="CW108" s="2"/>
      <c r="CX108" s="2"/>
      <c r="CY108" s="2"/>
      <c r="CZ108" s="2"/>
    </row>
    <row r="109" spans="43:104" ht="15" hidden="1" customHeight="1" x14ac:dyDescent="0.2">
      <c r="AQ109" s="13">
        <v>44</v>
      </c>
      <c r="AR109" s="12">
        <v>815000</v>
      </c>
      <c r="AS109" s="12">
        <v>440000</v>
      </c>
      <c r="AT109" s="1"/>
      <c r="AU109" s="1"/>
      <c r="AV109" s="1"/>
      <c r="AW109" s="1"/>
      <c r="AX109" s="2"/>
      <c r="AY109" s="71"/>
      <c r="AZ109" s="1">
        <v>360000</v>
      </c>
      <c r="BA109" s="71"/>
      <c r="BB109" s="71"/>
      <c r="BC109" s="2"/>
      <c r="BD109" s="71"/>
      <c r="BE109" s="2"/>
      <c r="BJ109" s="13"/>
      <c r="BL109" s="13"/>
      <c r="BN109" s="13"/>
      <c r="BO109" s="2"/>
      <c r="BP109" s="13"/>
      <c r="BS109" s="81" t="str">
        <f>IF($J$24="Español","Apartar",(IF($J$24="Deutsch","Greifer",(IF($J$24="Français","Blocage multiple","Brawler")))))</f>
        <v>Apartar</v>
      </c>
      <c r="BT109" s="21" t="s">
        <v>169</v>
      </c>
      <c r="BU109" s="81" t="str">
        <f>IF($J$24="Español","Boca Monstruosa",(IF($J$24="Deutsch","Eisenharte Haut",(IF($J$24="Français","Cornes","Claw / Claws")))))</f>
        <v>Boca Monstruosa</v>
      </c>
      <c r="BV109" s="21" t="s">
        <v>171</v>
      </c>
      <c r="BW109" s="81" t="str">
        <f>IF($J$24="Español","Apartar",(IF($J$24="Deutsch","Greifer",(IF($J$24="Français","Blocage multiple","Brawler")))))</f>
        <v>Apartar</v>
      </c>
      <c r="BX109" s="21" t="s">
        <v>169</v>
      </c>
      <c r="BY109" s="21" t="str">
        <f t="shared" si="88"/>
        <v/>
      </c>
      <c r="BZ109" s="21" t="str">
        <f t="shared" si="88"/>
        <v/>
      </c>
      <c r="CA109" s="21" t="str">
        <f t="shared" si="87"/>
        <v/>
      </c>
      <c r="CB109" s="21" t="str">
        <f t="shared" si="87"/>
        <v/>
      </c>
      <c r="CC109" s="75" t="str">
        <f>IF($J$24="Español","Cabeza Dura",(IF($J$24="Deutsch","Mehrfachblock",(IF($J$24="Français","Châtaigne (+1)","Grab")))))</f>
        <v>Cabeza Dura</v>
      </c>
      <c r="CD109" s="2" t="s">
        <v>169</v>
      </c>
      <c r="CE109" s="80"/>
      <c r="CF109" s="2"/>
      <c r="CG109" s="2" t="str">
        <f t="shared" si="71"/>
        <v/>
      </c>
      <c r="CH109" s="2" t="str">
        <f t="shared" si="72"/>
        <v/>
      </c>
      <c r="CI109" s="2" t="str">
        <f t="shared" si="73"/>
        <v/>
      </c>
      <c r="CJ109" s="2" t="str">
        <f t="shared" si="74"/>
        <v/>
      </c>
      <c r="CK109" s="2" t="str">
        <f t="shared" si="75"/>
        <v/>
      </c>
      <c r="CL109" s="2" t="str">
        <f t="shared" si="76"/>
        <v/>
      </c>
      <c r="CM109" s="2" t="str">
        <f t="shared" si="77"/>
        <v/>
      </c>
      <c r="CN109" s="2" t="str">
        <f t="shared" si="78"/>
        <v/>
      </c>
      <c r="CO109" s="2" t="str">
        <f t="shared" si="79"/>
        <v/>
      </c>
      <c r="CP109" s="2" t="str">
        <f t="shared" si="80"/>
        <v/>
      </c>
      <c r="CQ109" s="2" t="str">
        <f t="shared" si="81"/>
        <v/>
      </c>
      <c r="CR109" s="2" t="str">
        <f t="shared" si="82"/>
        <v/>
      </c>
      <c r="CS109" s="2" t="str">
        <f t="shared" si="83"/>
        <v/>
      </c>
      <c r="CT109" s="2" t="str">
        <f t="shared" si="84"/>
        <v/>
      </c>
      <c r="CU109" s="2" t="str">
        <f t="shared" si="85"/>
        <v/>
      </c>
      <c r="CV109" s="2" t="str">
        <f t="shared" si="86"/>
        <v/>
      </c>
      <c r="CW109" s="2"/>
      <c r="CX109" s="2"/>
      <c r="CY109" s="2"/>
      <c r="CZ109" s="2"/>
    </row>
    <row r="110" spans="43:104" ht="15" hidden="1" customHeight="1" x14ac:dyDescent="0.2">
      <c r="AQ110" s="13">
        <v>45</v>
      </c>
      <c r="AR110" s="12">
        <v>820000</v>
      </c>
      <c r="AS110" s="12">
        <v>450000</v>
      </c>
      <c r="AT110" s="1"/>
      <c r="AU110" s="1"/>
      <c r="AV110" s="1"/>
      <c r="AW110" s="1"/>
      <c r="AX110" s="2"/>
      <c r="AY110" s="73"/>
      <c r="AZ110" s="1">
        <v>370000</v>
      </c>
      <c r="BA110" s="73"/>
      <c r="BB110" s="73"/>
      <c r="BC110" s="2"/>
      <c r="BD110" s="73"/>
      <c r="BE110" s="2"/>
      <c r="BK110" s="2"/>
      <c r="BM110" s="2"/>
      <c r="BN110" s="2"/>
      <c r="BO110" s="2"/>
      <c r="BS110" s="81" t="str">
        <f>IF($J$24="Español","Brazo Fuerte",(IF($J$24="Deutsch","Knochenbrecher (+1)",(IF($J$24="Français","Bras musclé","Break Tackle")))))</f>
        <v>Brazo Fuerte</v>
      </c>
      <c r="BT110" s="21" t="s">
        <v>169</v>
      </c>
      <c r="BU110" s="81" t="str">
        <f>IF($J$24="Español","Brazos Adicionales",(IF($J$24="Deutsch","Große Hand",(IF($J$24="Français","Deux tête","Disturbing Presence")))))</f>
        <v>Brazos Adicionales</v>
      </c>
      <c r="BV110" s="21" t="s">
        <v>171</v>
      </c>
      <c r="BW110" s="81" t="str">
        <f>IF($J$24="Español","Brazo Fuerte",(IF($J$24="Deutsch","Knochenbrecher (+1)",(IF($J$24="Français","Bras musclé","Break Tackle")))))</f>
        <v>Brazo Fuerte</v>
      </c>
      <c r="BX110" s="21" t="s">
        <v>169</v>
      </c>
      <c r="BY110" s="21" t="str">
        <f t="shared" si="88"/>
        <v/>
      </c>
      <c r="BZ110" s="21" t="str">
        <f t="shared" si="88"/>
        <v/>
      </c>
      <c r="CA110" s="21" t="str">
        <f t="shared" si="87"/>
        <v/>
      </c>
      <c r="CB110" s="21" t="str">
        <f t="shared" si="87"/>
        <v/>
      </c>
      <c r="CC110" s="75" t="str">
        <f>IF($J$24="Español","Crujir",(IF($J$24="Deutsch","Ramme",(IF($J$24="Français","Clé de bras","Guard")))))</f>
        <v>Crujir</v>
      </c>
      <c r="CD110" s="2" t="s">
        <v>169</v>
      </c>
      <c r="CE110" s="80"/>
      <c r="CF110" s="2"/>
      <c r="CG110" s="2" t="str">
        <f t="shared" si="71"/>
        <v/>
      </c>
      <c r="CH110" s="2" t="str">
        <f t="shared" si="72"/>
        <v/>
      </c>
      <c r="CI110" s="2" t="str">
        <f t="shared" si="73"/>
        <v/>
      </c>
      <c r="CJ110" s="2" t="str">
        <f t="shared" si="74"/>
        <v/>
      </c>
      <c r="CK110" s="2" t="str">
        <f t="shared" si="75"/>
        <v/>
      </c>
      <c r="CL110" s="2" t="str">
        <f t="shared" si="76"/>
        <v/>
      </c>
      <c r="CM110" s="2" t="str">
        <f t="shared" si="77"/>
        <v/>
      </c>
      <c r="CN110" s="2" t="str">
        <f t="shared" si="78"/>
        <v/>
      </c>
      <c r="CO110" s="2" t="str">
        <f t="shared" si="79"/>
        <v/>
      </c>
      <c r="CP110" s="2" t="str">
        <f t="shared" si="80"/>
        <v/>
      </c>
      <c r="CQ110" s="2" t="str">
        <f t="shared" si="81"/>
        <v/>
      </c>
      <c r="CR110" s="2" t="str">
        <f t="shared" si="82"/>
        <v/>
      </c>
      <c r="CS110" s="2" t="str">
        <f t="shared" si="83"/>
        <v/>
      </c>
      <c r="CT110" s="2" t="str">
        <f t="shared" si="84"/>
        <v/>
      </c>
      <c r="CU110" s="2" t="str">
        <f t="shared" si="85"/>
        <v/>
      </c>
      <c r="CV110" s="2" t="str">
        <f t="shared" si="86"/>
        <v/>
      </c>
      <c r="CW110" s="2"/>
      <c r="CX110" s="2"/>
      <c r="CY110" s="2"/>
      <c r="CZ110" s="2"/>
    </row>
    <row r="111" spans="43:104" ht="15" hidden="1" customHeight="1" x14ac:dyDescent="0.2">
      <c r="AQ111" s="12">
        <v>46</v>
      </c>
      <c r="AR111" s="12">
        <v>825000</v>
      </c>
      <c r="AS111" s="12">
        <v>460000</v>
      </c>
      <c r="AT111" s="1"/>
      <c r="AU111" s="1"/>
      <c r="AV111" s="1"/>
      <c r="AW111" s="1"/>
      <c r="AX111" s="2"/>
      <c r="AY111" s="73"/>
      <c r="AZ111" s="1">
        <v>380000</v>
      </c>
      <c r="BA111" s="73"/>
      <c r="BB111" s="73"/>
      <c r="BC111" s="2"/>
      <c r="BD111" s="73"/>
      <c r="BE111" s="2"/>
      <c r="BK111" s="2"/>
      <c r="BM111" s="2"/>
      <c r="BN111" s="2"/>
      <c r="BO111" s="2"/>
      <c r="BS111" s="81" t="str">
        <f>IF($J$24="Español","Cabeza Dura",(IF($J$24="Deutsch","Mehrfachblock",(IF($J$24="Français","Châtaigne (+1)","Grab")))))</f>
        <v>Cabeza Dura</v>
      </c>
      <c r="BT111" s="21" t="s">
        <v>169</v>
      </c>
      <c r="BU111" s="81" t="str">
        <f>IF($J$24="Español","Cola Prensil",(IF($J$24="Deutsch","Hörner",(IF($J$24="Français","Grande gueule","Extra Arms")))))</f>
        <v>Cola Prensil</v>
      </c>
      <c r="BV111" s="21" t="s">
        <v>171</v>
      </c>
      <c r="BW111" s="81" t="str">
        <f>IF($J$24="Español","Cabeza Dura",(IF($J$24="Deutsch","Mehrfachblock",(IF($J$24="Français","Châtaigne (+1)","Grab")))))</f>
        <v>Cabeza Dura</v>
      </c>
      <c r="BX111" s="21" t="s">
        <v>169</v>
      </c>
      <c r="BY111" s="21" t="str">
        <f t="shared" si="88"/>
        <v/>
      </c>
      <c r="BZ111" s="21" t="str">
        <f t="shared" si="88"/>
        <v/>
      </c>
      <c r="CA111" s="21" t="str">
        <f t="shared" si="87"/>
        <v/>
      </c>
      <c r="CB111" s="21" t="str">
        <f t="shared" si="87"/>
        <v/>
      </c>
      <c r="CC111" s="21" t="str">
        <f>IF($J$24="Español","Defensa",(IF($J$24="Deutsch","Raufbold",(IF($J$24="Français","Crâne épais","Juggernaut")))))</f>
        <v>Defensa</v>
      </c>
      <c r="CD111" s="2" t="s">
        <v>169</v>
      </c>
      <c r="CE111" s="80"/>
      <c r="CF111" s="2"/>
      <c r="CG111" s="2" t="str">
        <f t="shared" si="71"/>
        <v/>
      </c>
      <c r="CH111" s="2" t="str">
        <f t="shared" si="72"/>
        <v/>
      </c>
      <c r="CI111" s="2" t="str">
        <f t="shared" si="73"/>
        <v/>
      </c>
      <c r="CJ111" s="2" t="str">
        <f t="shared" si="74"/>
        <v/>
      </c>
      <c r="CK111" s="2" t="str">
        <f t="shared" si="75"/>
        <v/>
      </c>
      <c r="CL111" s="2" t="str">
        <f t="shared" si="76"/>
        <v/>
      </c>
      <c r="CM111" s="2" t="str">
        <f t="shared" si="77"/>
        <v/>
      </c>
      <c r="CN111" s="2" t="str">
        <f t="shared" si="78"/>
        <v/>
      </c>
      <c r="CO111" s="2" t="str">
        <f t="shared" si="79"/>
        <v/>
      </c>
      <c r="CP111" s="2" t="str">
        <f t="shared" si="80"/>
        <v/>
      </c>
      <c r="CQ111" s="2" t="str">
        <f t="shared" si="81"/>
        <v/>
      </c>
      <c r="CR111" s="2" t="str">
        <f t="shared" si="82"/>
        <v/>
      </c>
      <c r="CS111" s="2" t="str">
        <f t="shared" si="83"/>
        <v/>
      </c>
      <c r="CT111" s="2" t="str">
        <f t="shared" si="84"/>
        <v/>
      </c>
      <c r="CU111" s="2" t="str">
        <f t="shared" si="85"/>
        <v/>
      </c>
      <c r="CV111" s="2" t="str">
        <f t="shared" si="86"/>
        <v/>
      </c>
      <c r="CW111" s="2"/>
      <c r="CX111" s="2"/>
      <c r="CY111" s="2"/>
      <c r="CZ111" s="2"/>
    </row>
    <row r="112" spans="43:104" ht="15" hidden="1" customHeight="1" x14ac:dyDescent="0.2">
      <c r="AQ112" s="13">
        <v>47</v>
      </c>
      <c r="AR112" s="12">
        <v>830000</v>
      </c>
      <c r="AS112" s="12">
        <v>470000</v>
      </c>
      <c r="AT112" s="1"/>
      <c r="AU112" s="1"/>
      <c r="AV112" s="1"/>
      <c r="AW112" s="1"/>
      <c r="AX112" s="2"/>
      <c r="AY112" s="73"/>
      <c r="AZ112" s="1">
        <v>390000</v>
      </c>
      <c r="BA112" s="73"/>
      <c r="BB112" s="73"/>
      <c r="BC112" s="2"/>
      <c r="BD112" s="73"/>
      <c r="BE112" s="2"/>
      <c r="BK112" s="2"/>
      <c r="BM112" s="2"/>
      <c r="BN112" s="2"/>
      <c r="BO112" s="2"/>
      <c r="BS112" s="81" t="str">
        <f>IF($J$24="Español","Crujir",(IF($J$24="Deutsch","Ramme",(IF($J$24="Français","Clé de bras","Guard")))))</f>
        <v>Crujir</v>
      </c>
      <c r="BT112" s="21" t="s">
        <v>169</v>
      </c>
      <c r="BU112" s="81" t="str">
        <f>IF($J$24="Español","Cuernos",(IF($J$24="Deutsch","Klammerschwanz",(IF($J$24="Français","Griffes","Foul Appearance")))))</f>
        <v>Cuernos</v>
      </c>
      <c r="BV112" s="21" t="s">
        <v>171</v>
      </c>
      <c r="BW112" s="81" t="str">
        <f>IF($J$24="Español","Crujir",(IF($J$24="Deutsch","Ramme",(IF($J$24="Français","Clé de bras","Guard")))))</f>
        <v>Crujir</v>
      </c>
      <c r="BX112" s="21" t="s">
        <v>169</v>
      </c>
      <c r="BY112" s="21" t="str">
        <f t="shared" si="88"/>
        <v/>
      </c>
      <c r="BZ112" s="21" t="str">
        <f t="shared" si="88"/>
        <v/>
      </c>
      <c r="CA112" s="21" t="str">
        <f t="shared" si="87"/>
        <v/>
      </c>
      <c r="CB112" s="21" t="str">
        <f t="shared" si="87"/>
        <v/>
      </c>
      <c r="CC112" s="21" t="str">
        <f>IF($J$24="Español","Golpe Mortífero (+1)",(IF($J$24="Deutsch","Schweres Gerät",(IF($J$24="Français","Esquive en force","Mighty Blow (+1)")))))</f>
        <v>Golpe Mortífero (+1)</v>
      </c>
      <c r="CD112" s="2" t="s">
        <v>169</v>
      </c>
      <c r="CE112" s="80"/>
      <c r="CF112" s="2"/>
      <c r="CG112" s="2" t="str">
        <f t="shared" si="71"/>
        <v/>
      </c>
      <c r="CH112" s="2" t="str">
        <f t="shared" si="72"/>
        <v/>
      </c>
      <c r="CI112" s="2" t="str">
        <f t="shared" si="73"/>
        <v/>
      </c>
      <c r="CJ112" s="2" t="str">
        <f t="shared" si="74"/>
        <v/>
      </c>
      <c r="CK112" s="2" t="str">
        <f t="shared" si="75"/>
        <v/>
      </c>
      <c r="CL112" s="2" t="str">
        <f t="shared" si="76"/>
        <v/>
      </c>
      <c r="CM112" s="2" t="str">
        <f t="shared" si="77"/>
        <v/>
      </c>
      <c r="CN112" s="2" t="str">
        <f t="shared" si="78"/>
        <v/>
      </c>
      <c r="CO112" s="2" t="str">
        <f t="shared" si="79"/>
        <v/>
      </c>
      <c r="CP112" s="2" t="str">
        <f t="shared" si="80"/>
        <v/>
      </c>
      <c r="CQ112" s="2" t="str">
        <f t="shared" si="81"/>
        <v/>
      </c>
      <c r="CR112" s="2" t="str">
        <f t="shared" si="82"/>
        <v/>
      </c>
      <c r="CS112" s="2" t="str">
        <f t="shared" si="83"/>
        <v/>
      </c>
      <c r="CT112" s="2" t="str">
        <f t="shared" si="84"/>
        <v/>
      </c>
      <c r="CU112" s="2" t="str">
        <f t="shared" si="85"/>
        <v/>
      </c>
      <c r="CV112" s="2" t="str">
        <f t="shared" si="86"/>
        <v/>
      </c>
      <c r="CW112" s="2"/>
      <c r="CX112" s="2"/>
      <c r="CY112" s="2"/>
      <c r="CZ112" s="2"/>
    </row>
    <row r="113" spans="43:104" ht="15" hidden="1" customHeight="1" x14ac:dyDescent="0.2">
      <c r="AQ113" s="13">
        <v>48</v>
      </c>
      <c r="AR113" s="12">
        <v>835000</v>
      </c>
      <c r="AS113" s="12">
        <v>480000</v>
      </c>
      <c r="AT113" s="1"/>
      <c r="AU113" s="1"/>
      <c r="AV113" s="1"/>
      <c r="AW113" s="1"/>
      <c r="AX113" s="2"/>
      <c r="AY113" s="73"/>
      <c r="AZ113" s="1">
        <v>400000</v>
      </c>
      <c r="BA113" s="73"/>
      <c r="BB113" s="73"/>
      <c r="BC113" s="2"/>
      <c r="BD113" s="73"/>
      <c r="BE113" s="2"/>
      <c r="BK113" s="2"/>
      <c r="BM113" s="2"/>
      <c r="BN113" s="2"/>
      <c r="BO113" s="2"/>
      <c r="BS113" s="21" t="str">
        <f>IF($J$24="Español","Defensa",(IF($J$24="Deutsch","Raufbold",(IF($J$24="Français","Crâne épais","Juggernaut")))))</f>
        <v>Defensa</v>
      </c>
      <c r="BT113" s="21" t="s">
        <v>169</v>
      </c>
      <c r="BU113" s="81" t="str">
        <f>IF($J$24="Español","Dos Cabezas",(IF($J$24="Deutsch","Klauen",(IF($J$24="Français","Main démesurée","Horns")))))</f>
        <v>Dos Cabezas</v>
      </c>
      <c r="BV113" s="21" t="s">
        <v>171</v>
      </c>
      <c r="BW113" s="21" t="str">
        <f>IF($J$24="Español","Defensa",(IF($J$24="Deutsch","Raufbold",(IF($J$24="Français","Crâne épais","Juggernaut")))))</f>
        <v>Defensa</v>
      </c>
      <c r="BX113" s="21" t="s">
        <v>169</v>
      </c>
      <c r="BY113" s="21" t="str">
        <f t="shared" si="88"/>
        <v/>
      </c>
      <c r="BZ113" s="21" t="str">
        <f t="shared" si="88"/>
        <v/>
      </c>
      <c r="CA113" s="21" t="str">
        <f t="shared" si="87"/>
        <v/>
      </c>
      <c r="CB113" s="21" t="str">
        <f t="shared" si="87"/>
        <v/>
      </c>
      <c r="CC113" s="21" t="str">
        <f>IF($J$24="Español","Imparable",(IF($J$24="Deutsch","Standfest",(IF($J$24="Français","Garde","Multiple Blocks")))))</f>
        <v>Imparable</v>
      </c>
      <c r="CD113" s="2" t="s">
        <v>169</v>
      </c>
      <c r="CE113" s="80"/>
      <c r="CF113" s="2"/>
      <c r="CG113" s="2" t="str">
        <f t="shared" si="71"/>
        <v/>
      </c>
      <c r="CH113" s="2" t="str">
        <f t="shared" si="72"/>
        <v/>
      </c>
      <c r="CI113" s="2" t="str">
        <f t="shared" si="73"/>
        <v/>
      </c>
      <c r="CJ113" s="2" t="str">
        <f t="shared" si="74"/>
        <v/>
      </c>
      <c r="CK113" s="2" t="str">
        <f t="shared" si="75"/>
        <v/>
      </c>
      <c r="CL113" s="2" t="str">
        <f t="shared" si="76"/>
        <v/>
      </c>
      <c r="CM113" s="2" t="str">
        <f t="shared" si="77"/>
        <v/>
      </c>
      <c r="CN113" s="2" t="str">
        <f t="shared" si="78"/>
        <v/>
      </c>
      <c r="CO113" s="2" t="str">
        <f t="shared" si="79"/>
        <v/>
      </c>
      <c r="CP113" s="2" t="str">
        <f t="shared" si="80"/>
        <v/>
      </c>
      <c r="CQ113" s="2" t="str">
        <f t="shared" si="81"/>
        <v/>
      </c>
      <c r="CR113" s="2" t="str">
        <f t="shared" si="82"/>
        <v/>
      </c>
      <c r="CS113" s="2" t="str">
        <f t="shared" si="83"/>
        <v/>
      </c>
      <c r="CT113" s="2" t="str">
        <f t="shared" si="84"/>
        <v/>
      </c>
      <c r="CU113" s="2" t="str">
        <f t="shared" si="85"/>
        <v/>
      </c>
      <c r="CV113" s="2" t="str">
        <f t="shared" si="86"/>
        <v/>
      </c>
      <c r="CW113" s="2"/>
      <c r="CX113" s="2"/>
      <c r="CY113" s="2"/>
      <c r="CZ113" s="2"/>
    </row>
    <row r="114" spans="43:104" ht="15" hidden="1" customHeight="1" x14ac:dyDescent="0.2">
      <c r="AQ114" s="12">
        <v>49</v>
      </c>
      <c r="AR114" s="12">
        <v>840000</v>
      </c>
      <c r="AS114" s="12">
        <v>490000</v>
      </c>
      <c r="AT114" s="1"/>
      <c r="AU114" s="1"/>
      <c r="AV114" s="1"/>
      <c r="AW114" s="1"/>
      <c r="AX114" s="2"/>
      <c r="AY114" s="73"/>
      <c r="AZ114" s="1">
        <v>410000</v>
      </c>
      <c r="BA114" s="73"/>
      <c r="BB114" s="73"/>
      <c r="BC114" s="2"/>
      <c r="BD114" s="73"/>
      <c r="BE114" s="2"/>
      <c r="BK114" s="2"/>
      <c r="BM114" s="2"/>
      <c r="BN114" s="2"/>
      <c r="BO114" s="2"/>
      <c r="BS114" s="21" t="str">
        <f>IF($J$24="Español","Golpe Mortífero (+1)",(IF($J$24="Deutsch","Schweres Gerät",(IF($J$24="Français","Esquive en force","Mighty Blow (+1)")))))</f>
        <v>Golpe Mortífero (+1)</v>
      </c>
      <c r="BT114" s="21" t="s">
        <v>169</v>
      </c>
      <c r="BU114" s="21" t="str">
        <f>IF($J$24="Español","Garra / Garras",(IF($J$24="Deutsch","Monströses Maul",(IF($J$24="Français","Queue préhensile","Iron Hard Skin")))))</f>
        <v>Garra / Garras</v>
      </c>
      <c r="BV114" s="21" t="s">
        <v>171</v>
      </c>
      <c r="BW114" s="21" t="str">
        <f>IF($J$24="Español","Golpe Mortífero (+1)",(IF($J$24="Deutsch","Schweres Gerät",(IF($J$24="Français","Esquive en force","Mighty Blow (+1)")))))</f>
        <v>Golpe Mortífero (+1)</v>
      </c>
      <c r="BX114" s="21" t="s">
        <v>169</v>
      </c>
      <c r="BY114" s="21" t="str">
        <f t="shared" si="88"/>
        <v/>
      </c>
      <c r="BZ114" s="21" t="str">
        <f t="shared" si="88"/>
        <v/>
      </c>
      <c r="CA114" s="21" t="str">
        <f t="shared" si="87"/>
        <v/>
      </c>
      <c r="CB114" s="21" t="str">
        <f t="shared" si="87"/>
        <v/>
      </c>
      <c r="CC114" s="21" t="str">
        <f>IF($J$24="Español","Llave de Brazo",(IF($J$24="Deutsch","Starker Wurfarm",(IF($J$24="Français","Juggernaut","Pile Diver")))))</f>
        <v>Llave de Brazo</v>
      </c>
      <c r="CD114" s="2" t="s">
        <v>169</v>
      </c>
      <c r="CE114" s="80"/>
      <c r="CF114" s="2"/>
      <c r="CG114" s="2" t="str">
        <f t="shared" si="71"/>
        <v/>
      </c>
      <c r="CH114" s="2" t="str">
        <f t="shared" si="72"/>
        <v/>
      </c>
      <c r="CI114" s="2" t="str">
        <f t="shared" si="73"/>
        <v/>
      </c>
      <c r="CJ114" s="2" t="str">
        <f t="shared" si="74"/>
        <v/>
      </c>
      <c r="CK114" s="2" t="str">
        <f t="shared" si="75"/>
        <v/>
      </c>
      <c r="CL114" s="2" t="str">
        <f t="shared" si="76"/>
        <v/>
      </c>
      <c r="CM114" s="2" t="str">
        <f t="shared" si="77"/>
        <v/>
      </c>
      <c r="CN114" s="2" t="str">
        <f t="shared" si="78"/>
        <v/>
      </c>
      <c r="CO114" s="2" t="str">
        <f t="shared" si="79"/>
        <v/>
      </c>
      <c r="CP114" s="2" t="str">
        <f t="shared" si="80"/>
        <v/>
      </c>
      <c r="CQ114" s="2" t="str">
        <f t="shared" si="81"/>
        <v/>
      </c>
      <c r="CR114" s="2" t="str">
        <f t="shared" si="82"/>
        <v/>
      </c>
      <c r="CS114" s="2" t="str">
        <f t="shared" si="83"/>
        <v/>
      </c>
      <c r="CT114" s="2" t="str">
        <f t="shared" si="84"/>
        <v/>
      </c>
      <c r="CU114" s="2" t="str">
        <f t="shared" si="85"/>
        <v/>
      </c>
      <c r="CV114" s="2" t="str">
        <f t="shared" si="86"/>
        <v/>
      </c>
      <c r="CW114" s="2"/>
      <c r="CX114" s="2"/>
      <c r="CY114" s="2"/>
      <c r="CZ114" s="2"/>
    </row>
    <row r="115" spans="43:104" ht="15" hidden="1" customHeight="1" x14ac:dyDescent="0.2">
      <c r="AQ115" s="13">
        <v>50</v>
      </c>
      <c r="AR115" s="12">
        <v>845000</v>
      </c>
      <c r="AS115" s="12">
        <v>500000</v>
      </c>
      <c r="AT115" s="1"/>
      <c r="AU115" s="1"/>
      <c r="AV115" s="1"/>
      <c r="AW115" s="1"/>
      <c r="AX115" s="2"/>
      <c r="AY115" s="73"/>
      <c r="AZ115" s="1">
        <v>420000</v>
      </c>
      <c r="BA115" s="73"/>
      <c r="BB115" s="73"/>
      <c r="BC115" s="2"/>
      <c r="BD115" s="73"/>
      <c r="BE115" s="2"/>
      <c r="BK115" s="2"/>
      <c r="BM115" s="2"/>
      <c r="BN115" s="2"/>
      <c r="BO115" s="2"/>
      <c r="BS115" s="21" t="str">
        <f>IF($J$24="Español","Imparable",(IF($J$24="Deutsch","Standfest",(IF($J$24="Français","Garde","Multiple Blocks")))))</f>
        <v>Imparable</v>
      </c>
      <c r="BT115" s="21" t="s">
        <v>169</v>
      </c>
      <c r="BU115" s="21" t="str">
        <f>IF($J$24="Español","Mano Grande",(IF($J$24="Deutsch","Sehr lange Beine",(IF($J$24="Français","Peau de fer","Monstrous Mouth")))))</f>
        <v>Mano Grande</v>
      </c>
      <c r="BV115" s="21" t="s">
        <v>171</v>
      </c>
      <c r="BW115" s="21" t="str">
        <f>IF($J$24="Español","Imparable",(IF($J$24="Deutsch","Standfest",(IF($J$24="Français","Garde","Multiple Blocks")))))</f>
        <v>Imparable</v>
      </c>
      <c r="BX115" s="21" t="s">
        <v>169</v>
      </c>
      <c r="BY115" s="21" t="str">
        <f t="shared" si="88"/>
        <v/>
      </c>
      <c r="BZ115" s="21" t="str">
        <f t="shared" si="88"/>
        <v/>
      </c>
      <c r="CA115" s="21" t="str">
        <f t="shared" si="87"/>
        <v/>
      </c>
      <c r="CB115" s="21" t="str">
        <f t="shared" si="87"/>
        <v/>
      </c>
      <c r="CC115" s="21" t="str">
        <f>IF($J$24="Español","Luchador",(IF($J$24="Deutsch","Tackle durchbrechen",(IF($J$24="Français","Mateau-pilon","Stand Firm")))))</f>
        <v>Luchador</v>
      </c>
      <c r="CD115" s="2" t="s">
        <v>169</v>
      </c>
      <c r="CE115" s="80"/>
      <c r="CF115" s="2"/>
      <c r="CG115" s="2" t="str">
        <f t="shared" si="71"/>
        <v/>
      </c>
      <c r="CH115" s="2" t="str">
        <f t="shared" si="72"/>
        <v/>
      </c>
      <c r="CI115" s="2" t="str">
        <f t="shared" si="73"/>
        <v/>
      </c>
      <c r="CJ115" s="2" t="str">
        <f t="shared" si="74"/>
        <v/>
      </c>
      <c r="CK115" s="2" t="str">
        <f t="shared" si="75"/>
        <v/>
      </c>
      <c r="CL115" s="2" t="str">
        <f t="shared" si="76"/>
        <v/>
      </c>
      <c r="CM115" s="2" t="str">
        <f t="shared" si="77"/>
        <v/>
      </c>
      <c r="CN115" s="2" t="str">
        <f t="shared" si="78"/>
        <v/>
      </c>
      <c r="CO115" s="2" t="str">
        <f t="shared" si="79"/>
        <v/>
      </c>
      <c r="CP115" s="2" t="str">
        <f t="shared" si="80"/>
        <v/>
      </c>
      <c r="CQ115" s="2" t="str">
        <f t="shared" si="81"/>
        <v/>
      </c>
      <c r="CR115" s="2" t="str">
        <f t="shared" si="82"/>
        <v/>
      </c>
      <c r="CS115" s="2" t="str">
        <f t="shared" si="83"/>
        <v/>
      </c>
      <c r="CT115" s="2" t="str">
        <f t="shared" si="84"/>
        <v/>
      </c>
      <c r="CU115" s="2" t="str">
        <f t="shared" si="85"/>
        <v/>
      </c>
      <c r="CV115" s="2" t="str">
        <f t="shared" si="86"/>
        <v/>
      </c>
      <c r="CW115" s="2"/>
      <c r="CX115" s="2"/>
      <c r="CY115" s="2"/>
      <c r="CZ115" s="2"/>
    </row>
    <row r="116" spans="43:104" ht="15" hidden="1" customHeight="1" x14ac:dyDescent="0.2">
      <c r="AQ116" s="13">
        <v>51</v>
      </c>
      <c r="AR116" s="12">
        <v>850000</v>
      </c>
      <c r="AS116" s="12">
        <v>510000</v>
      </c>
      <c r="AT116" s="1"/>
      <c r="AU116" s="1"/>
      <c r="AV116" s="1"/>
      <c r="AW116" s="1"/>
      <c r="AX116" s="2"/>
      <c r="AY116" s="2"/>
      <c r="AZ116" s="1">
        <v>430000</v>
      </c>
      <c r="BA116" s="2"/>
      <c r="BB116" s="2"/>
      <c r="BC116" s="2"/>
      <c r="BD116" s="2"/>
      <c r="BE116" s="2"/>
      <c r="BK116" s="2"/>
      <c r="BM116" s="2"/>
      <c r="BN116" s="2"/>
      <c r="BO116" s="2"/>
      <c r="BS116" s="21" t="str">
        <f>IF($J$24="Español","Llave de Brazo",(IF($J$24="Deutsch","Starker Wurfarm",(IF($J$24="Français","Juggernaut","Pile Diver")))))</f>
        <v>Llave de Brazo</v>
      </c>
      <c r="BT116" s="21" t="s">
        <v>169</v>
      </c>
      <c r="BU116" s="81" t="str">
        <f>IF($J$24="Español","Piel Ferrea",(IF($J$24="Deutsch","Tentakel",(IF($J$24="Français","Présence perturbante","Prehensile Tail")))))</f>
        <v>Piel Ferrea</v>
      </c>
      <c r="BV116" s="21" t="s">
        <v>171</v>
      </c>
      <c r="BW116" s="21" t="str">
        <f>IF($J$24="Español","Llave de Brazo",(IF($J$24="Deutsch","Starker Wurfarm",(IF($J$24="Français","Juggernaut","Pile Diver")))))</f>
        <v>Llave de Brazo</v>
      </c>
      <c r="BX116" s="21" t="s">
        <v>169</v>
      </c>
      <c r="BY116" s="21" t="str">
        <f t="shared" si="88"/>
        <v/>
      </c>
      <c r="BZ116" s="21" t="str">
        <f t="shared" si="88"/>
        <v/>
      </c>
      <c r="CA116" s="21" t="str">
        <f t="shared" si="87"/>
        <v/>
      </c>
      <c r="CB116" s="21" t="str">
        <f t="shared" si="87"/>
        <v/>
      </c>
      <c r="CC116" s="21" t="str">
        <f>IF($J$24="Español","Mantenerse Firme",(IF($J$24="Deutsch","Robust",(IF($J$24="Français","Projection","Strong Arm")))))</f>
        <v>Mantenerse Firme</v>
      </c>
      <c r="CD116" s="2" t="s">
        <v>169</v>
      </c>
      <c r="CE116" s="80"/>
      <c r="CF116" s="2"/>
      <c r="CG116" s="2" t="str">
        <f t="shared" si="71"/>
        <v/>
      </c>
      <c r="CH116" s="2" t="str">
        <f t="shared" si="72"/>
        <v/>
      </c>
      <c r="CI116" s="2" t="str">
        <f t="shared" si="73"/>
        <v/>
      </c>
      <c r="CJ116" s="2" t="str">
        <f t="shared" si="74"/>
        <v/>
      </c>
      <c r="CK116" s="2" t="str">
        <f t="shared" si="75"/>
        <v/>
      </c>
      <c r="CL116" s="2" t="str">
        <f t="shared" si="76"/>
        <v/>
      </c>
      <c r="CM116" s="2" t="str">
        <f t="shared" si="77"/>
        <v/>
      </c>
      <c r="CN116" s="2" t="str">
        <f t="shared" si="78"/>
        <v/>
      </c>
      <c r="CO116" s="2" t="str">
        <f t="shared" si="79"/>
        <v/>
      </c>
      <c r="CP116" s="2" t="str">
        <f t="shared" si="80"/>
        <v/>
      </c>
      <c r="CQ116" s="2" t="str">
        <f t="shared" si="81"/>
        <v/>
      </c>
      <c r="CR116" s="2" t="str">
        <f t="shared" si="82"/>
        <v/>
      </c>
      <c r="CS116" s="2" t="str">
        <f t="shared" si="83"/>
        <v/>
      </c>
      <c r="CT116" s="2" t="str">
        <f t="shared" si="84"/>
        <v/>
      </c>
      <c r="CU116" s="2" t="str">
        <f t="shared" si="85"/>
        <v/>
      </c>
      <c r="CV116" s="2" t="str">
        <f t="shared" si="86"/>
        <v/>
      </c>
      <c r="CW116" s="2"/>
      <c r="CX116" s="2"/>
      <c r="CY116" s="2"/>
      <c r="CZ116" s="2"/>
    </row>
    <row r="117" spans="43:104" ht="15" hidden="1" customHeight="1" x14ac:dyDescent="0.2">
      <c r="AQ117" s="12">
        <v>52</v>
      </c>
      <c r="AR117" s="12">
        <v>855000</v>
      </c>
      <c r="AS117" s="12">
        <v>520000</v>
      </c>
      <c r="AT117" s="1"/>
      <c r="AU117" s="1"/>
      <c r="AV117" s="1"/>
      <c r="AW117" s="1"/>
      <c r="AX117" s="2"/>
      <c r="AY117" s="2"/>
      <c r="AZ117" s="1">
        <v>440000</v>
      </c>
      <c r="BA117" s="2"/>
      <c r="BB117" s="2"/>
      <c r="BC117" s="2"/>
      <c r="BD117" s="2"/>
      <c r="BE117" s="2"/>
      <c r="BK117" s="2"/>
      <c r="BM117" s="2"/>
      <c r="BN117" s="2"/>
      <c r="BO117" s="2"/>
      <c r="BS117" s="21" t="str">
        <f>IF($J$24="Español","Luchador",(IF($J$24="Deutsch","Tackle durchbrechen",(IF($J$24="Français","Mateau-pilon","Stand Firm")))))</f>
        <v>Luchador</v>
      </c>
      <c r="BT117" s="21" t="s">
        <v>169</v>
      </c>
      <c r="BU117" s="81" t="str">
        <f>IF($J$24="Español","Piernas muy Largas",(IF($J$24="Deutsch","Verstörende Präsenz",(IF($J$24="Français","Répulsion","Tentacles")))))</f>
        <v>Piernas muy Largas</v>
      </c>
      <c r="BV117" s="21" t="s">
        <v>171</v>
      </c>
      <c r="BW117" s="21" t="str">
        <f>IF($J$24="Español","Luchador",(IF($J$24="Deutsch","Tackle durchbrechen",(IF($J$24="Français","Mateau-pilon","Stand Firm")))))</f>
        <v>Luchador</v>
      </c>
      <c r="BX117" s="21" t="s">
        <v>169</v>
      </c>
      <c r="BY117" s="21" t="str">
        <f t="shared" si="88"/>
        <v/>
      </c>
      <c r="BZ117" s="21" t="str">
        <f t="shared" si="88"/>
        <v/>
      </c>
      <c r="CA117" s="21" t="str">
        <f t="shared" si="87"/>
        <v/>
      </c>
      <c r="CB117" s="21" t="str">
        <f t="shared" si="87"/>
        <v/>
      </c>
      <c r="CC117" s="21" t="str">
        <f>IF($J$24="Español","Placaje Múltiple",(IF($J$24="Deutsch","Unterstützen",(IF($J$24="Français","Stabilité","Thick Skull")))))</f>
        <v>Placaje Múltiple</v>
      </c>
      <c r="CD117" s="2" t="s">
        <v>169</v>
      </c>
      <c r="CE117" s="80"/>
      <c r="CF117" s="2"/>
      <c r="CG117" s="2" t="str">
        <f t="shared" si="71"/>
        <v/>
      </c>
      <c r="CH117" s="2" t="str">
        <f t="shared" si="72"/>
        <v/>
      </c>
      <c r="CI117" s="2" t="str">
        <f t="shared" si="73"/>
        <v/>
      </c>
      <c r="CJ117" s="2" t="str">
        <f t="shared" si="74"/>
        <v/>
      </c>
      <c r="CK117" s="2" t="str">
        <f t="shared" si="75"/>
        <v/>
      </c>
      <c r="CL117" s="2" t="str">
        <f t="shared" si="76"/>
        <v/>
      </c>
      <c r="CM117" s="2" t="str">
        <f t="shared" si="77"/>
        <v/>
      </c>
      <c r="CN117" s="2" t="str">
        <f t="shared" si="78"/>
        <v/>
      </c>
      <c r="CO117" s="2" t="str">
        <f t="shared" si="79"/>
        <v/>
      </c>
      <c r="CP117" s="2" t="str">
        <f t="shared" si="80"/>
        <v/>
      </c>
      <c r="CQ117" s="2" t="str">
        <f t="shared" si="81"/>
        <v/>
      </c>
      <c r="CR117" s="2" t="str">
        <f t="shared" si="82"/>
        <v/>
      </c>
      <c r="CS117" s="2" t="str">
        <f t="shared" si="83"/>
        <v/>
      </c>
      <c r="CT117" s="2" t="str">
        <f t="shared" si="84"/>
        <v/>
      </c>
      <c r="CU117" s="2" t="str">
        <f t="shared" si="85"/>
        <v/>
      </c>
      <c r="CV117" s="2" t="str">
        <f t="shared" si="86"/>
        <v/>
      </c>
      <c r="CW117" s="2"/>
      <c r="CX117" s="2"/>
      <c r="CY117" s="2"/>
      <c r="CZ117" s="2"/>
    </row>
    <row r="118" spans="43:104" ht="15" hidden="1" customHeight="1" x14ac:dyDescent="0.2">
      <c r="AQ118" s="13">
        <v>53</v>
      </c>
      <c r="AR118" s="12">
        <v>860000</v>
      </c>
      <c r="AS118" s="12">
        <v>530000</v>
      </c>
      <c r="AT118" s="1"/>
      <c r="AU118" s="1"/>
      <c r="AV118" s="1"/>
      <c r="AW118" s="1"/>
      <c r="AX118" s="2"/>
      <c r="AY118" s="2"/>
      <c r="AZ118" s="1">
        <v>450000</v>
      </c>
      <c r="BA118" s="2"/>
      <c r="BB118" s="2"/>
      <c r="BC118" s="2"/>
      <c r="BD118" s="2"/>
      <c r="BE118" s="2"/>
      <c r="BK118" s="2"/>
      <c r="BM118" s="2"/>
      <c r="BN118" s="2"/>
      <c r="BO118" s="2"/>
      <c r="BS118" s="21" t="str">
        <f>IF($J$24="Español","Mantenerse Firme",(IF($J$24="Deutsch","Robust",(IF($J$24="Français","Projection","Strong Arm")))))</f>
        <v>Mantenerse Firme</v>
      </c>
      <c r="BT118" s="21" t="s">
        <v>169</v>
      </c>
      <c r="BU118" s="81" t="str">
        <f>IF($J$24="Español","Presencia Perturbadora",(IF($J$24="Deutsch","Zwei Köpfe",(IF($J$24="Français","Tentacule","Two Heads")))))</f>
        <v>Presencia Perturbadora</v>
      </c>
      <c r="BV118" s="21" t="s">
        <v>171</v>
      </c>
      <c r="BW118" s="21" t="str">
        <f>IF($J$24="Español","Mantenerse Firme",(IF($J$24="Deutsch","Robust",(IF($J$24="Français","Projection","Strong Arm")))))</f>
        <v>Mantenerse Firme</v>
      </c>
      <c r="BX118" s="21" t="s">
        <v>169</v>
      </c>
      <c r="BY118" s="21" t="str">
        <f t="shared" si="88"/>
        <v/>
      </c>
      <c r="BZ118" s="21" t="str">
        <f t="shared" si="88"/>
        <v/>
      </c>
      <c r="CA118" s="21" t="str">
        <f t="shared" si="87"/>
        <v/>
      </c>
      <c r="CB118" s="21" t="str">
        <f t="shared" si="87"/>
        <v/>
      </c>
      <c r="CC118" s="75" t="str">
        <f>IF($J$24="Español","Apariencia Asquerosa",(IF($J$24="Deutsch","Abstoßendes Aussehen",(IF($J$24="Français","Bras supplémentaire","Big Hand")))))</f>
        <v>Apariencia Asquerosa</v>
      </c>
      <c r="CD118" s="2" t="s">
        <v>171</v>
      </c>
      <c r="CE118" s="80"/>
      <c r="CF118" s="2"/>
      <c r="CG118" s="2" t="str">
        <f t="shared" si="71"/>
        <v/>
      </c>
      <c r="CH118" s="2" t="str">
        <f t="shared" si="72"/>
        <v/>
      </c>
      <c r="CI118" s="2" t="str">
        <f t="shared" si="73"/>
        <v/>
      </c>
      <c r="CJ118" s="2" t="str">
        <f t="shared" si="74"/>
        <v/>
      </c>
      <c r="CK118" s="2" t="str">
        <f t="shared" si="75"/>
        <v/>
      </c>
      <c r="CL118" s="2" t="str">
        <f t="shared" si="76"/>
        <v/>
      </c>
      <c r="CM118" s="2" t="str">
        <f t="shared" si="77"/>
        <v/>
      </c>
      <c r="CN118" s="2" t="str">
        <f t="shared" si="78"/>
        <v/>
      </c>
      <c r="CO118" s="2" t="str">
        <f t="shared" si="79"/>
        <v/>
      </c>
      <c r="CP118" s="2" t="str">
        <f t="shared" si="80"/>
        <v/>
      </c>
      <c r="CQ118" s="2" t="str">
        <f t="shared" si="81"/>
        <v/>
      </c>
      <c r="CR118" s="2" t="str">
        <f t="shared" si="82"/>
        <v/>
      </c>
      <c r="CS118" s="2" t="str">
        <f t="shared" si="83"/>
        <v/>
      </c>
      <c r="CT118" s="2" t="str">
        <f t="shared" si="84"/>
        <v/>
      </c>
      <c r="CU118" s="2" t="str">
        <f t="shared" si="85"/>
        <v/>
      </c>
      <c r="CV118" s="2" t="str">
        <f t="shared" si="86"/>
        <v/>
      </c>
      <c r="CW118" s="2"/>
      <c r="CX118" s="2"/>
      <c r="CY118" s="2"/>
      <c r="CZ118" s="2"/>
    </row>
    <row r="119" spans="43:104" ht="15" hidden="1" customHeight="1" x14ac:dyDescent="0.2">
      <c r="AQ119" s="13">
        <v>54</v>
      </c>
      <c r="AR119" s="12">
        <v>865000</v>
      </c>
      <c r="AS119" s="12">
        <v>540000</v>
      </c>
      <c r="AT119" s="1"/>
      <c r="AU119" s="1"/>
      <c r="AV119" s="1"/>
      <c r="AW119" s="1"/>
      <c r="AX119" s="2"/>
      <c r="AY119" s="2"/>
      <c r="AZ119" s="1">
        <v>460000</v>
      </c>
      <c r="BA119" s="2"/>
      <c r="BB119" s="2"/>
      <c r="BC119" s="2"/>
      <c r="BD119" s="2"/>
      <c r="BE119" s="2"/>
      <c r="BK119" s="2"/>
      <c r="BM119" s="2"/>
      <c r="BN119" s="2"/>
      <c r="BO119" s="2"/>
      <c r="BS119" s="21" t="str">
        <f>IF($J$24="Español","Placaje Múltiple",(IF($J$24="Deutsch","Unterstützen",(IF($J$24="Français","Stabilité","Thick Skull")))))</f>
        <v>Placaje Múltiple</v>
      </c>
      <c r="BT119" s="21" t="s">
        <v>169</v>
      </c>
      <c r="BU119" s="81" t="str">
        <f>IF($J$24="Español","Tentáculos",(IF($J$24="Deutsch","Zusätzliche Arme",(IF($J$24="Français","Très longues jambes","Very Long Legs")))))</f>
        <v>Tentáculos</v>
      </c>
      <c r="BV119" s="21" t="s">
        <v>171</v>
      </c>
      <c r="BW119" s="21" t="str">
        <f>IF($J$24="Español","Placaje Múltiple",(IF($J$24="Deutsch","Unterstützen",(IF($J$24="Français","Stabilité","Thick Skull")))))</f>
        <v>Placaje Múltiple</v>
      </c>
      <c r="BX119" s="21" t="s">
        <v>169</v>
      </c>
      <c r="BY119" s="21" t="str">
        <f t="shared" si="88"/>
        <v/>
      </c>
      <c r="BZ119" s="21" t="str">
        <f t="shared" si="88"/>
        <v/>
      </c>
      <c r="CA119" s="21" t="str">
        <f t="shared" si="87"/>
        <v/>
      </c>
      <c r="CB119" s="21" t="str">
        <f t="shared" si="87"/>
        <v/>
      </c>
      <c r="CC119" s="75" t="str">
        <f>IF($J$24="Español","Boca Monstruosa",(IF($J$24="Deutsch","Eisenharte Haut",(IF($J$24="Français","Cornes","Claw / Claws")))))</f>
        <v>Boca Monstruosa</v>
      </c>
      <c r="CD119" s="2" t="s">
        <v>171</v>
      </c>
      <c r="CE119" s="80"/>
      <c r="CF119" s="2"/>
      <c r="CG119" s="2" t="str">
        <f t="shared" si="71"/>
        <v/>
      </c>
      <c r="CH119" s="2" t="str">
        <f t="shared" si="72"/>
        <v/>
      </c>
      <c r="CI119" s="2" t="str">
        <f t="shared" si="73"/>
        <v/>
      </c>
      <c r="CJ119" s="2" t="str">
        <f t="shared" si="74"/>
        <v/>
      </c>
      <c r="CK119" s="2" t="str">
        <f t="shared" si="75"/>
        <v/>
      </c>
      <c r="CL119" s="2" t="str">
        <f t="shared" si="76"/>
        <v/>
      </c>
      <c r="CM119" s="2" t="str">
        <f t="shared" si="77"/>
        <v/>
      </c>
      <c r="CN119" s="2" t="str">
        <f t="shared" si="78"/>
        <v/>
      </c>
      <c r="CO119" s="2" t="str">
        <f t="shared" si="79"/>
        <v/>
      </c>
      <c r="CP119" s="2" t="str">
        <f t="shared" si="80"/>
        <v/>
      </c>
      <c r="CQ119" s="2" t="str">
        <f t="shared" si="81"/>
        <v/>
      </c>
      <c r="CR119" s="2" t="str">
        <f t="shared" si="82"/>
        <v/>
      </c>
      <c r="CS119" s="2" t="str">
        <f t="shared" si="83"/>
        <v/>
      </c>
      <c r="CT119" s="2" t="str">
        <f t="shared" si="84"/>
        <v/>
      </c>
      <c r="CU119" s="2" t="str">
        <f t="shared" si="85"/>
        <v/>
      </c>
      <c r="CV119" s="2" t="str">
        <f t="shared" si="86"/>
        <v/>
      </c>
      <c r="CW119" s="2"/>
      <c r="CX119" s="2"/>
      <c r="CY119" s="2"/>
      <c r="CZ119" s="2"/>
    </row>
    <row r="120" spans="43:104" ht="15" hidden="1" customHeight="1" x14ac:dyDescent="0.2">
      <c r="AQ120" s="12">
        <v>55</v>
      </c>
      <c r="AR120" s="12">
        <v>870000</v>
      </c>
      <c r="AS120" s="12">
        <v>550000</v>
      </c>
      <c r="AT120" s="1"/>
      <c r="AU120" s="1"/>
      <c r="AV120" s="1"/>
      <c r="AW120" s="1"/>
      <c r="AX120" s="2"/>
      <c r="AY120" s="2"/>
      <c r="AZ120" s="1">
        <v>470000</v>
      </c>
      <c r="BA120" s="2"/>
      <c r="BB120" s="2"/>
      <c r="BC120" s="2"/>
      <c r="BD120" s="2"/>
      <c r="BE120" s="2"/>
      <c r="BK120" s="2"/>
      <c r="BM120" s="2"/>
      <c r="BN120" s="2"/>
      <c r="BO120" s="2"/>
      <c r="BS120" s="81" t="str">
        <f>IF($J$24="Español","Apariencia Asquerosa",(IF($J$24="Deutsch","Abstoßendes Aussehen",(IF($J$24="Français","Bras supplémentaire","Big Hand")))))</f>
        <v>Apariencia Asquerosa</v>
      </c>
      <c r="BT120" s="21" t="s">
        <v>171</v>
      </c>
      <c r="BU120" s="21" t="str">
        <f t="shared" ref="BU120:BZ131" si="89">""</f>
        <v/>
      </c>
      <c r="BV120" s="21" t="str">
        <f t="shared" si="89"/>
        <v/>
      </c>
      <c r="BW120" s="21" t="str">
        <f t="shared" si="89"/>
        <v/>
      </c>
      <c r="BX120" s="21" t="str">
        <f t="shared" si="89"/>
        <v/>
      </c>
      <c r="BY120" s="21" t="str">
        <f t="shared" si="89"/>
        <v/>
      </c>
      <c r="BZ120" s="21" t="str">
        <f t="shared" si="89"/>
        <v/>
      </c>
      <c r="CA120" s="21" t="str">
        <f t="shared" si="87"/>
        <v/>
      </c>
      <c r="CB120" s="21" t="str">
        <f t="shared" si="87"/>
        <v/>
      </c>
      <c r="CC120" s="75" t="str">
        <f>IF($J$24="Español","Brazos Adicionales",(IF($J$24="Deutsch","Große Hand",(IF($J$24="Français","Deux tête","Disturbing Presence")))))</f>
        <v>Brazos Adicionales</v>
      </c>
      <c r="CD120" s="2" t="s">
        <v>171</v>
      </c>
      <c r="CE120" s="80"/>
      <c r="CF120" s="2"/>
      <c r="CG120" s="2" t="str">
        <f t="shared" si="71"/>
        <v/>
      </c>
      <c r="CH120" s="2" t="str">
        <f t="shared" si="72"/>
        <v/>
      </c>
      <c r="CI120" s="2" t="str">
        <f t="shared" si="73"/>
        <v/>
      </c>
      <c r="CJ120" s="2" t="str">
        <f t="shared" si="74"/>
        <v/>
      </c>
      <c r="CK120" s="2" t="str">
        <f t="shared" si="75"/>
        <v/>
      </c>
      <c r="CL120" s="2" t="str">
        <f t="shared" si="76"/>
        <v/>
      </c>
      <c r="CM120" s="2" t="str">
        <f t="shared" si="77"/>
        <v/>
      </c>
      <c r="CN120" s="2" t="str">
        <f t="shared" si="78"/>
        <v/>
      </c>
      <c r="CO120" s="2" t="str">
        <f t="shared" si="79"/>
        <v/>
      </c>
      <c r="CP120" s="2" t="str">
        <f t="shared" si="80"/>
        <v/>
      </c>
      <c r="CQ120" s="2" t="str">
        <f t="shared" si="81"/>
        <v/>
      </c>
      <c r="CR120" s="2" t="str">
        <f t="shared" si="82"/>
        <v/>
      </c>
      <c r="CS120" s="2" t="str">
        <f t="shared" si="83"/>
        <v/>
      </c>
      <c r="CT120" s="2" t="str">
        <f t="shared" si="84"/>
        <v/>
      </c>
      <c r="CU120" s="2" t="str">
        <f t="shared" si="85"/>
        <v/>
      </c>
      <c r="CV120" s="2" t="str">
        <f t="shared" si="86"/>
        <v/>
      </c>
      <c r="CW120" s="2"/>
      <c r="CX120" s="2"/>
      <c r="CY120" s="2"/>
      <c r="CZ120" s="2"/>
    </row>
    <row r="121" spans="43:104" ht="15" hidden="1" customHeight="1" x14ac:dyDescent="0.2">
      <c r="AQ121" s="13">
        <v>56</v>
      </c>
      <c r="AR121" s="12">
        <v>875000</v>
      </c>
      <c r="AS121" s="12">
        <v>560000</v>
      </c>
      <c r="AT121" s="1"/>
      <c r="AU121" s="1"/>
      <c r="AV121" s="1"/>
      <c r="AW121" s="1"/>
      <c r="AX121" s="2"/>
      <c r="AY121" s="2"/>
      <c r="AZ121" s="1">
        <v>480000</v>
      </c>
      <c r="BA121" s="2"/>
      <c r="BB121" s="2"/>
      <c r="BC121" s="2"/>
      <c r="BD121" s="2"/>
      <c r="BE121" s="2"/>
      <c r="BK121" s="2"/>
      <c r="BM121" s="2"/>
      <c r="BN121" s="2"/>
      <c r="BO121" s="2"/>
      <c r="BS121" s="81" t="str">
        <f>IF($J$24="Español","Boca Monstruosa",(IF($J$24="Deutsch","Eisenharte Haut",(IF($J$24="Français","Cornes","Claw / Claws")))))</f>
        <v>Boca Monstruosa</v>
      </c>
      <c r="BT121" s="21" t="s">
        <v>171</v>
      </c>
      <c r="BU121" s="21" t="str">
        <f t="shared" si="89"/>
        <v/>
      </c>
      <c r="BV121" s="21" t="str">
        <f t="shared" si="89"/>
        <v/>
      </c>
      <c r="BW121" s="21" t="str">
        <f t="shared" si="89"/>
        <v/>
      </c>
      <c r="BX121" s="21" t="str">
        <f t="shared" si="89"/>
        <v/>
      </c>
      <c r="BY121" s="21" t="str">
        <f t="shared" si="89"/>
        <v/>
      </c>
      <c r="BZ121" s="21" t="str">
        <f t="shared" si="89"/>
        <v/>
      </c>
      <c r="CA121" s="21" t="str">
        <f t="shared" si="87"/>
        <v/>
      </c>
      <c r="CB121" s="21" t="str">
        <f t="shared" si="87"/>
        <v/>
      </c>
      <c r="CC121" s="75" t="str">
        <f>IF($J$24="Español","Cola Prensil",(IF($J$24="Deutsch","Hörner",(IF($J$24="Français","Grande gueule","Extra Arms")))))</f>
        <v>Cola Prensil</v>
      </c>
      <c r="CD121" s="2" t="s">
        <v>171</v>
      </c>
      <c r="CE121" s="80"/>
      <c r="CF121" s="2"/>
      <c r="CG121" s="2" t="str">
        <f t="shared" si="71"/>
        <v/>
      </c>
      <c r="CH121" s="2" t="str">
        <f t="shared" si="72"/>
        <v/>
      </c>
      <c r="CI121" s="2" t="str">
        <f t="shared" si="73"/>
        <v/>
      </c>
      <c r="CJ121" s="2" t="str">
        <f t="shared" si="74"/>
        <v/>
      </c>
      <c r="CK121" s="2" t="str">
        <f t="shared" si="75"/>
        <v/>
      </c>
      <c r="CL121" s="2" t="str">
        <f t="shared" si="76"/>
        <v/>
      </c>
      <c r="CM121" s="2" t="str">
        <f t="shared" si="77"/>
        <v/>
      </c>
      <c r="CN121" s="2" t="str">
        <f t="shared" si="78"/>
        <v/>
      </c>
      <c r="CO121" s="2" t="str">
        <f t="shared" si="79"/>
        <v/>
      </c>
      <c r="CP121" s="2" t="str">
        <f t="shared" si="80"/>
        <v/>
      </c>
      <c r="CQ121" s="2" t="str">
        <f t="shared" si="81"/>
        <v/>
      </c>
      <c r="CR121" s="2" t="str">
        <f t="shared" si="82"/>
        <v/>
      </c>
      <c r="CS121" s="2" t="str">
        <f t="shared" si="83"/>
        <v/>
      </c>
      <c r="CT121" s="2" t="str">
        <f t="shared" si="84"/>
        <v/>
      </c>
      <c r="CU121" s="2" t="str">
        <f t="shared" si="85"/>
        <v/>
      </c>
      <c r="CV121" s="2" t="str">
        <f t="shared" si="86"/>
        <v/>
      </c>
      <c r="CW121" s="2"/>
      <c r="CX121" s="2"/>
      <c r="CY121" s="2"/>
      <c r="CZ121" s="2"/>
    </row>
    <row r="122" spans="43:104" ht="15" hidden="1" customHeight="1" x14ac:dyDescent="0.2">
      <c r="AQ122" s="13">
        <v>57</v>
      </c>
      <c r="AR122" s="12">
        <v>880000</v>
      </c>
      <c r="AS122" s="12">
        <v>570000</v>
      </c>
      <c r="AT122" s="1"/>
      <c r="AU122" s="1"/>
      <c r="AV122" s="1"/>
      <c r="AW122" s="1"/>
      <c r="AX122" s="2"/>
      <c r="AY122" s="2"/>
      <c r="AZ122" s="1">
        <v>490000</v>
      </c>
      <c r="BA122" s="2"/>
      <c r="BB122" s="2"/>
      <c r="BC122" s="2"/>
      <c r="BD122" s="2"/>
      <c r="BE122" s="2"/>
      <c r="BK122" s="2"/>
      <c r="BM122" s="2"/>
      <c r="BN122" s="2"/>
      <c r="BO122" s="2"/>
      <c r="BS122" s="81" t="str">
        <f>IF($J$24="Español","Brazos Adicionales",(IF($J$24="Deutsch","Große Hand",(IF($J$24="Français","Deux tête","Disturbing Presence")))))</f>
        <v>Brazos Adicionales</v>
      </c>
      <c r="BT122" s="21" t="s">
        <v>171</v>
      </c>
      <c r="BU122" s="21" t="str">
        <f t="shared" si="89"/>
        <v/>
      </c>
      <c r="BV122" s="21" t="str">
        <f t="shared" si="89"/>
        <v/>
      </c>
      <c r="BW122" s="21" t="str">
        <f t="shared" si="89"/>
        <v/>
      </c>
      <c r="BX122" s="21" t="str">
        <f t="shared" si="89"/>
        <v/>
      </c>
      <c r="BY122" s="21" t="str">
        <f t="shared" si="89"/>
        <v/>
      </c>
      <c r="BZ122" s="21" t="str">
        <f t="shared" si="89"/>
        <v/>
      </c>
      <c r="CA122" s="21" t="str">
        <f t="shared" si="87"/>
        <v/>
      </c>
      <c r="CB122" s="21" t="str">
        <f t="shared" si="87"/>
        <v/>
      </c>
      <c r="CC122" s="75" t="str">
        <f>IF($J$24="Español","Cuernos",(IF($J$24="Deutsch","Klammerschwanz",(IF($J$24="Français","Griffes","Foul Appearance")))))</f>
        <v>Cuernos</v>
      </c>
      <c r="CD122" s="2" t="s">
        <v>171</v>
      </c>
      <c r="CE122" s="80"/>
      <c r="CF122" s="2"/>
      <c r="CG122" s="2" t="str">
        <f t="shared" si="71"/>
        <v/>
      </c>
      <c r="CH122" s="2" t="str">
        <f t="shared" si="72"/>
        <v/>
      </c>
      <c r="CI122" s="2" t="str">
        <f t="shared" si="73"/>
        <v/>
      </c>
      <c r="CJ122" s="2" t="str">
        <f t="shared" si="74"/>
        <v/>
      </c>
      <c r="CK122" s="2" t="str">
        <f t="shared" si="75"/>
        <v/>
      </c>
      <c r="CL122" s="2" t="str">
        <f t="shared" si="76"/>
        <v/>
      </c>
      <c r="CM122" s="2" t="str">
        <f t="shared" si="77"/>
        <v/>
      </c>
      <c r="CN122" s="2" t="str">
        <f t="shared" si="78"/>
        <v/>
      </c>
      <c r="CO122" s="2" t="str">
        <f t="shared" si="79"/>
        <v/>
      </c>
      <c r="CP122" s="2" t="str">
        <f t="shared" si="80"/>
        <v/>
      </c>
      <c r="CQ122" s="2" t="str">
        <f t="shared" si="81"/>
        <v/>
      </c>
      <c r="CR122" s="2" t="str">
        <f t="shared" si="82"/>
        <v/>
      </c>
      <c r="CS122" s="2" t="str">
        <f t="shared" si="83"/>
        <v/>
      </c>
      <c r="CT122" s="2" t="str">
        <f t="shared" si="84"/>
        <v/>
      </c>
      <c r="CU122" s="2" t="str">
        <f t="shared" si="85"/>
        <v/>
      </c>
      <c r="CV122" s="2" t="str">
        <f t="shared" si="86"/>
        <v/>
      </c>
      <c r="CW122" s="2"/>
      <c r="CX122" s="2"/>
      <c r="CY122" s="2"/>
      <c r="CZ122" s="2"/>
    </row>
    <row r="123" spans="43:104" ht="15" hidden="1" customHeight="1" x14ac:dyDescent="0.2">
      <c r="AQ123" s="12">
        <v>58</v>
      </c>
      <c r="AR123" s="12">
        <v>885000</v>
      </c>
      <c r="AS123" s="12">
        <v>580000</v>
      </c>
      <c r="AT123" s="1"/>
      <c r="AU123" s="1"/>
      <c r="AV123" s="1"/>
      <c r="AW123" s="1"/>
      <c r="AX123" s="2"/>
      <c r="AY123" s="2"/>
      <c r="AZ123" s="1">
        <v>500000</v>
      </c>
      <c r="BA123" s="2"/>
      <c r="BB123" s="2"/>
      <c r="BC123" s="2"/>
      <c r="BD123" s="2"/>
      <c r="BE123" s="2"/>
      <c r="BK123" s="2"/>
      <c r="BM123" s="2"/>
      <c r="BN123" s="2"/>
      <c r="BO123" s="2"/>
      <c r="BS123" s="81" t="str">
        <f>IF($J$24="Español","Cola Prensil",(IF($J$24="Deutsch","Hörner",(IF($J$24="Français","Grande gueule","Extra Arms")))))</f>
        <v>Cola Prensil</v>
      </c>
      <c r="BT123" s="21" t="s">
        <v>171</v>
      </c>
      <c r="BU123" s="21" t="str">
        <f t="shared" si="89"/>
        <v/>
      </c>
      <c r="BV123" s="21" t="str">
        <f t="shared" si="89"/>
        <v/>
      </c>
      <c r="BW123" s="21" t="str">
        <f t="shared" si="89"/>
        <v/>
      </c>
      <c r="BX123" s="21" t="str">
        <f t="shared" si="89"/>
        <v/>
      </c>
      <c r="BY123" s="21" t="str">
        <f t="shared" si="89"/>
        <v/>
      </c>
      <c r="BZ123" s="21" t="str">
        <f t="shared" si="89"/>
        <v/>
      </c>
      <c r="CA123" s="21" t="str">
        <f t="shared" si="87"/>
        <v/>
      </c>
      <c r="CB123" s="21" t="str">
        <f t="shared" si="87"/>
        <v/>
      </c>
      <c r="CC123" s="75" t="str">
        <f>IF($J$24="Español","Dos Cabezas",(IF($J$24="Deutsch","Klauen",(IF($J$24="Français","Main démesurée","Horns")))))</f>
        <v>Dos Cabezas</v>
      </c>
      <c r="CD123" s="2" t="s">
        <v>171</v>
      </c>
      <c r="CE123" s="80"/>
      <c r="CF123" s="2"/>
      <c r="CG123" s="2" t="str">
        <f t="shared" si="71"/>
        <v/>
      </c>
      <c r="CH123" s="2" t="str">
        <f t="shared" si="72"/>
        <v/>
      </c>
      <c r="CI123" s="2" t="str">
        <f t="shared" si="73"/>
        <v/>
      </c>
      <c r="CJ123" s="2" t="str">
        <f t="shared" si="74"/>
        <v/>
      </c>
      <c r="CK123" s="2" t="str">
        <f t="shared" si="75"/>
        <v/>
      </c>
      <c r="CL123" s="2" t="str">
        <f t="shared" si="76"/>
        <v/>
      </c>
      <c r="CM123" s="2" t="str">
        <f t="shared" si="77"/>
        <v/>
      </c>
      <c r="CN123" s="2" t="str">
        <f t="shared" si="78"/>
        <v/>
      </c>
      <c r="CO123" s="2" t="str">
        <f t="shared" si="79"/>
        <v/>
      </c>
      <c r="CP123" s="2" t="str">
        <f t="shared" si="80"/>
        <v/>
      </c>
      <c r="CQ123" s="2" t="str">
        <f t="shared" si="81"/>
        <v/>
      </c>
      <c r="CR123" s="2" t="str">
        <f t="shared" si="82"/>
        <v/>
      </c>
      <c r="CS123" s="2" t="str">
        <f t="shared" si="83"/>
        <v/>
      </c>
      <c r="CT123" s="2" t="str">
        <f t="shared" si="84"/>
        <v/>
      </c>
      <c r="CU123" s="2" t="str">
        <f t="shared" si="85"/>
        <v/>
      </c>
      <c r="CV123" s="2" t="str">
        <f t="shared" si="86"/>
        <v/>
      </c>
      <c r="CW123" s="2"/>
      <c r="CX123" s="2"/>
      <c r="CY123" s="2"/>
      <c r="CZ123" s="2"/>
    </row>
    <row r="124" spans="43:104" ht="15" hidden="1" customHeight="1" x14ac:dyDescent="0.2">
      <c r="AQ124" s="13">
        <v>59</v>
      </c>
      <c r="AR124" s="12">
        <v>890000</v>
      </c>
      <c r="AS124" s="12">
        <v>590000</v>
      </c>
      <c r="AT124" s="1"/>
      <c r="AU124" s="1"/>
      <c r="AV124" s="1"/>
      <c r="AW124" s="1"/>
      <c r="AX124" s="2"/>
      <c r="AY124" s="2"/>
      <c r="AZ124" s="2"/>
      <c r="BA124" s="2"/>
      <c r="BB124" s="2"/>
      <c r="BC124" s="2"/>
      <c r="BD124" s="2"/>
      <c r="BE124" s="2"/>
      <c r="BK124" s="2"/>
      <c r="BM124" s="2"/>
      <c r="BN124" s="2"/>
      <c r="BO124" s="2"/>
      <c r="BS124" s="81" t="str">
        <f>IF($J$24="Español","Cuernos",(IF($J$24="Deutsch","Klammerschwanz",(IF($J$24="Français","Griffes","Foul Appearance")))))</f>
        <v>Cuernos</v>
      </c>
      <c r="BT124" s="21" t="s">
        <v>171</v>
      </c>
      <c r="BU124" s="21" t="str">
        <f t="shared" si="89"/>
        <v/>
      </c>
      <c r="BV124" s="21" t="str">
        <f t="shared" si="89"/>
        <v/>
      </c>
      <c r="BW124" s="21" t="str">
        <f t="shared" si="89"/>
        <v/>
      </c>
      <c r="BX124" s="21" t="str">
        <f t="shared" si="89"/>
        <v/>
      </c>
      <c r="BY124" s="21" t="str">
        <f t="shared" si="89"/>
        <v/>
      </c>
      <c r="BZ124" s="21" t="str">
        <f t="shared" si="89"/>
        <v/>
      </c>
      <c r="CA124" s="21" t="str">
        <f t="shared" si="87"/>
        <v/>
      </c>
      <c r="CB124" s="21" t="str">
        <f t="shared" si="87"/>
        <v/>
      </c>
      <c r="CC124" s="21" t="str">
        <f>IF($J$24="Español","Garra / Garras",(IF($J$24="Deutsch","Monströses Maul",(IF($J$24="Français","Queue préhensile","Iron Hard Skin")))))</f>
        <v>Garra / Garras</v>
      </c>
      <c r="CD124" s="2" t="s">
        <v>171</v>
      </c>
      <c r="CE124" s="80"/>
      <c r="CF124" s="2"/>
      <c r="CG124" s="2" t="str">
        <f t="shared" si="71"/>
        <v/>
      </c>
      <c r="CH124" s="2" t="str">
        <f t="shared" si="72"/>
        <v/>
      </c>
      <c r="CI124" s="2" t="str">
        <f t="shared" si="73"/>
        <v/>
      </c>
      <c r="CJ124" s="2" t="str">
        <f t="shared" si="74"/>
        <v/>
      </c>
      <c r="CK124" s="2" t="str">
        <f t="shared" si="75"/>
        <v/>
      </c>
      <c r="CL124" s="2" t="str">
        <f t="shared" si="76"/>
        <v/>
      </c>
      <c r="CM124" s="2" t="str">
        <f t="shared" si="77"/>
        <v/>
      </c>
      <c r="CN124" s="2" t="str">
        <f t="shared" si="78"/>
        <v/>
      </c>
      <c r="CO124" s="2" t="str">
        <f t="shared" si="79"/>
        <v/>
      </c>
      <c r="CP124" s="2" t="str">
        <f t="shared" si="80"/>
        <v/>
      </c>
      <c r="CQ124" s="2" t="str">
        <f t="shared" si="81"/>
        <v/>
      </c>
      <c r="CR124" s="2" t="str">
        <f t="shared" si="82"/>
        <v/>
      </c>
      <c r="CS124" s="2" t="str">
        <f t="shared" si="83"/>
        <v/>
      </c>
      <c r="CT124" s="2" t="str">
        <f t="shared" si="84"/>
        <v/>
      </c>
      <c r="CU124" s="2" t="str">
        <f t="shared" si="85"/>
        <v/>
      </c>
      <c r="CV124" s="2" t="str">
        <f t="shared" si="86"/>
        <v/>
      </c>
      <c r="CW124" s="2"/>
      <c r="CX124" s="2"/>
      <c r="CY124" s="2"/>
      <c r="CZ124" s="2"/>
    </row>
    <row r="125" spans="43:104" ht="15" hidden="1" customHeight="1" x14ac:dyDescent="0.2">
      <c r="AQ125" s="13">
        <v>60</v>
      </c>
      <c r="AR125" s="12">
        <v>895000</v>
      </c>
      <c r="AS125" s="12">
        <v>600000</v>
      </c>
      <c r="AT125" s="1"/>
      <c r="AU125" s="1"/>
      <c r="AV125" s="1"/>
      <c r="AW125" s="1"/>
      <c r="AX125" s="2"/>
      <c r="AY125" s="2"/>
      <c r="AZ125" s="2"/>
      <c r="BA125" s="2"/>
      <c r="BB125" s="2"/>
      <c r="BC125" s="2"/>
      <c r="BD125" s="2"/>
      <c r="BE125" s="2"/>
      <c r="BK125" s="2"/>
      <c r="BM125" s="2"/>
      <c r="BN125" s="2"/>
      <c r="BO125" s="2"/>
      <c r="BS125" s="81" t="str">
        <f>IF($J$24="Español","Dos Cabezas",(IF($J$24="Deutsch","Klauen",(IF($J$24="Français","Main démesurée","Horns")))))</f>
        <v>Dos Cabezas</v>
      </c>
      <c r="BT125" s="21" t="s">
        <v>171</v>
      </c>
      <c r="BU125" s="21" t="str">
        <f t="shared" si="89"/>
        <v/>
      </c>
      <c r="BV125" s="21" t="str">
        <f t="shared" si="89"/>
        <v/>
      </c>
      <c r="BW125" s="21" t="str">
        <f t="shared" si="89"/>
        <v/>
      </c>
      <c r="BX125" s="21" t="str">
        <f t="shared" si="89"/>
        <v/>
      </c>
      <c r="BY125" s="21" t="str">
        <f t="shared" si="89"/>
        <v/>
      </c>
      <c r="BZ125" s="21" t="str">
        <f t="shared" si="89"/>
        <v/>
      </c>
      <c r="CA125" s="21" t="str">
        <f t="shared" si="87"/>
        <v/>
      </c>
      <c r="CB125" s="21" t="str">
        <f t="shared" si="87"/>
        <v/>
      </c>
      <c r="CC125" s="21" t="str">
        <f>IF($J$24="Español","Mano Grande",(IF($J$24="Deutsch","Sehr lange Beine",(IF($J$24="Français","Peau de fer","Monstrous Mouth")))))</f>
        <v>Mano Grande</v>
      </c>
      <c r="CD125" s="2" t="s">
        <v>171</v>
      </c>
      <c r="CE125" s="80"/>
      <c r="CF125" s="2"/>
      <c r="CG125" s="2" t="str">
        <f t="shared" si="71"/>
        <v/>
      </c>
      <c r="CH125" s="2" t="str">
        <f t="shared" si="72"/>
        <v/>
      </c>
      <c r="CI125" s="2" t="str">
        <f t="shared" si="73"/>
        <v/>
      </c>
      <c r="CJ125" s="2" t="str">
        <f t="shared" si="74"/>
        <v/>
      </c>
      <c r="CK125" s="2" t="str">
        <f t="shared" si="75"/>
        <v/>
      </c>
      <c r="CL125" s="2" t="str">
        <f t="shared" si="76"/>
        <v/>
      </c>
      <c r="CM125" s="2" t="str">
        <f t="shared" si="77"/>
        <v/>
      </c>
      <c r="CN125" s="2" t="str">
        <f t="shared" si="78"/>
        <v/>
      </c>
      <c r="CO125" s="2" t="str">
        <f t="shared" si="79"/>
        <v/>
      </c>
      <c r="CP125" s="2" t="str">
        <f t="shared" si="80"/>
        <v/>
      </c>
      <c r="CQ125" s="2" t="str">
        <f t="shared" si="81"/>
        <v/>
      </c>
      <c r="CR125" s="2" t="str">
        <f t="shared" si="82"/>
        <v/>
      </c>
      <c r="CS125" s="2" t="str">
        <f t="shared" si="83"/>
        <v/>
      </c>
      <c r="CT125" s="2" t="str">
        <f t="shared" si="84"/>
        <v/>
      </c>
      <c r="CU125" s="2" t="str">
        <f t="shared" si="85"/>
        <v/>
      </c>
      <c r="CV125" s="2" t="str">
        <f t="shared" si="86"/>
        <v/>
      </c>
      <c r="CW125" s="2"/>
      <c r="CX125" s="2"/>
      <c r="CY125" s="2"/>
      <c r="CZ125" s="2"/>
    </row>
    <row r="126" spans="43:104" ht="15" hidden="1" customHeight="1" x14ac:dyDescent="0.2">
      <c r="AQ126" s="12">
        <v>61</v>
      </c>
      <c r="AR126" s="12">
        <v>900000</v>
      </c>
      <c r="AS126" s="12">
        <v>610000</v>
      </c>
      <c r="AT126" s="1"/>
      <c r="AU126" s="1"/>
      <c r="AV126" s="1"/>
      <c r="AW126" s="1"/>
      <c r="AX126" s="2"/>
      <c r="AY126" s="2"/>
      <c r="AZ126" s="2"/>
      <c r="BA126" s="2"/>
      <c r="BB126" s="2"/>
      <c r="BC126" s="2"/>
      <c r="BD126" s="2"/>
      <c r="BE126" s="2"/>
      <c r="BK126" s="2"/>
      <c r="BM126" s="2"/>
      <c r="BN126" s="2"/>
      <c r="BO126" s="2"/>
      <c r="BS126" s="21" t="str">
        <f>IF($J$24="Español","Garra / Garras",(IF($J$24="Deutsch","Monströses Maul",(IF($J$24="Français","Queue préhensile","Iron Hard Skin")))))</f>
        <v>Garra / Garras</v>
      </c>
      <c r="BT126" s="21" t="s">
        <v>171</v>
      </c>
      <c r="BU126" s="21" t="str">
        <f t="shared" si="89"/>
        <v/>
      </c>
      <c r="BV126" s="21" t="str">
        <f t="shared" si="89"/>
        <v/>
      </c>
      <c r="BW126" s="21" t="str">
        <f t="shared" si="89"/>
        <v/>
      </c>
      <c r="BX126" s="21" t="str">
        <f t="shared" si="89"/>
        <v/>
      </c>
      <c r="BY126" s="21" t="str">
        <f t="shared" si="89"/>
        <v/>
      </c>
      <c r="BZ126" s="21" t="str">
        <f t="shared" si="89"/>
        <v/>
      </c>
      <c r="CA126" s="21" t="str">
        <f t="shared" si="87"/>
        <v/>
      </c>
      <c r="CB126" s="21" t="str">
        <f t="shared" si="87"/>
        <v/>
      </c>
      <c r="CC126" s="75" t="str">
        <f>IF($J$24="Español","Piel Ferrea",(IF($J$24="Deutsch","Tentakel",(IF($J$24="Français","Présence perturbante","Prehensile Tail")))))</f>
        <v>Piel Ferrea</v>
      </c>
      <c r="CD126" s="2" t="s">
        <v>171</v>
      </c>
      <c r="CE126" s="80"/>
      <c r="CF126" s="2"/>
      <c r="CG126" s="2" t="str">
        <f t="shared" si="71"/>
        <v/>
      </c>
      <c r="CH126" s="2" t="str">
        <f t="shared" si="72"/>
        <v/>
      </c>
      <c r="CI126" s="2" t="str">
        <f t="shared" si="73"/>
        <v/>
      </c>
      <c r="CJ126" s="2" t="str">
        <f t="shared" si="74"/>
        <v/>
      </c>
      <c r="CK126" s="2" t="str">
        <f t="shared" si="75"/>
        <v/>
      </c>
      <c r="CL126" s="2" t="str">
        <f t="shared" si="76"/>
        <v/>
      </c>
      <c r="CM126" s="2" t="str">
        <f t="shared" si="77"/>
        <v/>
      </c>
      <c r="CN126" s="2" t="str">
        <f t="shared" si="78"/>
        <v/>
      </c>
      <c r="CO126" s="2" t="str">
        <f t="shared" si="79"/>
        <v/>
      </c>
      <c r="CP126" s="2" t="str">
        <f t="shared" si="80"/>
        <v/>
      </c>
      <c r="CQ126" s="2" t="str">
        <f t="shared" si="81"/>
        <v/>
      </c>
      <c r="CR126" s="2" t="str">
        <f t="shared" si="82"/>
        <v/>
      </c>
      <c r="CS126" s="2" t="str">
        <f t="shared" si="83"/>
        <v/>
      </c>
      <c r="CT126" s="2" t="str">
        <f t="shared" si="84"/>
        <v/>
      </c>
      <c r="CU126" s="2" t="str">
        <f t="shared" si="85"/>
        <v/>
      </c>
      <c r="CV126" s="2" t="str">
        <f t="shared" si="86"/>
        <v/>
      </c>
      <c r="CW126" s="2"/>
      <c r="CX126" s="2"/>
      <c r="CY126" s="2"/>
      <c r="CZ126" s="2"/>
    </row>
    <row r="127" spans="43:104" ht="15" hidden="1" customHeight="1" x14ac:dyDescent="0.2">
      <c r="AQ127" s="13">
        <v>62</v>
      </c>
      <c r="AR127" s="12">
        <v>905000</v>
      </c>
      <c r="AS127" s="12">
        <v>620000</v>
      </c>
      <c r="AT127" s="1"/>
      <c r="AU127" s="1"/>
      <c r="AV127" s="1"/>
      <c r="AW127" s="1"/>
      <c r="AX127" s="2"/>
      <c r="AY127" s="2"/>
      <c r="AZ127" s="2"/>
      <c r="BA127" s="2"/>
      <c r="BB127" s="2"/>
      <c r="BC127" s="2"/>
      <c r="BD127" s="2"/>
      <c r="BE127" s="2"/>
      <c r="BK127" s="2"/>
      <c r="BM127" s="2"/>
      <c r="BN127" s="2"/>
      <c r="BO127" s="2"/>
      <c r="BS127" s="21" t="str">
        <f>IF($J$24="Español","Mano Grande",(IF($J$24="Deutsch","Sehr lange Beine",(IF($J$24="Français","Peau de fer","Monstrous Mouth")))))</f>
        <v>Mano Grande</v>
      </c>
      <c r="BT127" s="21" t="s">
        <v>171</v>
      </c>
      <c r="BU127" s="21" t="str">
        <f t="shared" si="89"/>
        <v/>
      </c>
      <c r="BV127" s="21" t="str">
        <f t="shared" si="89"/>
        <v/>
      </c>
      <c r="BW127" s="21" t="str">
        <f t="shared" si="89"/>
        <v/>
      </c>
      <c r="BX127" s="21" t="str">
        <f t="shared" si="89"/>
        <v/>
      </c>
      <c r="BY127" s="21" t="str">
        <f t="shared" si="89"/>
        <v/>
      </c>
      <c r="BZ127" s="21" t="str">
        <f t="shared" si="89"/>
        <v/>
      </c>
      <c r="CA127" s="21" t="str">
        <f t="shared" si="87"/>
        <v/>
      </c>
      <c r="CB127" s="21" t="str">
        <f t="shared" si="87"/>
        <v/>
      </c>
      <c r="CC127" s="75" t="str">
        <f>IF($J$24="Español","Piernas muy Largas",(IF($J$24="Deutsch","Verstörende Präsenz",(IF($J$24="Français","Répulsion","Tentacles")))))</f>
        <v>Piernas muy Largas</v>
      </c>
      <c r="CD127" s="2" t="s">
        <v>171</v>
      </c>
      <c r="CE127" s="80"/>
      <c r="CF127" s="2"/>
      <c r="CG127" s="2" t="str">
        <f t="shared" si="71"/>
        <v/>
      </c>
      <c r="CH127" s="2" t="str">
        <f t="shared" si="72"/>
        <v/>
      </c>
      <c r="CI127" s="2" t="str">
        <f t="shared" si="73"/>
        <v/>
      </c>
      <c r="CJ127" s="2" t="str">
        <f t="shared" si="74"/>
        <v/>
      </c>
      <c r="CK127" s="2" t="str">
        <f t="shared" si="75"/>
        <v/>
      </c>
      <c r="CL127" s="2" t="str">
        <f t="shared" si="76"/>
        <v/>
      </c>
      <c r="CM127" s="2" t="str">
        <f t="shared" si="77"/>
        <v/>
      </c>
      <c r="CN127" s="2" t="str">
        <f t="shared" si="78"/>
        <v/>
      </c>
      <c r="CO127" s="2" t="str">
        <f t="shared" si="79"/>
        <v/>
      </c>
      <c r="CP127" s="2" t="str">
        <f t="shared" si="80"/>
        <v/>
      </c>
      <c r="CQ127" s="2" t="str">
        <f t="shared" si="81"/>
        <v/>
      </c>
      <c r="CR127" s="2" t="str">
        <f t="shared" si="82"/>
        <v/>
      </c>
      <c r="CS127" s="2" t="str">
        <f t="shared" si="83"/>
        <v/>
      </c>
      <c r="CT127" s="2" t="str">
        <f t="shared" si="84"/>
        <v/>
      </c>
      <c r="CU127" s="2" t="str">
        <f t="shared" si="85"/>
        <v/>
      </c>
      <c r="CV127" s="2" t="str">
        <f t="shared" si="86"/>
        <v/>
      </c>
      <c r="CW127" s="2"/>
      <c r="CX127" s="2"/>
      <c r="CY127" s="2"/>
      <c r="CZ127" s="2"/>
    </row>
    <row r="128" spans="43:104" ht="15" hidden="1" customHeight="1" x14ac:dyDescent="0.2">
      <c r="AQ128" s="12">
        <v>63</v>
      </c>
      <c r="AR128" s="12">
        <v>910000</v>
      </c>
      <c r="AS128" s="12">
        <v>630000</v>
      </c>
      <c r="AT128" s="1"/>
      <c r="AU128" s="1"/>
      <c r="AV128" s="1"/>
      <c r="AW128" s="1"/>
      <c r="AX128" s="2"/>
      <c r="AY128" s="2"/>
      <c r="AZ128" s="2"/>
      <c r="BA128" s="2"/>
      <c r="BB128" s="2"/>
      <c r="BC128" s="2"/>
      <c r="BD128" s="2"/>
      <c r="BE128" s="2"/>
      <c r="BK128" s="2"/>
      <c r="BM128" s="2"/>
      <c r="BN128" s="2"/>
      <c r="BO128" s="2"/>
      <c r="BS128" s="81" t="str">
        <f>IF($J$24="Español","Piel Ferrea",(IF($J$24="Deutsch","Tentakel",(IF($J$24="Français","Présence perturbante","Prehensile Tail")))))</f>
        <v>Piel Ferrea</v>
      </c>
      <c r="BT128" s="21" t="s">
        <v>171</v>
      </c>
      <c r="BU128" s="21" t="str">
        <f t="shared" si="89"/>
        <v/>
      </c>
      <c r="BV128" s="21" t="str">
        <f t="shared" si="89"/>
        <v/>
      </c>
      <c r="BW128" s="21" t="str">
        <f t="shared" si="89"/>
        <v/>
      </c>
      <c r="BX128" s="21" t="str">
        <f t="shared" si="89"/>
        <v/>
      </c>
      <c r="BY128" s="21" t="str">
        <f t="shared" si="89"/>
        <v/>
      </c>
      <c r="BZ128" s="21" t="str">
        <f t="shared" si="89"/>
        <v/>
      </c>
      <c r="CA128" s="21" t="str">
        <f t="shared" si="87"/>
        <v/>
      </c>
      <c r="CB128" s="21" t="str">
        <f t="shared" si="87"/>
        <v/>
      </c>
      <c r="CC128" s="75" t="str">
        <f>IF($J$24="Español","Presencia Perturbadora",(IF($J$24="Deutsch","Zwei Köpfe",(IF($J$24="Français","Tentacule","Two Heads")))))</f>
        <v>Presencia Perturbadora</v>
      </c>
      <c r="CD128" s="2" t="s">
        <v>171</v>
      </c>
      <c r="CE128" s="80"/>
      <c r="CF128" s="2"/>
      <c r="CG128" s="2" t="str">
        <f t="shared" si="71"/>
        <v/>
      </c>
      <c r="CH128" s="2" t="str">
        <f t="shared" si="72"/>
        <v/>
      </c>
      <c r="CI128" s="2" t="str">
        <f t="shared" si="73"/>
        <v/>
      </c>
      <c r="CJ128" s="2" t="str">
        <f t="shared" si="74"/>
        <v/>
      </c>
      <c r="CK128" s="2" t="str">
        <f t="shared" si="75"/>
        <v/>
      </c>
      <c r="CL128" s="2" t="str">
        <f t="shared" si="76"/>
        <v/>
      </c>
      <c r="CM128" s="2" t="str">
        <f t="shared" si="77"/>
        <v/>
      </c>
      <c r="CN128" s="2" t="str">
        <f t="shared" si="78"/>
        <v/>
      </c>
      <c r="CO128" s="2" t="str">
        <f t="shared" si="79"/>
        <v/>
      </c>
      <c r="CP128" s="2" t="str">
        <f t="shared" si="80"/>
        <v/>
      </c>
      <c r="CQ128" s="2" t="str">
        <f t="shared" si="81"/>
        <v/>
      </c>
      <c r="CR128" s="2" t="str">
        <f t="shared" si="82"/>
        <v/>
      </c>
      <c r="CS128" s="2" t="str">
        <f t="shared" si="83"/>
        <v/>
      </c>
      <c r="CT128" s="2" t="str">
        <f t="shared" si="84"/>
        <v/>
      </c>
      <c r="CU128" s="2" t="str">
        <f t="shared" si="85"/>
        <v/>
      </c>
      <c r="CV128" s="2" t="str">
        <f t="shared" si="86"/>
        <v/>
      </c>
      <c r="CW128" s="2"/>
      <c r="CX128" s="2"/>
      <c r="CY128" s="2"/>
      <c r="CZ128" s="2"/>
    </row>
    <row r="129" spans="43:104" ht="15" hidden="1" customHeight="1" x14ac:dyDescent="0.2">
      <c r="AQ129" s="13">
        <v>64</v>
      </c>
      <c r="AR129" s="12">
        <v>915000</v>
      </c>
      <c r="AS129" s="12">
        <v>640000</v>
      </c>
      <c r="AT129" s="1"/>
      <c r="AU129" s="1"/>
      <c r="AV129" s="1"/>
      <c r="AW129" s="1"/>
      <c r="AX129" s="2"/>
      <c r="AY129" s="2"/>
      <c r="AZ129" s="2"/>
      <c r="BA129" s="2"/>
      <c r="BB129" s="2"/>
      <c r="BC129" s="2"/>
      <c r="BD129" s="2"/>
      <c r="BE129" s="2"/>
      <c r="BK129" s="2"/>
      <c r="BM129" s="2"/>
      <c r="BN129" s="2"/>
      <c r="BO129" s="2"/>
      <c r="BS129" s="81" t="str">
        <f>IF($J$24="Español","Piernas muy Largas",(IF($J$24="Deutsch","Verstörende Präsenz",(IF($J$24="Français","Répulsion","Tentacles")))))</f>
        <v>Piernas muy Largas</v>
      </c>
      <c r="BT129" s="21" t="s">
        <v>171</v>
      </c>
      <c r="BU129" s="21" t="str">
        <f t="shared" si="89"/>
        <v/>
      </c>
      <c r="BV129" s="21" t="str">
        <f t="shared" si="89"/>
        <v/>
      </c>
      <c r="BW129" s="21" t="str">
        <f t="shared" si="89"/>
        <v/>
      </c>
      <c r="BX129" s="21" t="str">
        <f t="shared" si="89"/>
        <v/>
      </c>
      <c r="BY129" s="21" t="str">
        <f t="shared" si="89"/>
        <v/>
      </c>
      <c r="BZ129" s="21" t="str">
        <f t="shared" si="89"/>
        <v/>
      </c>
      <c r="CA129" s="21" t="str">
        <f t="shared" si="87"/>
        <v/>
      </c>
      <c r="CB129" s="21" t="str">
        <f t="shared" si="87"/>
        <v/>
      </c>
      <c r="CC129" s="75" t="str">
        <f>IF($J$24="Español","Tentáculos",(IF($J$24="Deutsch","Zusätzliche Arme",(IF($J$24="Français","Très longues jambes","Very Long Legs")))))</f>
        <v>Tentáculos</v>
      </c>
      <c r="CD129" s="2" t="s">
        <v>171</v>
      </c>
      <c r="CE129" s="80"/>
      <c r="CF129" s="2"/>
      <c r="CG129" s="2" t="str">
        <f t="shared" si="71"/>
        <v/>
      </c>
      <c r="CH129" s="2" t="str">
        <f t="shared" si="72"/>
        <v/>
      </c>
      <c r="CI129" s="2" t="str">
        <f t="shared" si="73"/>
        <v/>
      </c>
      <c r="CJ129" s="2" t="str">
        <f t="shared" si="74"/>
        <v/>
      </c>
      <c r="CK129" s="2" t="str">
        <f t="shared" si="75"/>
        <v/>
      </c>
      <c r="CL129" s="2" t="str">
        <f t="shared" si="76"/>
        <v/>
      </c>
      <c r="CM129" s="2" t="str">
        <f t="shared" si="77"/>
        <v/>
      </c>
      <c r="CN129" s="2" t="str">
        <f t="shared" si="78"/>
        <v/>
      </c>
      <c r="CO129" s="2" t="str">
        <f t="shared" si="79"/>
        <v/>
      </c>
      <c r="CP129" s="2" t="str">
        <f t="shared" si="80"/>
        <v/>
      </c>
      <c r="CQ129" s="2" t="str">
        <f t="shared" si="81"/>
        <v/>
      </c>
      <c r="CR129" s="2" t="str">
        <f t="shared" si="82"/>
        <v/>
      </c>
      <c r="CS129" s="2" t="str">
        <f t="shared" si="83"/>
        <v/>
      </c>
      <c r="CT129" s="2" t="str">
        <f t="shared" si="84"/>
        <v/>
      </c>
      <c r="CU129" s="2" t="str">
        <f t="shared" si="85"/>
        <v/>
      </c>
      <c r="CV129" s="2" t="str">
        <f t="shared" si="86"/>
        <v/>
      </c>
      <c r="CW129" s="2"/>
      <c r="CX129" s="2"/>
      <c r="CY129" s="2"/>
      <c r="CZ129" s="2"/>
    </row>
    <row r="130" spans="43:104" ht="15" hidden="1" customHeight="1" x14ac:dyDescent="0.2">
      <c r="AQ130" s="13">
        <v>65</v>
      </c>
      <c r="AR130" s="12">
        <v>920000</v>
      </c>
      <c r="AS130" s="12">
        <v>650000</v>
      </c>
      <c r="AT130" s="1"/>
      <c r="AU130" s="1"/>
      <c r="AV130" s="1"/>
      <c r="AW130" s="1"/>
      <c r="AX130" s="2"/>
      <c r="AY130" s="2"/>
      <c r="AZ130" s="2"/>
      <c r="BA130" s="2"/>
      <c r="BB130" s="2"/>
      <c r="BC130" s="2"/>
      <c r="BD130" s="2"/>
      <c r="BE130" s="2"/>
      <c r="BK130" s="2"/>
      <c r="BM130" s="2"/>
      <c r="BN130" s="2"/>
      <c r="BO130" s="2"/>
      <c r="BS130" s="81" t="str">
        <f>IF($J$24="Español","Presencia Perturbadora",(IF($J$24="Deutsch","Zwei Köpfe",(IF($J$24="Français","Tentacule","Two Heads")))))</f>
        <v>Presencia Perturbadora</v>
      </c>
      <c r="BT130" s="21" t="s">
        <v>171</v>
      </c>
      <c r="BU130" s="21" t="str">
        <f t="shared" si="89"/>
        <v/>
      </c>
      <c r="BV130" s="21" t="str">
        <f t="shared" si="89"/>
        <v/>
      </c>
      <c r="BW130" s="21" t="str">
        <f t="shared" si="89"/>
        <v/>
      </c>
      <c r="BX130" s="21" t="str">
        <f t="shared" si="89"/>
        <v/>
      </c>
      <c r="BY130" s="21" t="str">
        <f t="shared" si="89"/>
        <v/>
      </c>
      <c r="BZ130" s="21" t="str">
        <f t="shared" si="89"/>
        <v/>
      </c>
      <c r="CA130" s="21" t="str">
        <f t="shared" si="87"/>
        <v/>
      </c>
      <c r="CB130" s="21" t="str">
        <f t="shared" si="87"/>
        <v/>
      </c>
      <c r="CC130" s="13"/>
      <c r="CD130" s="2"/>
      <c r="CE130" s="2"/>
      <c r="CF130" s="2"/>
      <c r="CG130" s="2" t="str">
        <f t="shared" ref="CG130:CG139" si="90">IFERROR((IF($CG$62="M",BW131,IF($CG$62="PM",BY131,IF($CG$62="P",BU131,IF($CG$62="FULL",BS131,IF($CG$62="GPSM",CA135,"")))))),"")</f>
        <v/>
      </c>
      <c r="CH130" s="2" t="str">
        <f t="shared" ref="CH130:CH139" si="91">IFERROR((IF($CH$62="M",BW131,IF($CH$62="PM",BY131,IF($CH$62="P",BU131,IF($CH$62="FULL",BS131,IF($CH$62="GPSM",CA135,"")))))),"")</f>
        <v/>
      </c>
      <c r="CI130" s="2" t="str">
        <f t="shared" ref="CI130:CI139" si="92">IFERROR((IF($CI$62="M",BW131,IF($CI$62="PM",BY131,IF($CI$62="P",BU131,IF($CI$62="FULL",BS131,IF($CI$62="GPSM",CA135,"")))))),"")</f>
        <v/>
      </c>
      <c r="CJ130" s="2" t="str">
        <f t="shared" ref="CJ130:CJ139" si="93">IFERROR((IF($CJ$62="M",BW131,IF($CJ$62="PM",BY131,IF($CJ$62="P",BU131,IF($CJ$62="FULL",BS131,IF($CJ$62="GPSM",CA135,"")))))),"")</f>
        <v/>
      </c>
      <c r="CK130" s="2" t="str">
        <f t="shared" ref="CK130:CK139" si="94">IFERROR((IF($CK$62="M",BW131,IF($CK$62="PM",BY131,IF($CK$62="P",BU131,IF($CK$62="FULL",BS131,IF($CK$62="GPSM",CA135,"")))))),"")</f>
        <v/>
      </c>
      <c r="CL130" s="2" t="str">
        <f t="shared" ref="CL130:CL139" si="95">IFERROR((IF($CL$62="M",BW131,IF($CL$62="PM",BY131,IF($CL$62="P",BU131,IF($CL$62="FULL",BS131,IF($CL$62="GPSM",CA135,"")))))),"")</f>
        <v/>
      </c>
      <c r="CM130" s="2" t="str">
        <f t="shared" ref="CM130:CM139" si="96">IFERROR((IF($CM$62="M",BW131,IF($CM$62="PM",BY131,IF($CM$62="P",BU131,IF($CM$62="FULL",BS131,IF($CM$62="GPSM",CA135,"")))))),"")</f>
        <v/>
      </c>
      <c r="CN130" s="2" t="str">
        <f t="shared" ref="CN130:CN139" si="97">IFERROR((IF($CN$62="M",BW131,IF($CN$62="PM",BY131,IF($CN$62="P",BU131,IF($CN$62="FULL",BS131,IF($CN$62="GPSM",CA135,"")))))),"")</f>
        <v/>
      </c>
      <c r="CO130" s="2" t="str">
        <f t="shared" ref="CO130:CO139" si="98">IFERROR((IF($CO$62="M",BW131,IF($CO$62="PM",BY131,IF($CO$62="P",BU131,IF($CO$62="FULL",BS131,IF($CO$62="GPSM",CA135,"")))))),"")</f>
        <v/>
      </c>
      <c r="CP130" s="2" t="str">
        <f t="shared" ref="CP130:CP139" si="99">IFERROR((IF($CP$62="M",BW131,IF($CP$62="PM",BY131,IF($CP$62="P",BU131,IF($CP$62="FULL",BS131,IF($CP$62="GPSM",CA135,"")))))),"")</f>
        <v/>
      </c>
      <c r="CQ130" s="2" t="str">
        <f t="shared" ref="CQ130:CQ139" si="100">IFERROR((IF($CQ$62="M",BW131,IF($CQ$62="PM",BY131,IF($CQ$62="P",BU131,IF($CQ$62="FULL",BS131,IF($CQ$62="GPSM",CA135,"")))))),"")</f>
        <v/>
      </c>
      <c r="CR130" s="2" t="str">
        <f t="shared" ref="CR130:CR139" si="101">IFERROR((IF($CR$62="M",BW131,IF($CR$62="PM",BY131,IF($CR$62="P",BU131,IF($CR$62="FULL",BS131,IF($CR$62="GPSM",CA135,"")))))),"")</f>
        <v/>
      </c>
      <c r="CS130" s="2" t="str">
        <f t="shared" ref="CS130:CS139" si="102">IFERROR((IF($CS$62="M",BW131,IF($CS$62="PM",BY131,IF($CS$62="P",BU131,IF($CS$62="FULL",BS131,IF($CS$62="GPSM",CA135,"")))))),"")</f>
        <v/>
      </c>
      <c r="CT130" s="2" t="str">
        <f t="shared" ref="CT130:CT139" si="103">IFERROR((IF($CT$62="M",BW131,IF($CT$62="PM",BY131,IF($CT$62="P",BU131,IF($CT$62="FULL",BS131,IF($CT$62="GPSM",CA135,"")))))),"")</f>
        <v/>
      </c>
      <c r="CU130" s="2" t="str">
        <f t="shared" ref="CU130:CU139" si="104">IFERROR((IF($CU$62="M",BW131,IF($CU$62="PM",BY131,IF($CU$62="P",BU131,IF($CU$62="FULL",BS131,IF($CU$62="GPSM",CA135,"")))))),"")</f>
        <v/>
      </c>
      <c r="CV130" s="2" t="str">
        <f t="shared" ref="CV130:CV139" si="105">IFERROR((IF($CV$62="M",BW131,IF($CV$62="PM",BY131,IF($CV$62="P",BU131,IF($CV$62="FULL",BS131,IF($CV$62="GPSM",CA135,"")))))),"")</f>
        <v/>
      </c>
      <c r="CW130" s="2"/>
      <c r="CX130" s="2"/>
      <c r="CY130" s="2"/>
      <c r="CZ130" s="2"/>
    </row>
    <row r="131" spans="43:104" ht="15" hidden="1" customHeight="1" x14ac:dyDescent="0.2">
      <c r="AQ131" s="12">
        <v>66</v>
      </c>
      <c r="AR131" s="12">
        <v>925000</v>
      </c>
      <c r="AS131" s="12">
        <v>660000</v>
      </c>
      <c r="AT131" s="1"/>
      <c r="AU131" s="1"/>
      <c r="AV131" s="1"/>
      <c r="AW131" s="1"/>
      <c r="AX131" s="2"/>
      <c r="AY131" s="2"/>
      <c r="AZ131" s="2"/>
      <c r="BA131" s="2"/>
      <c r="BB131" s="2"/>
      <c r="BC131" s="2"/>
      <c r="BD131" s="2"/>
      <c r="BE131" s="2"/>
      <c r="BK131" s="2"/>
      <c r="BM131" s="2"/>
      <c r="BN131" s="2"/>
      <c r="BO131" s="2"/>
      <c r="BS131" s="81" t="str">
        <f>IF($J$24="Español","Tentáculos",(IF($J$24="Deutsch","Zusätzliche Arme",(IF($J$24="Français","Très longues jambes","Very Long Legs")))))</f>
        <v>Tentáculos</v>
      </c>
      <c r="BT131" s="21" t="s">
        <v>171</v>
      </c>
      <c r="BU131" s="21" t="str">
        <f t="shared" si="89"/>
        <v/>
      </c>
      <c r="BV131" s="21" t="str">
        <f t="shared" si="89"/>
        <v/>
      </c>
      <c r="BW131" s="21" t="str">
        <f t="shared" si="89"/>
        <v/>
      </c>
      <c r="BX131" s="21" t="str">
        <f t="shared" si="89"/>
        <v/>
      </c>
      <c r="BY131" s="21" t="str">
        <f t="shared" si="89"/>
        <v/>
      </c>
      <c r="BZ131" s="21" t="str">
        <f t="shared" si="89"/>
        <v/>
      </c>
      <c r="CA131" s="21" t="str">
        <f t="shared" si="87"/>
        <v/>
      </c>
      <c r="CB131" s="21" t="str">
        <f t="shared" si="87"/>
        <v/>
      </c>
      <c r="CC131" s="2"/>
      <c r="CD131" s="2"/>
      <c r="CE131" s="2"/>
      <c r="CF131" s="2"/>
      <c r="CG131" s="2" t="str">
        <f t="shared" si="90"/>
        <v/>
      </c>
      <c r="CH131" s="2" t="str">
        <f t="shared" si="91"/>
        <v/>
      </c>
      <c r="CI131" s="2" t="str">
        <f t="shared" si="92"/>
        <v/>
      </c>
      <c r="CJ131" s="2" t="str">
        <f t="shared" si="93"/>
        <v/>
      </c>
      <c r="CK131" s="2" t="str">
        <f t="shared" si="94"/>
        <v/>
      </c>
      <c r="CL131" s="2" t="str">
        <f t="shared" si="95"/>
        <v/>
      </c>
      <c r="CM131" s="2" t="str">
        <f t="shared" si="96"/>
        <v/>
      </c>
      <c r="CN131" s="2" t="str">
        <f t="shared" si="97"/>
        <v/>
      </c>
      <c r="CO131" s="2" t="str">
        <f t="shared" si="98"/>
        <v/>
      </c>
      <c r="CP131" s="2" t="str">
        <f t="shared" si="99"/>
        <v/>
      </c>
      <c r="CQ131" s="2" t="str">
        <f t="shared" si="100"/>
        <v/>
      </c>
      <c r="CR131" s="2" t="str">
        <f t="shared" si="101"/>
        <v/>
      </c>
      <c r="CS131" s="2" t="str">
        <f t="shared" si="102"/>
        <v/>
      </c>
      <c r="CT131" s="2" t="str">
        <f t="shared" si="103"/>
        <v/>
      </c>
      <c r="CU131" s="2" t="str">
        <f t="shared" si="104"/>
        <v/>
      </c>
      <c r="CV131" s="2" t="str">
        <f t="shared" si="105"/>
        <v/>
      </c>
      <c r="CW131" s="2"/>
      <c r="CX131" s="2"/>
      <c r="CY131" s="2"/>
      <c r="CZ131" s="2"/>
    </row>
    <row r="132" spans="43:104" ht="15" hidden="1" customHeight="1" x14ac:dyDescent="0.2">
      <c r="AQ132" s="13">
        <v>67</v>
      </c>
      <c r="AR132" s="12">
        <v>930000</v>
      </c>
      <c r="AS132" s="12">
        <v>670000</v>
      </c>
      <c r="AT132" s="1"/>
      <c r="AU132" s="1"/>
      <c r="AV132" s="1"/>
      <c r="AW132" s="1"/>
      <c r="AX132" s="2"/>
      <c r="AY132" s="2"/>
      <c r="AZ132" s="2"/>
      <c r="BA132" s="2"/>
      <c r="BB132" s="2"/>
      <c r="BC132" s="2"/>
      <c r="BD132" s="2"/>
      <c r="BE132" s="2"/>
      <c r="BK132" s="2"/>
      <c r="BM132" s="2"/>
      <c r="BN132" s="2"/>
      <c r="BO132" s="2"/>
      <c r="BS132" s="11" t="str">
        <f t="shared" ref="BS132:BY140" si="106">""</f>
        <v/>
      </c>
      <c r="BT132" s="2" t="str">
        <f t="shared" si="106"/>
        <v/>
      </c>
      <c r="BU132" s="4" t="str">
        <f t="shared" si="106"/>
        <v/>
      </c>
      <c r="BV132" s="4" t="str">
        <f t="shared" si="106"/>
        <v/>
      </c>
      <c r="BW132" s="4" t="str">
        <f t="shared" si="106"/>
        <v/>
      </c>
      <c r="BX132" s="4" t="str">
        <f t="shared" si="106"/>
        <v/>
      </c>
      <c r="BY132" s="69" t="str">
        <f t="shared" si="106"/>
        <v/>
      </c>
      <c r="BZ132" s="2"/>
      <c r="CA132" s="21" t="str">
        <f t="shared" si="87"/>
        <v/>
      </c>
      <c r="CB132" s="21" t="str">
        <f t="shared" si="87"/>
        <v/>
      </c>
      <c r="CC132" s="2"/>
      <c r="CD132" s="2"/>
      <c r="CE132" s="2"/>
      <c r="CF132" s="2"/>
      <c r="CG132" s="2" t="str">
        <f t="shared" si="90"/>
        <v/>
      </c>
      <c r="CH132" s="2" t="str">
        <f t="shared" si="91"/>
        <v/>
      </c>
      <c r="CI132" s="2" t="str">
        <f t="shared" si="92"/>
        <v/>
      </c>
      <c r="CJ132" s="2" t="str">
        <f t="shared" si="93"/>
        <v/>
      </c>
      <c r="CK132" s="2" t="str">
        <f t="shared" si="94"/>
        <v/>
      </c>
      <c r="CL132" s="2" t="str">
        <f t="shared" si="95"/>
        <v/>
      </c>
      <c r="CM132" s="2" t="str">
        <f t="shared" si="96"/>
        <v/>
      </c>
      <c r="CN132" s="2" t="str">
        <f t="shared" si="97"/>
        <v/>
      </c>
      <c r="CO132" s="2" t="str">
        <f t="shared" si="98"/>
        <v/>
      </c>
      <c r="CP132" s="2" t="str">
        <f t="shared" si="99"/>
        <v/>
      </c>
      <c r="CQ132" s="2" t="str">
        <f t="shared" si="100"/>
        <v/>
      </c>
      <c r="CR132" s="2" t="str">
        <f t="shared" si="101"/>
        <v/>
      </c>
      <c r="CS132" s="2" t="str">
        <f t="shared" si="102"/>
        <v/>
      </c>
      <c r="CT132" s="2" t="str">
        <f t="shared" si="103"/>
        <v/>
      </c>
      <c r="CU132" s="2" t="str">
        <f t="shared" si="104"/>
        <v/>
      </c>
      <c r="CV132" s="2" t="str">
        <f t="shared" si="105"/>
        <v/>
      </c>
      <c r="CW132" s="2"/>
      <c r="CX132" s="2"/>
      <c r="CY132" s="2"/>
      <c r="CZ132" s="2"/>
    </row>
    <row r="133" spans="43:104" ht="15" hidden="1" customHeight="1" x14ac:dyDescent="0.2">
      <c r="AQ133" s="13">
        <v>68</v>
      </c>
      <c r="AR133" s="12">
        <v>935000</v>
      </c>
      <c r="AS133" s="12">
        <v>680000</v>
      </c>
      <c r="AT133" s="1"/>
      <c r="AU133" s="1"/>
      <c r="AV133" s="1"/>
      <c r="AW133" s="1"/>
      <c r="AX133" s="2"/>
      <c r="AY133" s="2"/>
      <c r="AZ133" s="2"/>
      <c r="BA133" s="2"/>
      <c r="BB133" s="2"/>
      <c r="BC133" s="2"/>
      <c r="BD133" s="2"/>
      <c r="BE133" s="2"/>
      <c r="BK133" s="2"/>
      <c r="BM133" s="2"/>
      <c r="BN133" s="2"/>
      <c r="BO133" s="2"/>
      <c r="BS133" s="11" t="str">
        <f t="shared" si="106"/>
        <v/>
      </c>
      <c r="BT133" s="2" t="str">
        <f t="shared" si="106"/>
        <v/>
      </c>
      <c r="BU133" s="4" t="str">
        <f t="shared" si="106"/>
        <v/>
      </c>
      <c r="BV133" s="4" t="str">
        <f t="shared" si="106"/>
        <v/>
      </c>
      <c r="BW133" s="4" t="str">
        <f t="shared" si="106"/>
        <v/>
      </c>
      <c r="BX133" s="4" t="str">
        <f t="shared" si="106"/>
        <v/>
      </c>
      <c r="BY133" s="69" t="str">
        <f t="shared" si="106"/>
        <v/>
      </c>
      <c r="BZ133" s="2"/>
      <c r="CA133" s="21" t="str">
        <f t="shared" si="87"/>
        <v/>
      </c>
      <c r="CB133" s="21" t="str">
        <f t="shared" si="87"/>
        <v/>
      </c>
      <c r="CC133" s="13"/>
      <c r="CD133" s="2"/>
      <c r="CE133" s="2"/>
      <c r="CF133" s="2"/>
      <c r="CG133" s="2" t="str">
        <f t="shared" si="90"/>
        <v/>
      </c>
      <c r="CH133" s="2" t="str">
        <f t="shared" si="91"/>
        <v/>
      </c>
      <c r="CI133" s="2" t="str">
        <f t="shared" si="92"/>
        <v/>
      </c>
      <c r="CJ133" s="2" t="str">
        <f t="shared" si="93"/>
        <v/>
      </c>
      <c r="CK133" s="2" t="str">
        <f t="shared" si="94"/>
        <v/>
      </c>
      <c r="CL133" s="2" t="str">
        <f t="shared" si="95"/>
        <v/>
      </c>
      <c r="CM133" s="2" t="str">
        <f t="shared" si="96"/>
        <v/>
      </c>
      <c r="CN133" s="2" t="str">
        <f t="shared" si="97"/>
        <v/>
      </c>
      <c r="CO133" s="2" t="str">
        <f t="shared" si="98"/>
        <v/>
      </c>
      <c r="CP133" s="2" t="str">
        <f t="shared" si="99"/>
        <v/>
      </c>
      <c r="CQ133" s="2" t="str">
        <f t="shared" si="100"/>
        <v/>
      </c>
      <c r="CR133" s="2" t="str">
        <f t="shared" si="101"/>
        <v/>
      </c>
      <c r="CS133" s="2" t="str">
        <f t="shared" si="102"/>
        <v/>
      </c>
      <c r="CT133" s="2" t="str">
        <f t="shared" si="103"/>
        <v/>
      </c>
      <c r="CU133" s="2" t="str">
        <f t="shared" si="104"/>
        <v/>
      </c>
      <c r="CV133" s="2" t="str">
        <f t="shared" si="105"/>
        <v/>
      </c>
      <c r="CW133" s="2"/>
      <c r="CX133" s="2"/>
      <c r="CY133" s="2"/>
      <c r="CZ133" s="2"/>
    </row>
    <row r="134" spans="43:104" ht="15" hidden="1" customHeight="1" x14ac:dyDescent="0.2">
      <c r="AQ134" s="12">
        <v>69</v>
      </c>
      <c r="AR134" s="12">
        <v>940000</v>
      </c>
      <c r="AS134" s="12">
        <v>690000</v>
      </c>
      <c r="AT134" s="1"/>
      <c r="AU134" s="1"/>
      <c r="AV134" s="1"/>
      <c r="AW134" s="1"/>
      <c r="AX134" s="2"/>
      <c r="AY134" s="2"/>
      <c r="AZ134" s="2"/>
      <c r="BA134" s="2"/>
      <c r="BB134" s="2"/>
      <c r="BC134" s="2"/>
      <c r="BD134" s="2"/>
      <c r="BE134" s="2"/>
      <c r="BK134" s="2"/>
      <c r="BM134" s="2"/>
      <c r="BN134" s="2"/>
      <c r="BO134" s="2"/>
      <c r="BS134" s="11" t="str">
        <f t="shared" si="106"/>
        <v/>
      </c>
      <c r="BT134" s="2" t="str">
        <f t="shared" si="106"/>
        <v/>
      </c>
      <c r="BU134" s="4" t="str">
        <f t="shared" si="106"/>
        <v/>
      </c>
      <c r="BV134" s="4" t="str">
        <f t="shared" si="106"/>
        <v/>
      </c>
      <c r="BW134" s="4" t="str">
        <f t="shared" si="106"/>
        <v/>
      </c>
      <c r="BX134" s="4" t="str">
        <f t="shared" si="106"/>
        <v/>
      </c>
      <c r="BY134" s="69" t="str">
        <f t="shared" si="106"/>
        <v/>
      </c>
      <c r="BZ134" s="2"/>
      <c r="CA134" s="21" t="str">
        <f t="shared" si="87"/>
        <v/>
      </c>
      <c r="CB134" s="21" t="str">
        <f t="shared" si="87"/>
        <v/>
      </c>
      <c r="CC134" s="13"/>
      <c r="CD134" s="2"/>
      <c r="CE134" s="2"/>
      <c r="CF134" s="2"/>
      <c r="CG134" s="2" t="str">
        <f t="shared" si="90"/>
        <v/>
      </c>
      <c r="CH134" s="2" t="str">
        <f t="shared" si="91"/>
        <v/>
      </c>
      <c r="CI134" s="2" t="str">
        <f t="shared" si="92"/>
        <v/>
      </c>
      <c r="CJ134" s="2" t="str">
        <f t="shared" si="93"/>
        <v/>
      </c>
      <c r="CK134" s="2" t="str">
        <f t="shared" si="94"/>
        <v/>
      </c>
      <c r="CL134" s="2" t="str">
        <f t="shared" si="95"/>
        <v/>
      </c>
      <c r="CM134" s="2" t="str">
        <f t="shared" si="96"/>
        <v/>
      </c>
      <c r="CN134" s="2" t="str">
        <f t="shared" si="97"/>
        <v/>
      </c>
      <c r="CO134" s="2" t="str">
        <f t="shared" si="98"/>
        <v/>
      </c>
      <c r="CP134" s="2" t="str">
        <f t="shared" si="99"/>
        <v/>
      </c>
      <c r="CQ134" s="2" t="str">
        <f t="shared" si="100"/>
        <v/>
      </c>
      <c r="CR134" s="2" t="str">
        <f t="shared" si="101"/>
        <v/>
      </c>
      <c r="CS134" s="2" t="str">
        <f t="shared" si="102"/>
        <v/>
      </c>
      <c r="CT134" s="2" t="str">
        <f t="shared" si="103"/>
        <v/>
      </c>
      <c r="CU134" s="2" t="str">
        <f t="shared" si="104"/>
        <v/>
      </c>
      <c r="CV134" s="2" t="str">
        <f t="shared" si="105"/>
        <v/>
      </c>
      <c r="CW134" s="2"/>
      <c r="CX134" s="2"/>
      <c r="CY134" s="2"/>
      <c r="CZ134" s="2"/>
    </row>
    <row r="135" spans="43:104" ht="15" hidden="1" customHeight="1" x14ac:dyDescent="0.2">
      <c r="AQ135" s="13">
        <v>70</v>
      </c>
      <c r="AR135" s="12">
        <v>945000</v>
      </c>
      <c r="AS135" s="12">
        <v>700000</v>
      </c>
      <c r="AT135" s="1"/>
      <c r="AU135" s="1"/>
      <c r="AV135" s="1"/>
      <c r="AW135" s="1"/>
      <c r="AX135" s="2"/>
      <c r="AY135" s="2"/>
      <c r="AZ135" s="2"/>
      <c r="BA135" s="2"/>
      <c r="BB135" s="2"/>
      <c r="BC135" s="2"/>
      <c r="BD135" s="2"/>
      <c r="BE135" s="2"/>
      <c r="BK135" s="2"/>
      <c r="BM135" s="2"/>
      <c r="BN135" s="2"/>
      <c r="BO135" s="2"/>
      <c r="BS135" s="11" t="str">
        <f t="shared" si="106"/>
        <v/>
      </c>
      <c r="BT135" s="2" t="str">
        <f t="shared" si="106"/>
        <v/>
      </c>
      <c r="BU135" s="4" t="str">
        <f t="shared" si="106"/>
        <v/>
      </c>
      <c r="BV135" s="4" t="str">
        <f t="shared" si="106"/>
        <v/>
      </c>
      <c r="BW135" s="4" t="str">
        <f t="shared" si="106"/>
        <v/>
      </c>
      <c r="BX135" s="4" t="str">
        <f t="shared" si="106"/>
        <v/>
      </c>
      <c r="BY135" s="69" t="str">
        <f t="shared" si="106"/>
        <v/>
      </c>
      <c r="BZ135" s="2"/>
      <c r="CA135" s="21" t="str">
        <f t="shared" si="87"/>
        <v/>
      </c>
      <c r="CB135" s="21" t="str">
        <f t="shared" si="87"/>
        <v/>
      </c>
      <c r="CC135" s="13"/>
      <c r="CD135" s="2"/>
      <c r="CE135" s="2"/>
      <c r="CF135" s="2"/>
      <c r="CG135" s="2" t="str">
        <f t="shared" si="90"/>
        <v/>
      </c>
      <c r="CH135" s="2" t="str">
        <f t="shared" si="91"/>
        <v/>
      </c>
      <c r="CI135" s="2" t="str">
        <f t="shared" si="92"/>
        <v/>
      </c>
      <c r="CJ135" s="2" t="str">
        <f t="shared" si="93"/>
        <v/>
      </c>
      <c r="CK135" s="2" t="str">
        <f t="shared" si="94"/>
        <v/>
      </c>
      <c r="CL135" s="2" t="str">
        <f t="shared" si="95"/>
        <v/>
      </c>
      <c r="CM135" s="2" t="str">
        <f t="shared" si="96"/>
        <v/>
      </c>
      <c r="CN135" s="2" t="str">
        <f t="shared" si="97"/>
        <v/>
      </c>
      <c r="CO135" s="2" t="str">
        <f t="shared" si="98"/>
        <v/>
      </c>
      <c r="CP135" s="2" t="str">
        <f t="shared" si="99"/>
        <v/>
      </c>
      <c r="CQ135" s="2" t="str">
        <f t="shared" si="100"/>
        <v/>
      </c>
      <c r="CR135" s="2" t="str">
        <f t="shared" si="101"/>
        <v/>
      </c>
      <c r="CS135" s="2" t="str">
        <f t="shared" si="102"/>
        <v/>
      </c>
      <c r="CT135" s="2" t="str">
        <f t="shared" si="103"/>
        <v/>
      </c>
      <c r="CU135" s="2" t="str">
        <f t="shared" si="104"/>
        <v/>
      </c>
      <c r="CV135" s="2" t="str">
        <f t="shared" si="105"/>
        <v/>
      </c>
      <c r="CW135" s="2"/>
      <c r="CX135" s="2"/>
      <c r="CY135" s="2"/>
      <c r="CZ135" s="2"/>
    </row>
    <row r="136" spans="43:104" ht="15" hidden="1" customHeight="1" x14ac:dyDescent="0.2">
      <c r="AQ136" s="13">
        <v>71</v>
      </c>
      <c r="AR136" s="12">
        <v>950000</v>
      </c>
      <c r="AS136" s="12">
        <v>710000</v>
      </c>
      <c r="AT136" s="1"/>
      <c r="AU136" s="1"/>
      <c r="AV136" s="1"/>
      <c r="AW136" s="1"/>
      <c r="AX136" s="2"/>
      <c r="AY136" s="2"/>
      <c r="AZ136" s="2"/>
      <c r="BA136" s="2"/>
      <c r="BB136" s="2"/>
      <c r="BC136" s="2"/>
      <c r="BD136" s="2"/>
      <c r="BE136" s="2"/>
      <c r="BK136" s="2"/>
      <c r="BM136" s="2"/>
      <c r="BN136" s="2"/>
      <c r="BO136" s="2"/>
      <c r="BS136" s="11" t="str">
        <f t="shared" si="106"/>
        <v/>
      </c>
      <c r="BT136" s="2" t="str">
        <f t="shared" si="106"/>
        <v/>
      </c>
      <c r="BU136" s="4" t="str">
        <f t="shared" si="106"/>
        <v/>
      </c>
      <c r="BV136" s="4" t="str">
        <f t="shared" si="106"/>
        <v/>
      </c>
      <c r="BW136" s="4" t="str">
        <f t="shared" si="106"/>
        <v/>
      </c>
      <c r="BX136" s="4" t="str">
        <f t="shared" si="106"/>
        <v/>
      </c>
      <c r="BY136" s="69" t="str">
        <f t="shared" si="106"/>
        <v/>
      </c>
      <c r="BZ136" s="2"/>
      <c r="CA136" s="21" t="str">
        <f t="shared" si="87"/>
        <v/>
      </c>
      <c r="CB136" s="21" t="str">
        <f t="shared" si="87"/>
        <v/>
      </c>
      <c r="CC136" s="13"/>
      <c r="CD136" s="2"/>
      <c r="CE136" s="2"/>
      <c r="CF136" s="2"/>
      <c r="CG136" s="2" t="str">
        <f t="shared" si="90"/>
        <v/>
      </c>
      <c r="CH136" s="2" t="str">
        <f t="shared" si="91"/>
        <v/>
      </c>
      <c r="CI136" s="2" t="str">
        <f t="shared" si="92"/>
        <v/>
      </c>
      <c r="CJ136" s="2" t="str">
        <f t="shared" si="93"/>
        <v/>
      </c>
      <c r="CK136" s="2" t="str">
        <f t="shared" si="94"/>
        <v/>
      </c>
      <c r="CL136" s="2" t="str">
        <f t="shared" si="95"/>
        <v/>
      </c>
      <c r="CM136" s="2" t="str">
        <f t="shared" si="96"/>
        <v/>
      </c>
      <c r="CN136" s="2" t="str">
        <f t="shared" si="97"/>
        <v/>
      </c>
      <c r="CO136" s="2" t="str">
        <f t="shared" si="98"/>
        <v/>
      </c>
      <c r="CP136" s="2" t="str">
        <f t="shared" si="99"/>
        <v/>
      </c>
      <c r="CQ136" s="2" t="str">
        <f t="shared" si="100"/>
        <v/>
      </c>
      <c r="CR136" s="2" t="str">
        <f t="shared" si="101"/>
        <v/>
      </c>
      <c r="CS136" s="2" t="str">
        <f t="shared" si="102"/>
        <v/>
      </c>
      <c r="CT136" s="2" t="str">
        <f t="shared" si="103"/>
        <v/>
      </c>
      <c r="CU136" s="2" t="str">
        <f t="shared" si="104"/>
        <v/>
      </c>
      <c r="CV136" s="2" t="str">
        <f t="shared" si="105"/>
        <v/>
      </c>
      <c r="CW136" s="2"/>
      <c r="CX136" s="2"/>
      <c r="CY136" s="2"/>
      <c r="CZ136" s="2"/>
    </row>
    <row r="137" spans="43:104" ht="15" hidden="1" customHeight="1" x14ac:dyDescent="0.2">
      <c r="AQ137" s="12">
        <v>72</v>
      </c>
      <c r="AR137" s="12">
        <v>955000</v>
      </c>
      <c r="AS137" s="12">
        <v>720000</v>
      </c>
      <c r="AT137" s="1"/>
      <c r="AU137" s="1"/>
      <c r="AV137" s="1"/>
      <c r="AW137" s="1"/>
      <c r="AX137" s="2"/>
      <c r="AY137" s="2"/>
      <c r="AZ137" s="2"/>
      <c r="BA137" s="2"/>
      <c r="BB137" s="2"/>
      <c r="BC137" s="2"/>
      <c r="BD137" s="2"/>
      <c r="BE137" s="2"/>
      <c r="BK137" s="2"/>
      <c r="BM137" s="2"/>
      <c r="BN137" s="2"/>
      <c r="BO137" s="2"/>
      <c r="BS137" s="11" t="str">
        <f t="shared" si="106"/>
        <v/>
      </c>
      <c r="BT137" s="2" t="str">
        <f t="shared" si="106"/>
        <v/>
      </c>
      <c r="BU137" s="4" t="str">
        <f t="shared" si="106"/>
        <v/>
      </c>
      <c r="BV137" s="4" t="str">
        <f t="shared" si="106"/>
        <v/>
      </c>
      <c r="BW137" s="4" t="str">
        <f t="shared" si="106"/>
        <v/>
      </c>
      <c r="BX137" s="4" t="str">
        <f t="shared" si="106"/>
        <v/>
      </c>
      <c r="BY137" s="69" t="str">
        <f t="shared" si="106"/>
        <v/>
      </c>
      <c r="BZ137" s="2"/>
      <c r="CA137" s="21" t="str">
        <f t="shared" si="87"/>
        <v/>
      </c>
      <c r="CB137" s="21" t="str">
        <f t="shared" si="87"/>
        <v/>
      </c>
      <c r="CC137" s="13"/>
      <c r="CD137" s="2"/>
      <c r="CE137" s="2"/>
      <c r="CF137" s="2"/>
      <c r="CG137" s="2" t="str">
        <f t="shared" si="90"/>
        <v/>
      </c>
      <c r="CH137" s="2" t="str">
        <f t="shared" si="91"/>
        <v/>
      </c>
      <c r="CI137" s="2" t="str">
        <f t="shared" si="92"/>
        <v/>
      </c>
      <c r="CJ137" s="2" t="str">
        <f t="shared" si="93"/>
        <v/>
      </c>
      <c r="CK137" s="2" t="str">
        <f t="shared" si="94"/>
        <v/>
      </c>
      <c r="CL137" s="2" t="str">
        <f t="shared" si="95"/>
        <v/>
      </c>
      <c r="CM137" s="2" t="str">
        <f t="shared" si="96"/>
        <v/>
      </c>
      <c r="CN137" s="2" t="str">
        <f t="shared" si="97"/>
        <v/>
      </c>
      <c r="CO137" s="2" t="str">
        <f t="shared" si="98"/>
        <v/>
      </c>
      <c r="CP137" s="2" t="str">
        <f t="shared" si="99"/>
        <v/>
      </c>
      <c r="CQ137" s="2" t="str">
        <f t="shared" si="100"/>
        <v/>
      </c>
      <c r="CR137" s="2" t="str">
        <f t="shared" si="101"/>
        <v/>
      </c>
      <c r="CS137" s="2" t="str">
        <f t="shared" si="102"/>
        <v/>
      </c>
      <c r="CT137" s="2" t="str">
        <f t="shared" si="103"/>
        <v/>
      </c>
      <c r="CU137" s="2" t="str">
        <f t="shared" si="104"/>
        <v/>
      </c>
      <c r="CV137" s="2" t="str">
        <f t="shared" si="105"/>
        <v/>
      </c>
      <c r="CW137" s="2"/>
      <c r="CX137" s="2"/>
      <c r="CY137" s="2"/>
      <c r="CZ137" s="2"/>
    </row>
    <row r="138" spans="43:104" ht="15" hidden="1" customHeight="1" x14ac:dyDescent="0.2">
      <c r="AQ138" s="13">
        <v>73</v>
      </c>
      <c r="AR138" s="12">
        <v>960000</v>
      </c>
      <c r="AS138" s="12">
        <v>730000</v>
      </c>
      <c r="AT138" s="1"/>
      <c r="AU138" s="1"/>
      <c r="AV138" s="1"/>
      <c r="AW138" s="1"/>
      <c r="AX138" s="2"/>
      <c r="AY138" s="2"/>
      <c r="AZ138" s="2"/>
      <c r="BA138" s="2"/>
      <c r="BB138" s="2"/>
      <c r="BC138" s="2"/>
      <c r="BD138" s="2"/>
      <c r="BE138" s="2"/>
      <c r="BK138" s="2"/>
      <c r="BM138" s="2"/>
      <c r="BN138" s="2"/>
      <c r="BO138" s="2"/>
      <c r="BS138" s="11" t="str">
        <f t="shared" si="106"/>
        <v/>
      </c>
      <c r="BT138" s="2" t="str">
        <f t="shared" si="106"/>
        <v/>
      </c>
      <c r="BU138" s="4" t="str">
        <f t="shared" si="106"/>
        <v/>
      </c>
      <c r="BV138" s="4" t="str">
        <f t="shared" si="106"/>
        <v/>
      </c>
      <c r="BW138" s="4" t="str">
        <f t="shared" si="106"/>
        <v/>
      </c>
      <c r="BX138" s="4" t="str">
        <f t="shared" si="106"/>
        <v/>
      </c>
      <c r="BY138" s="69" t="str">
        <f t="shared" si="106"/>
        <v/>
      </c>
      <c r="BZ138" s="2"/>
      <c r="CA138" s="21" t="str">
        <f t="shared" si="87"/>
        <v/>
      </c>
      <c r="CB138" s="21" t="str">
        <f t="shared" si="87"/>
        <v/>
      </c>
      <c r="CC138" s="13"/>
      <c r="CD138" s="2"/>
      <c r="CE138" s="2"/>
      <c r="CF138" s="2"/>
      <c r="CG138" s="2" t="str">
        <f t="shared" si="90"/>
        <v/>
      </c>
      <c r="CH138" s="2" t="str">
        <f t="shared" si="91"/>
        <v/>
      </c>
      <c r="CI138" s="2" t="str">
        <f t="shared" si="92"/>
        <v/>
      </c>
      <c r="CJ138" s="2" t="str">
        <f t="shared" si="93"/>
        <v/>
      </c>
      <c r="CK138" s="2" t="str">
        <f t="shared" si="94"/>
        <v/>
      </c>
      <c r="CL138" s="2" t="str">
        <f t="shared" si="95"/>
        <v/>
      </c>
      <c r="CM138" s="2" t="str">
        <f t="shared" si="96"/>
        <v/>
      </c>
      <c r="CN138" s="2" t="str">
        <f t="shared" si="97"/>
        <v/>
      </c>
      <c r="CO138" s="2" t="str">
        <f t="shared" si="98"/>
        <v/>
      </c>
      <c r="CP138" s="2" t="str">
        <f t="shared" si="99"/>
        <v/>
      </c>
      <c r="CQ138" s="2" t="str">
        <f t="shared" si="100"/>
        <v/>
      </c>
      <c r="CR138" s="2" t="str">
        <f t="shared" si="101"/>
        <v/>
      </c>
      <c r="CS138" s="2" t="str">
        <f t="shared" si="102"/>
        <v/>
      </c>
      <c r="CT138" s="2" t="str">
        <f t="shared" si="103"/>
        <v/>
      </c>
      <c r="CU138" s="2" t="str">
        <f t="shared" si="104"/>
        <v/>
      </c>
      <c r="CV138" s="2" t="str">
        <f t="shared" si="105"/>
        <v/>
      </c>
      <c r="CW138" s="2"/>
      <c r="CX138" s="2"/>
      <c r="CY138" s="2"/>
      <c r="CZ138" s="2"/>
    </row>
    <row r="139" spans="43:104" ht="15" hidden="1" customHeight="1" x14ac:dyDescent="0.2">
      <c r="AQ139" s="13">
        <v>74</v>
      </c>
      <c r="AR139" s="12">
        <v>965000</v>
      </c>
      <c r="AS139" s="12">
        <v>740000</v>
      </c>
      <c r="AT139" s="1"/>
      <c r="AU139" s="1"/>
      <c r="AV139" s="1"/>
      <c r="AW139" s="1"/>
      <c r="AX139" s="2"/>
      <c r="AY139" s="2"/>
      <c r="AZ139" s="2"/>
      <c r="BA139" s="2"/>
      <c r="BB139" s="2"/>
      <c r="BC139" s="2"/>
      <c r="BD139" s="2"/>
      <c r="BE139" s="2"/>
      <c r="BK139" s="2"/>
      <c r="BL139" s="2"/>
      <c r="BM139" s="2"/>
      <c r="BN139" s="2"/>
      <c r="BO139" s="2"/>
      <c r="BS139" s="11" t="str">
        <f t="shared" si="106"/>
        <v/>
      </c>
      <c r="BT139" s="2" t="str">
        <f t="shared" si="106"/>
        <v/>
      </c>
      <c r="BU139" s="4" t="str">
        <f t="shared" si="106"/>
        <v/>
      </c>
      <c r="BV139" s="4" t="str">
        <f t="shared" si="106"/>
        <v/>
      </c>
      <c r="BW139" s="4" t="str">
        <f t="shared" si="106"/>
        <v/>
      </c>
      <c r="BX139" s="4" t="str">
        <f t="shared" si="106"/>
        <v/>
      </c>
      <c r="BY139" s="69" t="str">
        <f t="shared" si="106"/>
        <v/>
      </c>
      <c r="BZ139" s="2"/>
      <c r="CA139" s="21" t="str">
        <f t="shared" si="87"/>
        <v/>
      </c>
      <c r="CB139" s="21" t="str">
        <f t="shared" si="87"/>
        <v/>
      </c>
      <c r="CC139" s="2"/>
      <c r="CD139" s="2"/>
      <c r="CE139" s="1"/>
      <c r="CF139" s="2"/>
      <c r="CG139" s="2" t="str">
        <f t="shared" si="90"/>
        <v/>
      </c>
      <c r="CH139" s="2" t="str">
        <f t="shared" si="91"/>
        <v/>
      </c>
      <c r="CI139" s="2" t="str">
        <f t="shared" si="92"/>
        <v/>
      </c>
      <c r="CJ139" s="2" t="str">
        <f t="shared" si="93"/>
        <v/>
      </c>
      <c r="CK139" s="2" t="str">
        <f t="shared" si="94"/>
        <v/>
      </c>
      <c r="CL139" s="2" t="str">
        <f t="shared" si="95"/>
        <v/>
      </c>
      <c r="CM139" s="2" t="str">
        <f t="shared" si="96"/>
        <v/>
      </c>
      <c r="CN139" s="2" t="str">
        <f t="shared" si="97"/>
        <v/>
      </c>
      <c r="CO139" s="2" t="str">
        <f t="shared" si="98"/>
        <v/>
      </c>
      <c r="CP139" s="2" t="str">
        <f t="shared" si="99"/>
        <v/>
      </c>
      <c r="CQ139" s="2" t="str">
        <f t="shared" si="100"/>
        <v/>
      </c>
      <c r="CR139" s="2" t="str">
        <f t="shared" si="101"/>
        <v/>
      </c>
      <c r="CS139" s="2" t="str">
        <f t="shared" si="102"/>
        <v/>
      </c>
      <c r="CT139" s="2" t="str">
        <f t="shared" si="103"/>
        <v/>
      </c>
      <c r="CU139" s="2" t="str">
        <f t="shared" si="104"/>
        <v/>
      </c>
      <c r="CV139" s="2" t="str">
        <f t="shared" si="105"/>
        <v/>
      </c>
      <c r="CW139" s="2"/>
      <c r="CX139" s="2"/>
      <c r="CY139" s="2"/>
      <c r="CZ139" s="2"/>
    </row>
    <row r="140" spans="43:104" ht="15" hidden="1" customHeight="1" x14ac:dyDescent="0.2">
      <c r="AQ140" s="12">
        <v>75</v>
      </c>
      <c r="AR140" s="12">
        <v>970000</v>
      </c>
      <c r="AS140" s="12">
        <v>750000</v>
      </c>
      <c r="AT140" s="1"/>
      <c r="AU140" s="1"/>
      <c r="AV140" s="1"/>
      <c r="AW140" s="1"/>
      <c r="AX140" s="2"/>
      <c r="AY140" s="2"/>
      <c r="AZ140" s="2"/>
      <c r="BA140" s="2"/>
      <c r="BB140" s="2"/>
      <c r="BC140" s="2"/>
      <c r="BD140" s="2"/>
      <c r="BE140" s="2"/>
      <c r="BK140" s="79"/>
      <c r="BL140" s="2"/>
      <c r="BM140" s="2"/>
      <c r="BN140" s="2"/>
      <c r="BO140" s="2"/>
      <c r="BS140" s="11" t="str">
        <f t="shared" si="106"/>
        <v/>
      </c>
      <c r="BT140" s="2" t="str">
        <f t="shared" si="106"/>
        <v/>
      </c>
      <c r="BU140" s="4" t="str">
        <f t="shared" si="106"/>
        <v/>
      </c>
      <c r="BV140" s="4" t="str">
        <f t="shared" si="106"/>
        <v/>
      </c>
      <c r="BW140" s="4" t="str">
        <f t="shared" si="106"/>
        <v/>
      </c>
      <c r="BX140" s="4" t="str">
        <f t="shared" si="106"/>
        <v/>
      </c>
      <c r="BY140" s="69" t="str">
        <f t="shared" si="106"/>
        <v/>
      </c>
      <c r="BZ140" s="2"/>
      <c r="CA140" s="21" t="str">
        <f t="shared" si="87"/>
        <v/>
      </c>
      <c r="CB140" s="21" t="str">
        <f t="shared" si="87"/>
        <v/>
      </c>
      <c r="CC140" s="13"/>
      <c r="CD140" s="2"/>
      <c r="CE140" s="1"/>
      <c r="CF140" s="2"/>
      <c r="CG140" s="2" t="s">
        <v>1039</v>
      </c>
      <c r="CH140" s="2" t="s">
        <v>1039</v>
      </c>
      <c r="CI140" s="2" t="s">
        <v>1039</v>
      </c>
      <c r="CJ140" s="2" t="s">
        <v>1039</v>
      </c>
      <c r="CK140" s="2" t="s">
        <v>1039</v>
      </c>
      <c r="CL140" s="2" t="s">
        <v>1039</v>
      </c>
      <c r="CM140" s="2" t="s">
        <v>1039</v>
      </c>
      <c r="CN140" s="2" t="s">
        <v>1039</v>
      </c>
      <c r="CO140" s="2" t="s">
        <v>1039</v>
      </c>
      <c r="CP140" s="2" t="s">
        <v>1039</v>
      </c>
      <c r="CQ140" s="2" t="s">
        <v>1039</v>
      </c>
      <c r="CR140" s="2" t="s">
        <v>1039</v>
      </c>
      <c r="CS140" s="2" t="s">
        <v>1039</v>
      </c>
      <c r="CT140" s="2" t="s">
        <v>1039</v>
      </c>
      <c r="CU140" s="2" t="s">
        <v>1039</v>
      </c>
      <c r="CV140" s="2" t="s">
        <v>1039</v>
      </c>
      <c r="CW140" s="2"/>
      <c r="CX140" s="2"/>
      <c r="CY140" s="2"/>
      <c r="CZ140" s="2"/>
    </row>
    <row r="141" spans="43:104" ht="15" hidden="1" customHeight="1" x14ac:dyDescent="0.2">
      <c r="AQ141" s="13">
        <v>76</v>
      </c>
      <c r="AR141" s="12">
        <v>975000</v>
      </c>
      <c r="AS141" s="12">
        <v>760000</v>
      </c>
      <c r="AT141" s="1"/>
      <c r="AU141" s="1"/>
      <c r="AV141" s="1"/>
      <c r="AW141" s="1"/>
      <c r="AX141" s="2"/>
      <c r="AY141" s="2"/>
      <c r="AZ141" s="2"/>
      <c r="BA141" s="2"/>
      <c r="BB141" s="2"/>
      <c r="BC141" s="2"/>
      <c r="BD141" s="2"/>
      <c r="BE141" s="2"/>
      <c r="BK141" s="79"/>
      <c r="BL141" s="2"/>
      <c r="BM141" s="2"/>
      <c r="BN141" s="2"/>
      <c r="BO141" s="2"/>
      <c r="BS141" s="11" t="s">
        <v>1039</v>
      </c>
      <c r="BT141" s="2" t="s">
        <v>1039</v>
      </c>
      <c r="BU141" s="3" t="s">
        <v>1039</v>
      </c>
      <c r="BV141" s="3" t="s">
        <v>1039</v>
      </c>
      <c r="BW141" s="2" t="s">
        <v>1039</v>
      </c>
      <c r="BX141" s="2" t="s">
        <v>1039</v>
      </c>
      <c r="BY141" s="2" t="s">
        <v>1039</v>
      </c>
      <c r="BZ141" s="2"/>
      <c r="CA141" s="21" t="str">
        <f t="shared" si="87"/>
        <v/>
      </c>
      <c r="CB141" s="21" t="str">
        <f t="shared" si="87"/>
        <v/>
      </c>
      <c r="CC141" s="13"/>
      <c r="CD141" s="2"/>
      <c r="CE141" s="1"/>
      <c r="CF141" s="2"/>
      <c r="CG141" s="2"/>
      <c r="CH141" s="2"/>
      <c r="CI141" s="2"/>
      <c r="CJ141" s="2"/>
      <c r="CK141" s="2"/>
      <c r="CL141" s="2"/>
      <c r="CM141" s="2"/>
      <c r="CN141" s="2"/>
      <c r="CO141" s="2"/>
      <c r="CP141" s="2"/>
      <c r="CQ141" s="2"/>
      <c r="CR141" s="2"/>
      <c r="CS141" s="2"/>
      <c r="CT141" s="2"/>
      <c r="CU141" s="2"/>
      <c r="CV141" s="2"/>
      <c r="CW141" s="2"/>
      <c r="CX141" s="2"/>
      <c r="CY141" s="2"/>
      <c r="CZ141" s="2"/>
    </row>
    <row r="142" spans="43:104" ht="15" hidden="1" customHeight="1" x14ac:dyDescent="0.2">
      <c r="AQ142" s="13">
        <v>77</v>
      </c>
      <c r="AR142" s="12">
        <v>980000</v>
      </c>
      <c r="AS142" s="12">
        <v>770000</v>
      </c>
      <c r="AT142" s="1"/>
      <c r="AU142" s="1"/>
      <c r="AV142" s="1"/>
      <c r="AW142" s="1"/>
      <c r="AX142" s="2"/>
      <c r="AY142" s="2"/>
      <c r="AZ142" s="2"/>
      <c r="BA142" s="2"/>
      <c r="BB142" s="2"/>
      <c r="BC142" s="2"/>
      <c r="BD142" s="2"/>
      <c r="BE142" s="2"/>
      <c r="BK142" s="79"/>
      <c r="BL142" s="2"/>
      <c r="BM142" s="2"/>
      <c r="BN142" s="2"/>
      <c r="BO142" s="2"/>
      <c r="BS142" s="11"/>
      <c r="BT142" s="2"/>
      <c r="BU142" s="3"/>
      <c r="BV142" s="3"/>
      <c r="BW142" s="2"/>
      <c r="BX142" s="2"/>
      <c r="BY142" s="2"/>
      <c r="BZ142" s="2"/>
      <c r="CA142" s="21" t="str">
        <f t="shared" si="87"/>
        <v/>
      </c>
      <c r="CB142" s="21" t="str">
        <f t="shared" si="87"/>
        <v/>
      </c>
      <c r="CC142" s="2"/>
      <c r="CD142" s="2"/>
      <c r="CE142" s="1"/>
      <c r="CF142" s="2"/>
      <c r="CG142" s="2"/>
      <c r="CH142" s="2"/>
      <c r="CI142" s="2"/>
      <c r="CJ142" s="2"/>
      <c r="CK142" s="2"/>
      <c r="CL142" s="2"/>
      <c r="CM142" s="2"/>
      <c r="CN142" s="2"/>
      <c r="CO142" s="2"/>
      <c r="CP142" s="2"/>
      <c r="CQ142" s="2"/>
      <c r="CR142" s="2"/>
      <c r="CS142" s="2"/>
      <c r="CT142" s="2"/>
      <c r="CU142" s="2"/>
      <c r="CV142" s="2"/>
      <c r="CW142" s="2"/>
      <c r="CX142" s="2"/>
      <c r="CY142" s="2"/>
      <c r="CZ142" s="2"/>
    </row>
    <row r="143" spans="43:104" ht="15" hidden="1" customHeight="1" x14ac:dyDescent="0.2">
      <c r="AQ143" s="12">
        <v>78</v>
      </c>
      <c r="AR143" s="12">
        <v>985000</v>
      </c>
      <c r="AS143" s="12">
        <v>780000</v>
      </c>
      <c r="AT143" s="1"/>
      <c r="AU143" s="1"/>
      <c r="AV143" s="1"/>
      <c r="AW143" s="1"/>
      <c r="AX143" s="2"/>
      <c r="AY143" s="2"/>
      <c r="AZ143" s="2"/>
      <c r="BA143" s="2"/>
      <c r="BB143" s="2"/>
      <c r="BC143" s="2"/>
      <c r="BD143" s="2"/>
      <c r="BE143" s="2"/>
      <c r="BK143" s="79"/>
      <c r="BL143" s="2"/>
      <c r="BM143" s="2"/>
      <c r="BN143" s="2"/>
      <c r="BO143" s="2"/>
      <c r="BS143" s="11"/>
      <c r="BT143" s="2"/>
      <c r="BU143" s="3"/>
      <c r="BV143" s="3"/>
      <c r="BW143" s="2"/>
      <c r="BX143" s="2"/>
      <c r="BY143" s="2"/>
      <c r="BZ143" s="2"/>
      <c r="CA143" s="21" t="str">
        <f t="shared" si="87"/>
        <v/>
      </c>
      <c r="CB143" s="21" t="str">
        <f t="shared" si="87"/>
        <v/>
      </c>
      <c r="CC143" s="2"/>
      <c r="CD143" s="2"/>
      <c r="CE143" s="1"/>
      <c r="CF143" s="2"/>
      <c r="CG143" s="2"/>
      <c r="CH143" s="2"/>
      <c r="CI143" s="2"/>
      <c r="CJ143" s="2"/>
      <c r="CK143" s="2"/>
      <c r="CL143" s="2"/>
      <c r="CM143" s="2"/>
      <c r="CN143" s="2"/>
      <c r="CO143" s="2"/>
      <c r="CP143" s="2"/>
      <c r="CQ143" s="2"/>
      <c r="CR143" s="2"/>
      <c r="CS143" s="2"/>
      <c r="CT143" s="2"/>
      <c r="CU143" s="2"/>
      <c r="CV143" s="2"/>
      <c r="CW143" s="2"/>
      <c r="CX143" s="2"/>
      <c r="CY143" s="2"/>
      <c r="CZ143" s="2"/>
    </row>
    <row r="144" spans="43:104" ht="15" hidden="1" customHeight="1" x14ac:dyDescent="0.2">
      <c r="AQ144" s="13">
        <v>79</v>
      </c>
      <c r="AR144" s="12">
        <v>990000</v>
      </c>
      <c r="AS144" s="12">
        <v>790000</v>
      </c>
      <c r="AT144" s="1"/>
      <c r="AU144" s="1"/>
      <c r="AV144" s="1"/>
      <c r="AW144" s="1"/>
      <c r="AX144" s="2"/>
      <c r="AY144" s="2"/>
      <c r="AZ144" s="2"/>
      <c r="BA144" s="2"/>
      <c r="BB144" s="2"/>
      <c r="BC144" s="2"/>
      <c r="BD144" s="2"/>
      <c r="BE144" s="2"/>
      <c r="BK144" s="84"/>
      <c r="BL144" s="2"/>
      <c r="BM144" s="2"/>
      <c r="BN144" s="2"/>
      <c r="BO144" s="2"/>
      <c r="BS144" s="11"/>
      <c r="BT144" s="2"/>
      <c r="BU144" s="3"/>
      <c r="BV144" s="3"/>
      <c r="BW144" s="2"/>
      <c r="BX144" s="2"/>
      <c r="BY144" s="2"/>
      <c r="BZ144" s="2"/>
      <c r="CA144" s="21" t="str">
        <f t="shared" si="87"/>
        <v/>
      </c>
      <c r="CB144" s="21" t="str">
        <f t="shared" si="87"/>
        <v/>
      </c>
      <c r="CC144" s="2"/>
      <c r="CD144" s="2"/>
      <c r="CE144" s="1"/>
      <c r="CF144" s="2"/>
      <c r="CG144" s="2"/>
      <c r="CH144" s="2"/>
      <c r="CI144" s="2"/>
      <c r="CJ144" s="2"/>
      <c r="CK144" s="2"/>
      <c r="CL144" s="2"/>
      <c r="CM144" s="2"/>
      <c r="CN144" s="2"/>
      <c r="CO144" s="2"/>
      <c r="CP144" s="2"/>
      <c r="CQ144" s="2"/>
      <c r="CR144" s="2"/>
      <c r="CS144" s="2"/>
      <c r="CT144" s="2"/>
      <c r="CU144" s="2"/>
      <c r="CV144" s="2"/>
      <c r="CW144" s="2"/>
      <c r="CX144" s="2"/>
      <c r="CY144" s="2"/>
      <c r="CZ144" s="2"/>
    </row>
    <row r="145" spans="43:104" ht="15" hidden="1" customHeight="1" x14ac:dyDescent="0.2">
      <c r="AQ145" s="13">
        <v>80</v>
      </c>
      <c r="AR145" s="12">
        <v>995000</v>
      </c>
      <c r="AS145" s="12">
        <v>800000</v>
      </c>
      <c r="AT145" s="1"/>
      <c r="AU145" s="1"/>
      <c r="AV145" s="1"/>
      <c r="AW145" s="1"/>
      <c r="AX145" s="2"/>
      <c r="AY145" s="2"/>
      <c r="AZ145" s="2"/>
      <c r="BA145" s="2"/>
      <c r="BB145" s="2"/>
      <c r="BC145" s="2"/>
      <c r="BD145" s="2"/>
      <c r="BE145" s="2"/>
      <c r="BK145" s="84"/>
      <c r="BL145" s="2"/>
      <c r="BM145" s="2"/>
      <c r="BN145" s="2"/>
      <c r="BO145" s="2"/>
      <c r="BS145" s="11"/>
      <c r="BT145" s="2"/>
      <c r="BU145" s="3"/>
      <c r="BV145" s="3"/>
      <c r="BW145" s="2"/>
      <c r="BX145" s="2"/>
      <c r="BY145" s="2"/>
      <c r="BZ145" s="2"/>
      <c r="CA145" s="2" t="s">
        <v>1039</v>
      </c>
      <c r="CB145" s="2" t="s">
        <v>1039</v>
      </c>
      <c r="CC145" s="13"/>
      <c r="CD145" s="2"/>
      <c r="CE145" s="1"/>
      <c r="CF145" s="2"/>
      <c r="CG145" s="2"/>
      <c r="CH145" s="2"/>
      <c r="CI145" s="2"/>
      <c r="CJ145" s="2"/>
      <c r="CK145" s="2"/>
      <c r="CL145" s="2"/>
      <c r="CM145" s="2"/>
      <c r="CN145" s="2"/>
      <c r="CO145" s="2"/>
      <c r="CP145" s="2"/>
      <c r="CQ145" s="2"/>
      <c r="CR145" s="2"/>
      <c r="CS145" s="2"/>
      <c r="CT145" s="2"/>
      <c r="CU145" s="2"/>
      <c r="CV145" s="2"/>
      <c r="CW145" s="2"/>
      <c r="CX145" s="2"/>
      <c r="CY145" s="2"/>
      <c r="CZ145" s="2"/>
    </row>
    <row r="146" spans="43:104" ht="15" hidden="1" customHeight="1" x14ac:dyDescent="0.2">
      <c r="AQ146" s="12">
        <v>81</v>
      </c>
      <c r="AR146" s="12">
        <v>1000000</v>
      </c>
      <c r="AS146" s="12">
        <v>810000</v>
      </c>
      <c r="AT146" s="1"/>
      <c r="AU146" s="1"/>
      <c r="AV146" s="1"/>
      <c r="AW146" s="1"/>
      <c r="AX146" s="2"/>
      <c r="AY146" s="2"/>
      <c r="AZ146" s="2"/>
      <c r="BA146" s="2"/>
      <c r="BB146" s="2"/>
      <c r="BC146" s="2"/>
      <c r="BD146" s="2"/>
      <c r="BE146" s="2"/>
      <c r="BK146" s="84"/>
      <c r="BL146" s="2"/>
      <c r="BM146" s="2"/>
      <c r="BN146" s="2"/>
      <c r="BO146" s="2"/>
      <c r="BS146" s="11"/>
      <c r="BT146" s="2"/>
      <c r="BU146" s="3"/>
      <c r="BV146" s="3"/>
      <c r="BW146" s="2"/>
      <c r="BX146" s="2"/>
      <c r="BY146" s="2"/>
      <c r="BZ146" s="2"/>
      <c r="CA146" s="21"/>
      <c r="CB146" s="1"/>
      <c r="CC146" s="13"/>
      <c r="CD146" s="2"/>
      <c r="CE146" s="1"/>
      <c r="CF146" s="2"/>
      <c r="CG146" s="2"/>
      <c r="CH146" s="1"/>
      <c r="CI146" s="2"/>
      <c r="CJ146" s="2"/>
      <c r="CK146" s="2"/>
      <c r="CL146" s="2"/>
      <c r="CM146" s="2"/>
      <c r="CN146" s="2"/>
      <c r="CO146" s="2"/>
      <c r="CP146" s="2"/>
      <c r="CQ146" s="2"/>
      <c r="CR146" s="2"/>
      <c r="CS146" s="2"/>
      <c r="CT146" s="2"/>
      <c r="CU146" s="2"/>
      <c r="CV146" s="2"/>
      <c r="CW146" s="2"/>
      <c r="CX146" s="2"/>
      <c r="CY146" s="2"/>
      <c r="CZ146" s="2"/>
    </row>
    <row r="147" spans="43:104" ht="15" hidden="1" customHeight="1" x14ac:dyDescent="0.2">
      <c r="AQ147" s="13">
        <v>82</v>
      </c>
      <c r="AR147" s="12">
        <v>1005000</v>
      </c>
      <c r="AS147" s="12">
        <v>820000</v>
      </c>
      <c r="AT147" s="1"/>
      <c r="AU147" s="1"/>
      <c r="AV147" s="1"/>
      <c r="AW147" s="1"/>
      <c r="AX147" s="2"/>
      <c r="AY147" s="2"/>
      <c r="AZ147" s="2"/>
      <c r="BA147" s="2"/>
      <c r="BB147" s="2"/>
      <c r="BC147" s="2"/>
      <c r="BD147" s="2"/>
      <c r="BE147" s="2"/>
      <c r="BK147" s="84"/>
      <c r="BL147" s="2"/>
      <c r="BM147" s="2"/>
      <c r="BN147" s="2"/>
      <c r="BO147" s="2"/>
      <c r="BS147" s="11"/>
      <c r="BT147" s="2"/>
      <c r="BU147" s="3"/>
      <c r="BV147" s="3"/>
      <c r="BW147" s="2"/>
      <c r="BX147" s="2"/>
      <c r="BY147" s="2"/>
      <c r="BZ147" s="2"/>
      <c r="CA147" s="21"/>
      <c r="CB147" s="1"/>
      <c r="CC147" s="13"/>
      <c r="CD147" s="2"/>
      <c r="CE147" s="1"/>
      <c r="CF147" s="2"/>
      <c r="CG147" s="2"/>
      <c r="CH147" s="1"/>
      <c r="CI147" s="2"/>
      <c r="CJ147" s="2"/>
      <c r="CK147" s="2"/>
      <c r="CL147" s="2"/>
      <c r="CM147" s="2"/>
      <c r="CN147" s="2"/>
      <c r="CO147" s="2"/>
      <c r="CP147" s="2"/>
      <c r="CQ147" s="2"/>
      <c r="CR147" s="2"/>
      <c r="CS147" s="2"/>
      <c r="CT147" s="2"/>
      <c r="CU147" s="2"/>
      <c r="CV147" s="2"/>
      <c r="CW147" s="2"/>
      <c r="CX147" s="2"/>
      <c r="CY147" s="2"/>
      <c r="CZ147" s="2"/>
    </row>
    <row r="148" spans="43:104" ht="15" hidden="1" customHeight="1" x14ac:dyDescent="0.2">
      <c r="AQ148" s="13">
        <v>83</v>
      </c>
      <c r="AR148" s="12">
        <v>1010000</v>
      </c>
      <c r="AS148" s="12">
        <v>830000</v>
      </c>
      <c r="AT148" s="1"/>
      <c r="AU148" s="1"/>
      <c r="AV148" s="1"/>
      <c r="AW148" s="1"/>
      <c r="AX148" s="2"/>
      <c r="AY148" s="2"/>
      <c r="AZ148" s="2"/>
      <c r="BA148" s="2"/>
      <c r="BB148" s="2"/>
      <c r="BC148" s="2"/>
      <c r="BD148" s="2"/>
      <c r="BE148" s="2"/>
      <c r="BK148" s="84"/>
      <c r="BL148" s="2"/>
      <c r="BM148" s="2"/>
      <c r="BN148" s="2"/>
      <c r="BO148" s="2"/>
      <c r="BS148" s="11"/>
      <c r="BT148" s="2"/>
      <c r="BU148" s="3"/>
      <c r="BV148" s="3"/>
      <c r="BW148" s="2"/>
      <c r="BX148" s="2"/>
      <c r="BY148" s="2"/>
      <c r="BZ148" s="2"/>
      <c r="CA148" s="21"/>
      <c r="CB148" s="2"/>
      <c r="CC148" s="13"/>
      <c r="CD148" s="2"/>
      <c r="CE148" s="1"/>
      <c r="CF148" s="2"/>
      <c r="CG148" s="2"/>
      <c r="CH148" s="1"/>
      <c r="CI148" s="2"/>
      <c r="CJ148" s="2"/>
      <c r="CK148" s="2"/>
      <c r="CL148" s="2"/>
      <c r="CM148" s="2"/>
      <c r="CN148" s="2"/>
      <c r="CO148" s="2"/>
      <c r="CP148" s="2"/>
      <c r="CQ148" s="2"/>
      <c r="CR148" s="2"/>
      <c r="CS148" s="2"/>
      <c r="CT148" s="2"/>
      <c r="CU148" s="2"/>
      <c r="CV148" s="2"/>
      <c r="CW148" s="2"/>
      <c r="CX148" s="2"/>
      <c r="CY148" s="2"/>
      <c r="CZ148" s="2"/>
    </row>
    <row r="149" spans="43:104" ht="15" hidden="1" customHeight="1" x14ac:dyDescent="0.2">
      <c r="AQ149" s="12">
        <v>84</v>
      </c>
      <c r="AR149" s="12">
        <v>1015000</v>
      </c>
      <c r="AS149" s="12">
        <v>840000</v>
      </c>
      <c r="AT149" s="1"/>
      <c r="AU149" s="1"/>
      <c r="AV149" s="1"/>
      <c r="AW149" s="1"/>
      <c r="AX149" s="2"/>
      <c r="AY149" s="2"/>
      <c r="AZ149" s="2"/>
      <c r="BA149" s="2"/>
      <c r="BB149" s="2"/>
      <c r="BC149" s="2"/>
      <c r="BD149" s="2"/>
      <c r="BE149" s="2"/>
      <c r="BK149" s="84"/>
      <c r="BL149" s="2"/>
      <c r="BM149" s="2"/>
      <c r="BN149" s="2"/>
      <c r="BO149" s="2"/>
      <c r="BS149" s="11"/>
      <c r="BT149" s="2"/>
      <c r="BU149" s="3"/>
      <c r="BV149" s="3"/>
      <c r="BW149" s="2"/>
      <c r="BX149" s="2"/>
      <c r="BY149" s="2"/>
      <c r="BZ149" s="2"/>
      <c r="CA149" s="21"/>
      <c r="CB149" s="2"/>
      <c r="CC149" s="13"/>
      <c r="CD149" s="2"/>
      <c r="CE149" s="1"/>
      <c r="CF149" s="2"/>
      <c r="CG149" s="2"/>
      <c r="CH149" s="1"/>
      <c r="CI149" s="2"/>
      <c r="CJ149" s="2"/>
      <c r="CK149" s="2"/>
      <c r="CL149" s="2"/>
      <c r="CM149" s="2"/>
      <c r="CN149" s="2"/>
      <c r="CO149" s="2"/>
      <c r="CP149" s="2"/>
      <c r="CQ149" s="2"/>
      <c r="CR149" s="2"/>
      <c r="CS149" s="2"/>
      <c r="CT149" s="2"/>
      <c r="CU149" s="2"/>
      <c r="CV149" s="2"/>
      <c r="CW149" s="2"/>
      <c r="CX149" s="2"/>
      <c r="CY149" s="2"/>
      <c r="CZ149" s="2"/>
    </row>
    <row r="150" spans="43:104" ht="15" hidden="1" customHeight="1" x14ac:dyDescent="0.2">
      <c r="AQ150" s="13">
        <v>85</v>
      </c>
      <c r="AR150" s="12">
        <v>1020000</v>
      </c>
      <c r="AS150" s="12">
        <v>850000</v>
      </c>
      <c r="AT150" s="1"/>
      <c r="AU150" s="1"/>
      <c r="AV150" s="1"/>
      <c r="AW150" s="1"/>
      <c r="AX150" s="2"/>
      <c r="AY150" s="2"/>
      <c r="AZ150" s="2"/>
      <c r="BA150" s="2"/>
      <c r="BB150" s="2"/>
      <c r="BC150" s="2"/>
      <c r="BD150" s="2"/>
      <c r="BE150" s="2"/>
      <c r="BK150" s="84"/>
      <c r="BL150" s="2"/>
      <c r="BM150" s="2"/>
      <c r="BN150" s="2"/>
      <c r="BO150" s="2"/>
      <c r="BS150" s="11"/>
      <c r="BT150" s="2"/>
      <c r="BU150" s="3"/>
      <c r="BV150" s="3"/>
      <c r="BW150" s="2"/>
      <c r="BX150" s="2"/>
      <c r="BY150" s="2"/>
      <c r="BZ150" s="2"/>
      <c r="CA150" s="21"/>
      <c r="CB150" s="2"/>
      <c r="CC150" s="13"/>
      <c r="CD150" s="2"/>
      <c r="CE150" s="1"/>
      <c r="CF150" s="2"/>
      <c r="CG150" s="2"/>
      <c r="CH150" s="1"/>
      <c r="CI150" s="2"/>
      <c r="CJ150" s="2"/>
      <c r="CK150" s="2"/>
      <c r="CL150" s="2"/>
      <c r="CM150" s="2"/>
      <c r="CN150" s="2"/>
      <c r="CO150" s="2"/>
      <c r="CP150" s="2"/>
      <c r="CQ150" s="2"/>
      <c r="CR150" s="2"/>
      <c r="CS150" s="2"/>
      <c r="CT150" s="2"/>
      <c r="CU150" s="2"/>
      <c r="CV150" s="2"/>
      <c r="CW150" s="2"/>
      <c r="CX150" s="2"/>
      <c r="CY150" s="2"/>
      <c r="CZ150" s="2"/>
    </row>
    <row r="151" spans="43:104" ht="15" hidden="1" customHeight="1" x14ac:dyDescent="0.2">
      <c r="AQ151" s="13">
        <v>86</v>
      </c>
      <c r="AR151" s="12">
        <v>1025000</v>
      </c>
      <c r="AS151" s="12">
        <v>860000</v>
      </c>
      <c r="AT151" s="1"/>
      <c r="AU151" s="1"/>
      <c r="AV151" s="1"/>
      <c r="AW151" s="1"/>
      <c r="AX151" s="2"/>
      <c r="AY151" s="2"/>
      <c r="AZ151" s="2"/>
      <c r="BA151" s="2"/>
      <c r="BB151" s="2"/>
      <c r="BC151" s="2"/>
      <c r="BD151" s="2"/>
      <c r="BE151" s="2"/>
      <c r="BK151" s="84"/>
      <c r="BL151" s="2"/>
      <c r="BM151" s="2"/>
      <c r="BN151" s="2"/>
      <c r="BO151" s="2"/>
      <c r="BS151" s="11"/>
      <c r="BT151" s="2"/>
      <c r="BU151" s="3"/>
      <c r="BV151" s="3"/>
      <c r="BW151" s="2"/>
      <c r="BX151" s="2"/>
      <c r="BY151" s="2"/>
      <c r="BZ151" s="2"/>
      <c r="CA151" s="21"/>
      <c r="CB151" s="2"/>
      <c r="CC151" s="2"/>
      <c r="CD151" s="2"/>
      <c r="CE151" s="1"/>
      <c r="CF151" s="2"/>
      <c r="CG151" s="2"/>
      <c r="CH151" s="1"/>
      <c r="CI151" s="2"/>
      <c r="CJ151" s="2"/>
      <c r="CK151" s="2"/>
      <c r="CL151" s="2"/>
      <c r="CM151" s="2"/>
      <c r="CN151" s="2"/>
      <c r="CO151" s="2"/>
      <c r="CP151" s="2"/>
      <c r="CQ151" s="2"/>
      <c r="CR151" s="2"/>
      <c r="CS151" s="2"/>
      <c r="CT151" s="2"/>
      <c r="CU151" s="2"/>
      <c r="CV151" s="2"/>
      <c r="CW151" s="2"/>
      <c r="CX151" s="2"/>
      <c r="CY151" s="2"/>
      <c r="CZ151" s="2"/>
    </row>
    <row r="152" spans="43:104" ht="15" hidden="1" customHeight="1" x14ac:dyDescent="0.2">
      <c r="AQ152" s="12">
        <v>87</v>
      </c>
      <c r="AR152" s="12">
        <v>1030000</v>
      </c>
      <c r="AS152" s="12">
        <v>870000</v>
      </c>
      <c r="AT152" s="1"/>
      <c r="AU152" s="1"/>
      <c r="AV152" s="1"/>
      <c r="AW152" s="1"/>
      <c r="AX152" s="2"/>
      <c r="AY152" s="2"/>
      <c r="AZ152" s="2"/>
      <c r="BA152" s="2"/>
      <c r="BB152" s="2"/>
      <c r="BC152" s="2"/>
      <c r="BD152" s="2"/>
      <c r="BE152" s="2"/>
      <c r="BK152" s="84"/>
      <c r="BL152" s="2"/>
      <c r="BM152" s="2"/>
      <c r="BN152" s="2"/>
      <c r="BO152" s="2"/>
      <c r="BS152" s="11"/>
      <c r="BT152" s="2"/>
      <c r="BU152" s="3"/>
      <c r="BV152" s="3"/>
      <c r="BW152" s="2"/>
      <c r="BX152" s="2"/>
      <c r="BY152" s="2"/>
      <c r="BZ152" s="2"/>
      <c r="CA152" s="21"/>
      <c r="CB152" s="2"/>
      <c r="CC152" s="2"/>
      <c r="CD152" s="2"/>
      <c r="CE152" s="1"/>
      <c r="CF152" s="1"/>
      <c r="CG152" s="1"/>
      <c r="CH152" s="1"/>
      <c r="CI152" s="2"/>
      <c r="CJ152" s="2"/>
      <c r="CK152" s="2"/>
      <c r="CL152" s="2"/>
      <c r="CM152" s="2"/>
      <c r="CN152" s="2"/>
      <c r="CO152" s="2"/>
      <c r="CP152" s="2"/>
      <c r="CQ152" s="2"/>
      <c r="CR152" s="2"/>
      <c r="CS152" s="2"/>
      <c r="CT152" s="2"/>
      <c r="CU152" s="2"/>
      <c r="CV152" s="2"/>
      <c r="CW152" s="2"/>
      <c r="CX152" s="2"/>
      <c r="CY152" s="2"/>
      <c r="CZ152" s="2"/>
    </row>
    <row r="153" spans="43:104" ht="15" hidden="1" customHeight="1" x14ac:dyDescent="0.2">
      <c r="AQ153" s="13">
        <v>88</v>
      </c>
      <c r="AR153" s="12">
        <v>1035000</v>
      </c>
      <c r="AS153" s="12">
        <v>880000</v>
      </c>
      <c r="AT153" s="1"/>
      <c r="AU153" s="1"/>
      <c r="AV153" s="1"/>
      <c r="AW153" s="1"/>
      <c r="AX153" s="2"/>
      <c r="AY153" s="2"/>
      <c r="AZ153" s="2"/>
      <c r="BA153" s="2"/>
      <c r="BB153" s="2"/>
      <c r="BC153" s="2"/>
      <c r="BD153" s="2"/>
      <c r="BE153" s="2"/>
      <c r="BK153" s="84"/>
      <c r="BL153" s="2"/>
      <c r="BM153" s="2"/>
      <c r="BN153" s="2"/>
      <c r="BO153" s="2"/>
      <c r="BS153" s="11"/>
      <c r="BT153" s="2"/>
      <c r="BU153" s="3"/>
      <c r="BV153" s="3"/>
      <c r="BW153" s="2"/>
      <c r="BX153" s="2"/>
      <c r="BY153" s="2"/>
      <c r="BZ153" s="2"/>
      <c r="CA153" s="21"/>
      <c r="CB153" s="1"/>
      <c r="CC153" s="13"/>
      <c r="CD153" s="2"/>
      <c r="CE153" s="1"/>
      <c r="CF153" s="1"/>
      <c r="CG153" s="1"/>
      <c r="CH153" s="1"/>
      <c r="CI153" s="2"/>
      <c r="CJ153" s="2"/>
      <c r="CK153" s="2"/>
      <c r="CL153" s="2"/>
      <c r="CM153" s="2"/>
      <c r="CN153" s="2"/>
      <c r="CO153" s="2"/>
      <c r="CP153" s="2"/>
      <c r="CQ153" s="2"/>
      <c r="CR153" s="2"/>
      <c r="CS153" s="2"/>
      <c r="CT153" s="2"/>
      <c r="CU153" s="2"/>
      <c r="CV153" s="2"/>
      <c r="CW153" s="2"/>
      <c r="CX153" s="2"/>
      <c r="CY153" s="2"/>
      <c r="CZ153" s="2"/>
    </row>
    <row r="154" spans="43:104" ht="15" hidden="1" customHeight="1" x14ac:dyDescent="0.2">
      <c r="AQ154" s="13">
        <v>89</v>
      </c>
      <c r="AR154" s="12">
        <v>1040000</v>
      </c>
      <c r="AS154" s="12">
        <v>890000</v>
      </c>
      <c r="AT154" s="1"/>
      <c r="AU154" s="1"/>
      <c r="AV154" s="1"/>
      <c r="AW154" s="1"/>
      <c r="AX154" s="2"/>
      <c r="AY154" s="2"/>
      <c r="AZ154" s="2"/>
      <c r="BA154" s="2"/>
      <c r="BB154" s="2"/>
      <c r="BC154" s="2"/>
      <c r="BD154" s="2"/>
      <c r="BE154" s="2"/>
      <c r="BK154" s="84"/>
      <c r="BL154" s="2"/>
      <c r="BM154" s="2"/>
      <c r="BN154" s="2"/>
      <c r="BO154" s="2"/>
      <c r="BS154" s="11"/>
      <c r="BT154" s="2"/>
      <c r="BU154" s="3"/>
      <c r="BV154" s="3"/>
      <c r="BW154" s="2"/>
      <c r="BX154" s="2"/>
      <c r="BY154" s="2"/>
      <c r="BZ154" s="2"/>
      <c r="CA154" s="21"/>
      <c r="CB154" s="1"/>
      <c r="CC154" s="13"/>
      <c r="CD154" s="2"/>
      <c r="CE154" s="1"/>
      <c r="CF154" s="1"/>
      <c r="CG154" s="1"/>
      <c r="CH154" s="1"/>
      <c r="CI154" s="2"/>
      <c r="CJ154" s="2"/>
      <c r="CK154" s="2"/>
      <c r="CL154" s="2"/>
      <c r="CM154" s="2"/>
      <c r="CN154" s="2"/>
      <c r="CO154" s="2"/>
      <c r="CP154" s="2"/>
      <c r="CQ154" s="2"/>
      <c r="CR154" s="2"/>
      <c r="CS154" s="2"/>
      <c r="CT154" s="2"/>
      <c r="CU154" s="2"/>
      <c r="CV154" s="2"/>
      <c r="CW154" s="2"/>
      <c r="CX154" s="2"/>
      <c r="CY154" s="2"/>
      <c r="CZ154" s="2"/>
    </row>
    <row r="155" spans="43:104" ht="15" hidden="1" customHeight="1" x14ac:dyDescent="0.2">
      <c r="AQ155" s="12">
        <v>90</v>
      </c>
      <c r="AR155" s="12">
        <v>1045000</v>
      </c>
      <c r="AS155" s="12">
        <v>900000</v>
      </c>
      <c r="AT155" s="1"/>
      <c r="AU155" s="1"/>
      <c r="AV155" s="1"/>
      <c r="AW155" s="1"/>
      <c r="AX155" s="2"/>
      <c r="AY155" s="2"/>
      <c r="AZ155" s="2"/>
      <c r="BA155" s="2"/>
      <c r="BB155" s="2"/>
      <c r="BC155" s="2"/>
      <c r="BD155" s="2"/>
      <c r="BE155" s="2"/>
      <c r="BK155" s="84"/>
      <c r="BL155" s="2"/>
      <c r="BM155" s="2"/>
      <c r="BN155" s="2"/>
      <c r="BO155" s="2"/>
      <c r="BS155" s="11"/>
      <c r="BT155" s="2"/>
      <c r="BU155" s="3"/>
      <c r="BV155" s="3"/>
      <c r="BW155" s="2"/>
      <c r="BX155" s="2"/>
      <c r="BY155" s="2"/>
      <c r="BZ155" s="2"/>
      <c r="CA155" s="21"/>
      <c r="CB155" s="1"/>
      <c r="CC155" s="13"/>
      <c r="CD155" s="2"/>
      <c r="CE155" s="1"/>
      <c r="CF155" s="1"/>
      <c r="CG155" s="1"/>
      <c r="CH155" s="1"/>
      <c r="CI155" s="2"/>
      <c r="CJ155" s="2"/>
      <c r="CK155" s="2"/>
      <c r="CL155" s="2"/>
      <c r="CM155" s="2"/>
      <c r="CN155" s="2"/>
      <c r="CO155" s="2"/>
      <c r="CP155" s="2"/>
      <c r="CQ155" s="2"/>
      <c r="CR155" s="2"/>
      <c r="CS155" s="2"/>
      <c r="CT155" s="2"/>
      <c r="CU155" s="2"/>
      <c r="CV155" s="2"/>
      <c r="CW155" s="2"/>
      <c r="CX155" s="2"/>
      <c r="CY155" s="2"/>
      <c r="CZ155" s="2"/>
    </row>
    <row r="156" spans="43:104" ht="15" hidden="1" customHeight="1" x14ac:dyDescent="0.2">
      <c r="AQ156" s="13">
        <v>91</v>
      </c>
      <c r="AR156" s="12">
        <v>1050000</v>
      </c>
      <c r="AS156" s="12">
        <v>910000</v>
      </c>
      <c r="AT156" s="1"/>
      <c r="AU156" s="1"/>
      <c r="AV156" s="1"/>
      <c r="AW156" s="1"/>
      <c r="AX156" s="2"/>
      <c r="AY156" s="2"/>
      <c r="AZ156" s="2"/>
      <c r="BA156" s="2"/>
      <c r="BB156" s="2"/>
      <c r="BC156" s="2"/>
      <c r="BD156" s="2"/>
      <c r="BE156" s="2"/>
      <c r="BK156" s="84"/>
      <c r="BL156" s="2"/>
      <c r="BM156" s="2"/>
      <c r="BN156" s="2"/>
      <c r="BO156" s="2"/>
      <c r="BS156" s="11"/>
      <c r="BT156" s="2"/>
      <c r="BU156" s="3"/>
      <c r="BV156" s="3"/>
      <c r="BW156" s="2"/>
      <c r="BX156" s="2"/>
      <c r="BY156" s="2"/>
      <c r="BZ156" s="2"/>
      <c r="CA156" s="21" t="str">
        <f t="shared" ref="CA156:CA163" si="107">""</f>
        <v/>
      </c>
      <c r="CB156" s="1"/>
      <c r="CC156" s="13"/>
      <c r="CD156" s="2"/>
      <c r="CE156" s="1"/>
      <c r="CF156" s="1"/>
      <c r="CG156" s="1"/>
      <c r="CH156" s="1"/>
      <c r="CI156" s="2"/>
      <c r="CJ156" s="2"/>
      <c r="CK156" s="2"/>
      <c r="CL156" s="2"/>
      <c r="CM156" s="2"/>
      <c r="CN156" s="2"/>
      <c r="CO156" s="2"/>
      <c r="CP156" s="2"/>
      <c r="CQ156" s="2"/>
      <c r="CR156" s="2"/>
      <c r="CS156" s="2"/>
      <c r="CT156" s="2"/>
      <c r="CU156" s="2"/>
      <c r="CV156" s="2"/>
      <c r="CW156" s="2"/>
      <c r="CX156" s="2"/>
      <c r="CY156" s="2"/>
      <c r="CZ156" s="2"/>
    </row>
    <row r="157" spans="43:104" ht="15" hidden="1" customHeight="1" x14ac:dyDescent="0.2">
      <c r="AQ157" s="13">
        <v>92</v>
      </c>
      <c r="AR157" s="12">
        <v>1055000</v>
      </c>
      <c r="AS157" s="12">
        <v>920000</v>
      </c>
      <c r="AT157" s="1"/>
      <c r="AU157" s="1"/>
      <c r="AV157" s="1"/>
      <c r="AW157" s="1"/>
      <c r="AX157" s="2"/>
      <c r="AY157" s="2"/>
      <c r="AZ157" s="2"/>
      <c r="BA157" s="2"/>
      <c r="BB157" s="2"/>
      <c r="BC157" s="2"/>
      <c r="BD157" s="2"/>
      <c r="BE157" s="2"/>
      <c r="BK157" s="84"/>
      <c r="BL157" s="2"/>
      <c r="BM157" s="2"/>
      <c r="BN157" s="2"/>
      <c r="BO157" s="2"/>
      <c r="BS157" s="11"/>
      <c r="BT157" s="2"/>
      <c r="BU157" s="3"/>
      <c r="BV157" s="3"/>
      <c r="BW157" s="2"/>
      <c r="BX157" s="2"/>
      <c r="BY157" s="2"/>
      <c r="BZ157" s="2"/>
      <c r="CA157" s="21" t="str">
        <f t="shared" si="107"/>
        <v/>
      </c>
      <c r="CB157" s="1"/>
      <c r="CC157" s="2"/>
      <c r="CD157" s="2"/>
      <c r="CE157" s="1"/>
      <c r="CF157" s="1"/>
      <c r="CG157" s="1"/>
      <c r="CH157" s="1"/>
      <c r="CI157" s="2"/>
      <c r="CJ157" s="2"/>
      <c r="CK157" s="2"/>
      <c r="CL157" s="2"/>
      <c r="CM157" s="2"/>
      <c r="CN157" s="2"/>
      <c r="CO157" s="2"/>
      <c r="CP157" s="2"/>
      <c r="CQ157" s="2"/>
      <c r="CR157" s="2"/>
      <c r="CS157" s="2"/>
      <c r="CT157" s="2"/>
      <c r="CU157" s="2"/>
      <c r="CV157" s="2"/>
      <c r="CW157" s="2"/>
      <c r="CX157" s="2"/>
      <c r="CY157" s="2"/>
      <c r="CZ157" s="2"/>
    </row>
    <row r="158" spans="43:104" ht="15" hidden="1" customHeight="1" x14ac:dyDescent="0.2">
      <c r="AQ158" s="12">
        <v>93</v>
      </c>
      <c r="AR158" s="12">
        <v>1060000</v>
      </c>
      <c r="AS158" s="12">
        <v>930000</v>
      </c>
      <c r="AT158" s="1"/>
      <c r="AU158" s="1"/>
      <c r="AV158" s="1"/>
      <c r="AW158" s="1"/>
      <c r="AX158" s="2"/>
      <c r="AY158" s="2"/>
      <c r="AZ158" s="2"/>
      <c r="BA158" s="2"/>
      <c r="BB158" s="2"/>
      <c r="BC158" s="2"/>
      <c r="BD158" s="2"/>
      <c r="BE158" s="2"/>
      <c r="BK158" s="84"/>
      <c r="BL158" s="2"/>
      <c r="BM158" s="2"/>
      <c r="BN158" s="2"/>
      <c r="BO158" s="2"/>
      <c r="BS158" s="11"/>
      <c r="BT158" s="2"/>
      <c r="BU158" s="3"/>
      <c r="BV158" s="3"/>
      <c r="BW158" s="2"/>
      <c r="BX158" s="2"/>
      <c r="BY158" s="2"/>
      <c r="BZ158" s="2"/>
      <c r="CA158" s="21" t="str">
        <f t="shared" si="107"/>
        <v/>
      </c>
      <c r="CB158" s="1"/>
      <c r="CC158" s="13"/>
      <c r="CD158" s="2"/>
      <c r="CE158" s="1"/>
      <c r="CF158" s="1"/>
      <c r="CG158" s="1"/>
      <c r="CH158" s="1"/>
      <c r="CI158" s="2"/>
      <c r="CJ158" s="2"/>
      <c r="CK158" s="2"/>
      <c r="CL158" s="2"/>
      <c r="CM158" s="2"/>
      <c r="CN158" s="2"/>
      <c r="CO158" s="2"/>
      <c r="CP158" s="2"/>
      <c r="CQ158" s="2"/>
      <c r="CR158" s="2"/>
      <c r="CS158" s="2"/>
      <c r="CT158" s="2"/>
      <c r="CU158" s="2"/>
      <c r="CV158" s="2"/>
      <c r="CW158" s="2"/>
      <c r="CX158" s="2"/>
      <c r="CY158" s="2"/>
      <c r="CZ158" s="2"/>
    </row>
    <row r="159" spans="43:104" ht="15" hidden="1" customHeight="1" x14ac:dyDescent="0.2">
      <c r="AQ159" s="13">
        <v>94</v>
      </c>
      <c r="AR159" s="12">
        <v>1065000</v>
      </c>
      <c r="AS159" s="12">
        <v>940000</v>
      </c>
      <c r="AT159" s="1"/>
      <c r="AU159" s="1"/>
      <c r="AV159" s="1"/>
      <c r="AW159" s="1"/>
      <c r="AX159" s="2"/>
      <c r="AY159" s="2"/>
      <c r="AZ159" s="2"/>
      <c r="BA159" s="2"/>
      <c r="BB159" s="2"/>
      <c r="BC159" s="2"/>
      <c r="BD159" s="2"/>
      <c r="BE159" s="2"/>
      <c r="BK159" s="84"/>
      <c r="BL159" s="2"/>
      <c r="BM159" s="2"/>
      <c r="BN159" s="2"/>
      <c r="BO159" s="2"/>
      <c r="BS159" s="11"/>
      <c r="BT159" s="2"/>
      <c r="BU159" s="3"/>
      <c r="BV159" s="3"/>
      <c r="BW159" s="2"/>
      <c r="BX159" s="2"/>
      <c r="BY159" s="2"/>
      <c r="BZ159" s="2"/>
      <c r="CA159" s="21" t="str">
        <f t="shared" si="107"/>
        <v/>
      </c>
      <c r="CB159" s="1"/>
      <c r="CC159" s="13"/>
      <c r="CD159" s="2"/>
      <c r="CE159" s="1"/>
      <c r="CF159" s="1"/>
      <c r="CG159" s="1"/>
      <c r="CH159" s="1"/>
      <c r="CI159" s="2"/>
      <c r="CJ159" s="2"/>
      <c r="CK159" s="2"/>
      <c r="CL159" s="2"/>
      <c r="CM159" s="2"/>
      <c r="CN159" s="2"/>
      <c r="CO159" s="2"/>
      <c r="CP159" s="2"/>
      <c r="CQ159" s="2"/>
      <c r="CR159" s="2"/>
      <c r="CS159" s="2"/>
      <c r="CT159" s="2"/>
      <c r="CU159" s="2"/>
      <c r="CV159" s="2"/>
      <c r="CW159" s="2"/>
      <c r="CX159" s="2"/>
      <c r="CY159" s="2"/>
      <c r="CZ159" s="2"/>
    </row>
    <row r="160" spans="43:104" ht="15" hidden="1" customHeight="1" x14ac:dyDescent="0.2">
      <c r="AQ160" s="13">
        <v>95</v>
      </c>
      <c r="AR160" s="12">
        <v>1070000</v>
      </c>
      <c r="AS160" s="12">
        <v>950000</v>
      </c>
      <c r="AT160" s="1"/>
      <c r="AU160" s="1"/>
      <c r="AV160" s="1"/>
      <c r="AW160" s="1"/>
      <c r="AX160" s="2"/>
      <c r="AY160" s="2"/>
      <c r="AZ160" s="2"/>
      <c r="BA160" s="2"/>
      <c r="BB160" s="2"/>
      <c r="BC160" s="2"/>
      <c r="BD160" s="2"/>
      <c r="BE160" s="2"/>
      <c r="BK160" s="84"/>
      <c r="BL160" s="2"/>
      <c r="BM160" s="2"/>
      <c r="BN160" s="2"/>
      <c r="BO160" s="2"/>
      <c r="BS160" s="11"/>
      <c r="BT160" s="2"/>
      <c r="BU160" s="3"/>
      <c r="BV160" s="3"/>
      <c r="BW160" s="2"/>
      <c r="BX160" s="2"/>
      <c r="BY160" s="2"/>
      <c r="BZ160" s="2"/>
      <c r="CA160" s="21" t="str">
        <f t="shared" si="107"/>
        <v/>
      </c>
      <c r="CB160" s="2"/>
      <c r="CC160" s="13"/>
      <c r="CD160" s="2"/>
      <c r="CE160" s="1"/>
      <c r="CF160" s="1"/>
      <c r="CG160" s="1"/>
      <c r="CH160" s="1"/>
      <c r="CI160" s="2"/>
      <c r="CJ160" s="2"/>
      <c r="CK160" s="2"/>
      <c r="CL160" s="2"/>
      <c r="CM160" s="2"/>
      <c r="CN160" s="2"/>
      <c r="CO160" s="2"/>
      <c r="CP160" s="2"/>
      <c r="CQ160" s="2"/>
      <c r="CR160" s="2"/>
      <c r="CS160" s="2"/>
      <c r="CT160" s="2"/>
      <c r="CU160" s="2"/>
      <c r="CV160" s="2"/>
      <c r="CW160" s="2"/>
      <c r="CX160" s="2"/>
      <c r="CY160" s="2"/>
      <c r="CZ160" s="2"/>
    </row>
    <row r="161" spans="43:104" ht="15" hidden="1" customHeight="1" x14ac:dyDescent="0.2">
      <c r="AQ161" s="12">
        <v>96</v>
      </c>
      <c r="AR161" s="12">
        <v>1075000</v>
      </c>
      <c r="AS161" s="12">
        <v>960000</v>
      </c>
      <c r="AT161" s="1"/>
      <c r="AU161" s="1"/>
      <c r="AV161" s="1"/>
      <c r="AW161" s="1"/>
      <c r="AX161" s="2"/>
      <c r="AY161" s="2"/>
      <c r="AZ161" s="2"/>
      <c r="BA161" s="2"/>
      <c r="BB161" s="2"/>
      <c r="BC161" s="2"/>
      <c r="BD161" s="2"/>
      <c r="BE161" s="2"/>
      <c r="BK161" s="84"/>
      <c r="BL161" s="2"/>
      <c r="BM161" s="2"/>
      <c r="BN161" s="2"/>
      <c r="BO161" s="2"/>
      <c r="BS161" s="11"/>
      <c r="BT161" s="2"/>
      <c r="BU161" s="3"/>
      <c r="BV161" s="3"/>
      <c r="BW161" s="2"/>
      <c r="BX161" s="2"/>
      <c r="BY161" s="2"/>
      <c r="BZ161" s="2"/>
      <c r="CA161" s="21" t="str">
        <f t="shared" si="107"/>
        <v/>
      </c>
      <c r="CB161" s="2"/>
      <c r="CC161" s="13"/>
      <c r="CD161" s="2"/>
      <c r="CE161" s="1"/>
      <c r="CF161" s="1"/>
      <c r="CG161" s="1"/>
      <c r="CH161" s="1"/>
      <c r="CI161" s="2"/>
      <c r="CJ161" s="2"/>
      <c r="CK161" s="2"/>
      <c r="CL161" s="2"/>
      <c r="CM161" s="2"/>
      <c r="CN161" s="2"/>
      <c r="CO161" s="2"/>
      <c r="CP161" s="2"/>
      <c r="CQ161" s="2"/>
      <c r="CR161" s="2"/>
      <c r="CS161" s="2"/>
      <c r="CT161" s="2"/>
      <c r="CU161" s="2"/>
      <c r="CV161" s="2"/>
      <c r="CW161" s="2"/>
      <c r="CX161" s="2"/>
      <c r="CY161" s="2"/>
      <c r="CZ161" s="2"/>
    </row>
    <row r="162" spans="43:104" ht="15" hidden="1" customHeight="1" x14ac:dyDescent="0.2">
      <c r="AQ162" s="13">
        <v>97</v>
      </c>
      <c r="AR162" s="12">
        <v>1080000</v>
      </c>
      <c r="AS162" s="12">
        <v>970000</v>
      </c>
      <c r="AT162" s="1"/>
      <c r="AU162" s="1"/>
      <c r="AV162" s="1"/>
      <c r="AW162" s="1"/>
      <c r="AX162" s="2"/>
      <c r="AY162" s="2"/>
      <c r="AZ162" s="2"/>
      <c r="BA162" s="2"/>
      <c r="BB162" s="2"/>
      <c r="BC162" s="2"/>
      <c r="BD162" s="2"/>
      <c r="BE162" s="2"/>
      <c r="BK162" s="84"/>
      <c r="BL162" s="2"/>
      <c r="BM162" s="2"/>
      <c r="BN162" s="2"/>
      <c r="BO162" s="2"/>
      <c r="BS162" s="11"/>
      <c r="BT162" s="2"/>
      <c r="BU162" s="3"/>
      <c r="BV162" s="3"/>
      <c r="BW162" s="2"/>
      <c r="BX162" s="2"/>
      <c r="BY162" s="2"/>
      <c r="BZ162" s="2"/>
      <c r="CA162" s="21" t="str">
        <f t="shared" si="107"/>
        <v/>
      </c>
      <c r="CB162" s="2"/>
      <c r="CC162" s="13"/>
      <c r="CD162" s="2"/>
      <c r="CE162" s="1"/>
      <c r="CF162" s="1"/>
      <c r="CG162" s="1"/>
      <c r="CH162" s="1"/>
      <c r="CI162" s="2"/>
      <c r="CJ162" s="2"/>
      <c r="CK162" s="2"/>
      <c r="CL162" s="2"/>
      <c r="CM162" s="2"/>
      <c r="CN162" s="2"/>
      <c r="CO162" s="2"/>
      <c r="CP162" s="2"/>
      <c r="CQ162" s="2"/>
      <c r="CR162" s="2"/>
      <c r="CS162" s="2"/>
      <c r="CT162" s="2"/>
      <c r="CU162" s="2"/>
      <c r="CV162" s="2"/>
      <c r="CW162" s="2"/>
      <c r="CX162" s="2"/>
      <c r="CY162" s="2"/>
      <c r="CZ162" s="2"/>
    </row>
    <row r="163" spans="43:104" ht="15" hidden="1" customHeight="1" x14ac:dyDescent="0.2">
      <c r="AQ163" s="13">
        <v>98</v>
      </c>
      <c r="AR163" s="12">
        <v>1085000</v>
      </c>
      <c r="AS163" s="12">
        <v>980000</v>
      </c>
      <c r="AT163" s="1"/>
      <c r="AU163" s="1"/>
      <c r="AV163" s="1"/>
      <c r="AW163" s="1"/>
      <c r="AX163" s="2"/>
      <c r="AY163" s="2"/>
      <c r="AZ163" s="2"/>
      <c r="BA163" s="2"/>
      <c r="BB163" s="2"/>
      <c r="BC163" s="2"/>
      <c r="BD163" s="2"/>
      <c r="BE163" s="2"/>
      <c r="BK163" s="84"/>
      <c r="BL163" s="2"/>
      <c r="BM163" s="2"/>
      <c r="BN163" s="2"/>
      <c r="BO163" s="2"/>
      <c r="BS163" s="11"/>
      <c r="BT163" s="2"/>
      <c r="BU163" s="3"/>
      <c r="BV163" s="3"/>
      <c r="BW163" s="2"/>
      <c r="BX163" s="2"/>
      <c r="BY163" s="2"/>
      <c r="BZ163" s="2"/>
      <c r="CA163" s="21" t="str">
        <f t="shared" si="107"/>
        <v/>
      </c>
      <c r="CB163" s="2"/>
      <c r="CC163" s="13"/>
      <c r="CD163" s="2"/>
      <c r="CE163" s="1"/>
      <c r="CF163" s="1"/>
      <c r="CG163" s="1"/>
      <c r="CH163" s="1"/>
      <c r="CI163" s="2"/>
      <c r="CJ163" s="2"/>
      <c r="CK163" s="2"/>
      <c r="CL163" s="2"/>
      <c r="CM163" s="2"/>
      <c r="CN163" s="2"/>
      <c r="CO163" s="2"/>
      <c r="CP163" s="2"/>
      <c r="CQ163" s="2"/>
      <c r="CR163" s="2"/>
      <c r="CS163" s="2"/>
      <c r="CT163" s="2"/>
      <c r="CU163" s="2"/>
      <c r="CV163" s="2"/>
      <c r="CW163" s="2"/>
      <c r="CX163" s="2"/>
      <c r="CY163" s="2"/>
      <c r="CZ163" s="2"/>
    </row>
    <row r="164" spans="43:104" ht="15" hidden="1" customHeight="1" x14ac:dyDescent="0.2">
      <c r="AQ164" s="12">
        <v>99</v>
      </c>
      <c r="AR164" s="12">
        <v>1090000</v>
      </c>
      <c r="AS164" s="12">
        <v>990000</v>
      </c>
      <c r="AT164" s="1"/>
      <c r="AU164" s="1"/>
      <c r="AV164" s="1"/>
      <c r="AW164" s="1"/>
      <c r="AX164" s="2"/>
      <c r="AY164" s="2"/>
      <c r="AZ164" s="2"/>
      <c r="BA164" s="2"/>
      <c r="BB164" s="2"/>
      <c r="BC164" s="2"/>
      <c r="BD164" s="2"/>
      <c r="BE164" s="2"/>
      <c r="BK164" s="84"/>
      <c r="BL164" s="2"/>
      <c r="BM164" s="2"/>
      <c r="BN164" s="2"/>
      <c r="BO164" s="2"/>
      <c r="BS164" s="11"/>
      <c r="BT164" s="2"/>
      <c r="BU164" s="3"/>
      <c r="BV164" s="3"/>
      <c r="BW164" s="2"/>
      <c r="BX164" s="2"/>
      <c r="BY164" s="2"/>
      <c r="BZ164" s="2"/>
      <c r="CA164" s="46"/>
      <c r="CB164" s="1"/>
      <c r="CC164" s="2"/>
      <c r="CD164" s="2"/>
      <c r="CE164" s="1"/>
      <c r="CF164" s="1"/>
      <c r="CG164" s="1"/>
      <c r="CH164" s="1"/>
      <c r="CI164" s="2"/>
      <c r="CJ164" s="2"/>
      <c r="CK164" s="2"/>
      <c r="CL164" s="2"/>
      <c r="CM164" s="2"/>
      <c r="CN164" s="2"/>
      <c r="CO164" s="2"/>
      <c r="CP164" s="2"/>
      <c r="CQ164" s="2"/>
      <c r="CR164" s="2"/>
      <c r="CS164" s="2"/>
      <c r="CT164" s="2"/>
      <c r="CU164" s="2"/>
      <c r="CV164" s="2"/>
      <c r="CW164" s="2"/>
      <c r="CX164" s="2"/>
      <c r="CY164" s="2"/>
      <c r="CZ164" s="2"/>
    </row>
    <row r="165" spans="43:104" ht="15" hidden="1" customHeight="1" x14ac:dyDescent="0.2">
      <c r="AQ165" s="12"/>
      <c r="AR165" s="12">
        <v>1095000</v>
      </c>
      <c r="AS165" s="12">
        <v>1000000</v>
      </c>
      <c r="AT165" s="1"/>
      <c r="AU165" s="1"/>
      <c r="AV165" s="1"/>
      <c r="AW165" s="1"/>
      <c r="AX165" s="2"/>
      <c r="AY165" s="2"/>
      <c r="AZ165" s="2"/>
      <c r="BA165" s="2"/>
      <c r="BB165" s="2"/>
      <c r="BC165" s="2"/>
      <c r="BD165" s="2"/>
      <c r="BE165" s="2"/>
      <c r="BK165" s="84"/>
      <c r="BL165" s="2"/>
      <c r="BM165" s="2"/>
      <c r="BN165" s="2"/>
      <c r="BO165" s="2"/>
      <c r="BS165" s="11"/>
      <c r="BT165" s="2"/>
      <c r="BU165" s="3"/>
      <c r="BV165" s="3"/>
      <c r="BW165" s="2"/>
      <c r="BX165" s="2"/>
      <c r="BY165" s="2"/>
      <c r="BZ165" s="2"/>
      <c r="CA165" s="46"/>
      <c r="CB165" s="1"/>
      <c r="CC165" s="1"/>
      <c r="CD165" s="1"/>
      <c r="CE165" s="1"/>
      <c r="CF165" s="1"/>
      <c r="CG165" s="1"/>
      <c r="CH165" s="1"/>
      <c r="CI165" s="2"/>
      <c r="CJ165" s="2"/>
      <c r="CK165" s="2"/>
      <c r="CL165" s="2"/>
      <c r="CM165" s="2"/>
      <c r="CN165" s="2"/>
      <c r="CO165" s="2"/>
      <c r="CP165" s="2"/>
      <c r="CQ165" s="2"/>
      <c r="CR165" s="2"/>
      <c r="CS165" s="2"/>
      <c r="CT165" s="2"/>
      <c r="CU165" s="2"/>
      <c r="CV165" s="2"/>
      <c r="CW165" s="2"/>
      <c r="CX165" s="2"/>
      <c r="CY165" s="2"/>
      <c r="CZ165" s="2"/>
    </row>
    <row r="166" spans="43:104" ht="15" hidden="1" customHeight="1" x14ac:dyDescent="0.2">
      <c r="AQ166" s="12"/>
      <c r="AR166" s="12">
        <v>1100000</v>
      </c>
      <c r="AS166" s="12">
        <v>1010000</v>
      </c>
      <c r="AT166" s="1"/>
      <c r="AU166" s="1"/>
      <c r="AV166" s="1"/>
      <c r="AW166" s="1"/>
      <c r="AX166" s="2"/>
      <c r="AY166" s="2"/>
      <c r="AZ166" s="2"/>
      <c r="BA166" s="2"/>
      <c r="BB166" s="2"/>
      <c r="BC166" s="2"/>
      <c r="BD166" s="2"/>
      <c r="BE166" s="2"/>
      <c r="BK166" s="84"/>
      <c r="BL166" s="2"/>
      <c r="BM166" s="2"/>
      <c r="BN166" s="2"/>
      <c r="BO166" s="2"/>
      <c r="BS166" s="11"/>
      <c r="BT166" s="2"/>
      <c r="BU166" s="3"/>
      <c r="BV166" s="3"/>
      <c r="BW166" s="2"/>
      <c r="BX166" s="2"/>
      <c r="BY166" s="2"/>
      <c r="BZ166" s="2"/>
      <c r="CA166" s="46"/>
      <c r="CB166" s="1"/>
      <c r="CC166" s="1"/>
      <c r="CD166" s="1"/>
      <c r="CE166" s="1"/>
      <c r="CF166" s="1"/>
      <c r="CG166" s="1"/>
      <c r="CH166" s="1"/>
      <c r="CI166" s="2"/>
      <c r="CJ166" s="2"/>
      <c r="CK166" s="2"/>
      <c r="CL166" s="2"/>
      <c r="CM166" s="2"/>
      <c r="CN166" s="2"/>
      <c r="CO166" s="2"/>
      <c r="CP166" s="2"/>
      <c r="CQ166" s="2"/>
      <c r="CR166" s="2"/>
      <c r="CS166" s="2"/>
      <c r="CT166" s="2"/>
      <c r="CU166" s="2"/>
      <c r="CV166" s="2"/>
      <c r="CW166" s="2"/>
      <c r="CX166" s="2"/>
      <c r="CY166" s="2"/>
      <c r="CZ166" s="2"/>
    </row>
    <row r="167" spans="43:104" ht="15" hidden="1" customHeight="1" x14ac:dyDescent="0.2">
      <c r="AQ167" s="13"/>
      <c r="AR167" s="12">
        <v>1105000</v>
      </c>
      <c r="AS167" s="12">
        <v>1020000</v>
      </c>
      <c r="AT167" s="1"/>
      <c r="AU167" s="1"/>
      <c r="AV167" s="1"/>
      <c r="AW167" s="1"/>
      <c r="AX167" s="2"/>
      <c r="AY167" s="2"/>
      <c r="AZ167" s="2"/>
      <c r="BA167" s="2"/>
      <c r="BB167" s="2"/>
      <c r="BC167" s="2"/>
      <c r="BD167" s="2"/>
      <c r="BE167" s="2"/>
      <c r="BK167" s="84"/>
      <c r="BL167" s="2"/>
      <c r="BM167" s="2"/>
      <c r="BN167" s="2"/>
      <c r="BO167" s="2"/>
      <c r="BS167" s="11"/>
      <c r="BT167" s="2"/>
      <c r="BU167" s="3"/>
      <c r="BV167" s="3"/>
      <c r="BW167" s="2"/>
      <c r="BX167" s="2"/>
      <c r="BY167" s="2"/>
      <c r="BZ167" s="2"/>
      <c r="CA167" s="46"/>
      <c r="CB167" s="1"/>
      <c r="CC167" s="1"/>
      <c r="CD167" s="1"/>
      <c r="CE167" s="1"/>
      <c r="CF167" s="1"/>
      <c r="CG167" s="1"/>
      <c r="CH167" s="1"/>
      <c r="CI167" s="2"/>
      <c r="CJ167" s="2"/>
      <c r="CK167" s="2"/>
      <c r="CL167" s="2"/>
      <c r="CM167" s="2"/>
      <c r="CN167" s="2"/>
      <c r="CO167" s="2"/>
      <c r="CP167" s="2"/>
      <c r="CQ167" s="2"/>
      <c r="CR167" s="2"/>
      <c r="CS167" s="2"/>
      <c r="CT167" s="2"/>
      <c r="CU167" s="2"/>
      <c r="CV167" s="2"/>
      <c r="CW167" s="2"/>
      <c r="CX167" s="2"/>
      <c r="CY167" s="2"/>
      <c r="CZ167" s="2"/>
    </row>
    <row r="168" spans="43:104" ht="15" hidden="1" customHeight="1" x14ac:dyDescent="0.2">
      <c r="AQ168" s="13"/>
      <c r="AR168" s="12">
        <v>1110000</v>
      </c>
      <c r="AS168" s="12">
        <v>1030000</v>
      </c>
      <c r="AT168" s="1"/>
      <c r="AU168" s="1"/>
      <c r="AV168" s="1"/>
      <c r="AW168" s="1"/>
      <c r="AX168" s="2"/>
      <c r="AY168" s="2"/>
      <c r="AZ168" s="2"/>
      <c r="BA168" s="2"/>
      <c r="BB168" s="2"/>
      <c r="BC168" s="2"/>
      <c r="BD168" s="2"/>
      <c r="BE168" s="2"/>
      <c r="BK168" s="84"/>
      <c r="BL168" s="2"/>
      <c r="BM168" s="2"/>
      <c r="BN168" s="2"/>
      <c r="BO168" s="2"/>
      <c r="BS168" s="11"/>
      <c r="BT168" s="2"/>
      <c r="BU168" s="3"/>
      <c r="BV168" s="3"/>
      <c r="BW168" s="2"/>
      <c r="BX168" s="2"/>
      <c r="BY168" s="2"/>
      <c r="BZ168" s="2"/>
      <c r="CA168" s="46"/>
      <c r="CB168" s="1"/>
      <c r="CC168" s="7"/>
      <c r="CD168" s="1"/>
      <c r="CE168" s="1"/>
      <c r="CF168" s="1"/>
      <c r="CG168" s="1"/>
      <c r="CH168" s="1"/>
      <c r="CI168" s="2"/>
      <c r="CJ168" s="2"/>
      <c r="CK168" s="2"/>
      <c r="CL168" s="2"/>
      <c r="CM168" s="2"/>
      <c r="CN168" s="2"/>
      <c r="CO168" s="2"/>
      <c r="CP168" s="2"/>
      <c r="CQ168" s="2"/>
      <c r="CR168" s="2"/>
      <c r="CS168" s="2"/>
      <c r="CT168" s="2"/>
      <c r="CU168" s="2"/>
      <c r="CV168" s="2"/>
      <c r="CW168" s="2"/>
      <c r="CX168" s="2"/>
      <c r="CY168" s="2"/>
      <c r="CZ168" s="2"/>
    </row>
    <row r="169" spans="43:104" ht="15" hidden="1" customHeight="1" x14ac:dyDescent="0.2">
      <c r="AQ169" s="85"/>
      <c r="AR169" s="12">
        <v>1115000</v>
      </c>
      <c r="AS169" s="12">
        <v>1040000</v>
      </c>
      <c r="AT169" s="1"/>
      <c r="AU169" s="1"/>
      <c r="AV169" s="1"/>
      <c r="AW169" s="1"/>
      <c r="AX169" s="2"/>
      <c r="AY169" s="2"/>
      <c r="AZ169" s="2"/>
      <c r="BA169" s="2"/>
      <c r="BB169" s="2"/>
      <c r="BC169" s="2"/>
      <c r="BD169" s="2"/>
      <c r="BE169" s="2"/>
      <c r="BK169" s="84"/>
      <c r="BL169" s="2"/>
      <c r="BM169" s="2"/>
      <c r="BN169" s="2"/>
      <c r="BO169" s="2"/>
      <c r="BS169" s="11"/>
      <c r="BT169" s="2"/>
      <c r="BU169" s="3"/>
      <c r="BV169" s="3"/>
      <c r="BW169" s="2"/>
      <c r="BX169" s="2"/>
      <c r="BY169" s="2"/>
      <c r="BZ169" s="2"/>
      <c r="CA169" s="2"/>
      <c r="CB169" s="2"/>
      <c r="CC169" s="2"/>
      <c r="CD169" s="1"/>
      <c r="CE169" s="1"/>
      <c r="CF169" s="1"/>
      <c r="CG169" s="1"/>
      <c r="CH169" s="1"/>
      <c r="CI169" s="2"/>
      <c r="CJ169" s="2"/>
      <c r="CK169" s="2"/>
      <c r="CL169" s="2"/>
      <c r="CM169" s="2"/>
      <c r="CN169" s="2"/>
      <c r="CO169" s="2"/>
      <c r="CP169" s="2"/>
      <c r="CQ169" s="2"/>
      <c r="CR169" s="2"/>
      <c r="CS169" s="2"/>
      <c r="CT169" s="2"/>
      <c r="CU169" s="2"/>
      <c r="CV169" s="2"/>
      <c r="CW169" s="2"/>
      <c r="CX169" s="2"/>
      <c r="CY169" s="2"/>
      <c r="CZ169" s="2"/>
    </row>
    <row r="170" spans="43:104" ht="15" hidden="1" customHeight="1" x14ac:dyDescent="0.2">
      <c r="AQ170" s="12"/>
      <c r="AR170" s="12">
        <v>1120000</v>
      </c>
      <c r="AS170" s="12">
        <v>1050000</v>
      </c>
      <c r="AT170" s="1"/>
      <c r="AU170" s="1"/>
      <c r="AV170" s="1"/>
      <c r="AW170" s="1"/>
      <c r="AX170" s="2"/>
      <c r="AY170" s="2"/>
      <c r="AZ170" s="2"/>
      <c r="BA170" s="2"/>
      <c r="BB170" s="2"/>
      <c r="BC170" s="2"/>
      <c r="BD170" s="2"/>
      <c r="BE170" s="2"/>
      <c r="BK170" s="84"/>
      <c r="BL170" s="2"/>
      <c r="BM170" s="2"/>
      <c r="BN170" s="2"/>
      <c r="BO170" s="2"/>
      <c r="BS170" s="11"/>
      <c r="BT170" s="2"/>
      <c r="BU170" s="3"/>
      <c r="BV170" s="3"/>
      <c r="BW170" s="2"/>
      <c r="BX170" s="2"/>
      <c r="BY170" s="2"/>
      <c r="BZ170" s="2"/>
      <c r="CA170" s="2"/>
      <c r="CB170" s="2"/>
      <c r="CC170" s="2"/>
      <c r="CD170" s="1"/>
      <c r="CE170" s="1"/>
      <c r="CF170" s="1"/>
      <c r="CG170" s="1"/>
      <c r="CH170" s="1"/>
      <c r="CI170" s="2"/>
      <c r="CJ170" s="2"/>
      <c r="CK170" s="2"/>
      <c r="CL170" s="2"/>
      <c r="CM170" s="2"/>
      <c r="CN170" s="2"/>
      <c r="CO170" s="2"/>
      <c r="CP170" s="2"/>
      <c r="CQ170" s="2"/>
      <c r="CR170" s="2"/>
      <c r="CS170" s="2"/>
      <c r="CT170" s="2"/>
      <c r="CU170" s="2"/>
      <c r="CV170" s="2"/>
      <c r="CW170" s="2"/>
      <c r="CX170" s="2"/>
      <c r="CY170" s="2"/>
      <c r="CZ170" s="2"/>
    </row>
    <row r="171" spans="43:104" ht="15" hidden="1" customHeight="1" x14ac:dyDescent="0.2">
      <c r="AQ171" s="12"/>
      <c r="AR171" s="12">
        <v>1125000</v>
      </c>
      <c r="AS171" s="12">
        <v>1060000</v>
      </c>
      <c r="AT171" s="1"/>
      <c r="AU171" s="1"/>
      <c r="AV171" s="1"/>
      <c r="AW171" s="1"/>
      <c r="AX171" s="2"/>
      <c r="AY171" s="2"/>
      <c r="AZ171" s="2"/>
      <c r="BA171" s="2"/>
      <c r="BB171" s="2"/>
      <c r="BC171" s="2"/>
      <c r="BD171" s="2"/>
      <c r="BE171" s="2"/>
      <c r="BK171" s="84"/>
      <c r="BL171" s="2"/>
      <c r="BM171" s="2"/>
      <c r="BN171" s="2"/>
      <c r="BO171" s="2"/>
      <c r="BS171" s="11"/>
      <c r="BT171" s="2"/>
      <c r="BU171" s="3"/>
      <c r="BV171" s="3"/>
      <c r="BW171" s="2"/>
      <c r="BX171" s="2"/>
      <c r="BY171" s="2"/>
      <c r="BZ171" s="2"/>
      <c r="CA171" s="2"/>
      <c r="CB171" s="2"/>
      <c r="CC171" s="2"/>
      <c r="CD171" s="1"/>
      <c r="CE171" s="1"/>
      <c r="CF171" s="1"/>
      <c r="CG171" s="1"/>
      <c r="CH171" s="1"/>
      <c r="CI171" s="2"/>
      <c r="CJ171" s="2"/>
      <c r="CK171" s="2"/>
      <c r="CL171" s="2"/>
      <c r="CM171" s="2"/>
      <c r="CN171" s="2"/>
      <c r="CO171" s="2"/>
      <c r="CP171" s="2"/>
      <c r="CQ171" s="2"/>
      <c r="CR171" s="2"/>
      <c r="CS171" s="2"/>
      <c r="CT171" s="2"/>
      <c r="CU171" s="2"/>
      <c r="CV171" s="2"/>
      <c r="CW171" s="2"/>
      <c r="CX171" s="2"/>
      <c r="CY171" s="2"/>
      <c r="CZ171" s="2"/>
    </row>
    <row r="172" spans="43:104" ht="15" hidden="1" customHeight="1" x14ac:dyDescent="0.2">
      <c r="AQ172" s="13"/>
      <c r="AR172" s="12">
        <v>1130000</v>
      </c>
      <c r="AS172" s="12">
        <v>1070000</v>
      </c>
      <c r="AT172" s="1"/>
      <c r="AU172" s="1"/>
      <c r="AV172" s="1"/>
      <c r="AW172" s="1"/>
      <c r="AX172" s="2"/>
      <c r="AY172" s="2"/>
      <c r="AZ172" s="2"/>
      <c r="BA172" s="2"/>
      <c r="BB172" s="2"/>
      <c r="BC172" s="2"/>
      <c r="BD172" s="2"/>
      <c r="BE172" s="2"/>
      <c r="BK172" s="84"/>
      <c r="BL172" s="2"/>
      <c r="BM172" s="2"/>
      <c r="BN172" s="2"/>
      <c r="BO172" s="2"/>
      <c r="BS172" s="11"/>
      <c r="BT172" s="2"/>
      <c r="BU172" s="3"/>
      <c r="BV172" s="3"/>
      <c r="BW172" s="2"/>
      <c r="BX172" s="2"/>
      <c r="BY172" s="2"/>
      <c r="BZ172" s="2"/>
      <c r="CA172" s="2"/>
      <c r="CB172" s="2"/>
      <c r="CC172" s="2"/>
      <c r="CD172" s="1"/>
      <c r="CE172" s="1"/>
      <c r="CF172" s="1"/>
      <c r="CG172" s="1"/>
      <c r="CH172" s="1"/>
      <c r="CI172" s="2"/>
      <c r="CJ172" s="2"/>
      <c r="CK172" s="2"/>
      <c r="CL172" s="2"/>
      <c r="CM172" s="2"/>
      <c r="CN172" s="2"/>
      <c r="CO172" s="2"/>
      <c r="CP172" s="2"/>
      <c r="CQ172" s="2"/>
      <c r="CR172" s="2"/>
      <c r="CS172" s="2"/>
      <c r="CT172" s="2"/>
      <c r="CU172" s="2"/>
      <c r="CV172" s="2"/>
      <c r="CW172" s="2"/>
      <c r="CX172" s="2"/>
      <c r="CY172" s="2"/>
      <c r="CZ172" s="2"/>
    </row>
    <row r="173" spans="43:104" ht="15" hidden="1" customHeight="1" x14ac:dyDescent="0.2">
      <c r="AQ173" s="13"/>
      <c r="AR173" s="12">
        <v>1135000</v>
      </c>
      <c r="AS173" s="12">
        <v>1080000</v>
      </c>
      <c r="AT173" s="1"/>
      <c r="AU173" s="1"/>
      <c r="AV173" s="1"/>
      <c r="AW173" s="1"/>
      <c r="AX173" s="2"/>
      <c r="AY173" s="2"/>
      <c r="AZ173" s="2"/>
      <c r="BA173" s="2"/>
      <c r="BB173" s="2"/>
      <c r="BC173" s="2"/>
      <c r="BD173" s="2"/>
      <c r="BE173" s="2"/>
      <c r="BK173" s="84"/>
      <c r="BL173" s="2"/>
      <c r="BM173" s="2"/>
      <c r="BN173" s="2"/>
      <c r="BO173" s="2"/>
      <c r="BS173" s="11"/>
      <c r="BT173" s="2"/>
      <c r="BU173" s="3"/>
      <c r="BV173" s="3"/>
      <c r="BW173" s="2"/>
      <c r="BX173" s="2"/>
      <c r="BY173" s="2"/>
      <c r="BZ173" s="2"/>
      <c r="CA173" s="2"/>
      <c r="CB173" s="2"/>
      <c r="CC173" s="2"/>
      <c r="CD173" s="1"/>
      <c r="CE173" s="1"/>
      <c r="CF173" s="1"/>
      <c r="CG173" s="1"/>
      <c r="CH173" s="1"/>
      <c r="CI173" s="2"/>
      <c r="CJ173" s="2"/>
      <c r="CK173" s="2"/>
      <c r="CL173" s="2"/>
      <c r="CM173" s="2"/>
      <c r="CN173" s="2"/>
      <c r="CO173" s="2"/>
      <c r="CP173" s="2"/>
      <c r="CQ173" s="2"/>
      <c r="CR173" s="2"/>
      <c r="CS173" s="2"/>
      <c r="CT173" s="2"/>
      <c r="CU173" s="2"/>
      <c r="CV173" s="2"/>
      <c r="CW173" s="2"/>
      <c r="CX173" s="2"/>
      <c r="CY173" s="2"/>
      <c r="CZ173" s="2"/>
    </row>
    <row r="174" spans="43:104" ht="15" hidden="1" customHeight="1" x14ac:dyDescent="0.2">
      <c r="AQ174" s="85"/>
      <c r="AR174" s="12">
        <v>1140000</v>
      </c>
      <c r="AS174" s="12">
        <v>1090000</v>
      </c>
      <c r="AT174" s="1"/>
      <c r="AU174" s="1"/>
      <c r="AV174" s="1"/>
      <c r="AW174" s="1"/>
      <c r="AX174" s="2"/>
      <c r="AY174" s="2"/>
      <c r="AZ174" s="2"/>
      <c r="BA174" s="2"/>
      <c r="BB174" s="2"/>
      <c r="BC174" s="2"/>
      <c r="BD174" s="2"/>
      <c r="BE174" s="2"/>
      <c r="BK174" s="84"/>
      <c r="BL174" s="2"/>
      <c r="BM174" s="2"/>
      <c r="BN174" s="2"/>
      <c r="BO174" s="2"/>
      <c r="BS174" s="11"/>
      <c r="BT174" s="2"/>
      <c r="BU174" s="3"/>
      <c r="BV174" s="3"/>
      <c r="BW174" s="2"/>
      <c r="BX174" s="2"/>
      <c r="BY174" s="2"/>
      <c r="BZ174" s="2"/>
      <c r="CA174" s="2"/>
      <c r="CB174" s="2"/>
      <c r="CC174" s="2"/>
      <c r="CD174" s="1"/>
      <c r="CE174" s="1"/>
      <c r="CF174" s="1"/>
      <c r="CG174" s="1"/>
      <c r="CH174" s="1"/>
      <c r="CI174" s="2"/>
      <c r="CJ174" s="2"/>
      <c r="CK174" s="2"/>
      <c r="CL174" s="2"/>
      <c r="CM174" s="2"/>
      <c r="CN174" s="2"/>
      <c r="CO174" s="2"/>
      <c r="CP174" s="2"/>
      <c r="CQ174" s="2"/>
      <c r="CR174" s="2"/>
      <c r="CS174" s="2"/>
      <c r="CT174" s="2"/>
      <c r="CU174" s="2"/>
      <c r="CV174" s="2"/>
      <c r="CW174" s="2"/>
      <c r="CX174" s="2"/>
      <c r="CY174" s="2"/>
      <c r="CZ174" s="2"/>
    </row>
    <row r="175" spans="43:104" ht="15" hidden="1" customHeight="1" x14ac:dyDescent="0.2">
      <c r="AQ175" s="12"/>
      <c r="AR175" s="12">
        <v>1145000</v>
      </c>
      <c r="AS175" s="12">
        <v>1100000</v>
      </c>
      <c r="AT175" s="1"/>
      <c r="AU175" s="1"/>
      <c r="AV175" s="1"/>
      <c r="AW175" s="1"/>
      <c r="AX175" s="2"/>
      <c r="AY175" s="2"/>
      <c r="AZ175" s="2"/>
      <c r="BA175" s="2"/>
      <c r="BB175" s="2"/>
      <c r="BC175" s="2"/>
      <c r="BD175" s="2"/>
      <c r="BE175" s="2"/>
      <c r="BK175" s="84"/>
      <c r="BL175" s="2"/>
      <c r="BM175" s="2"/>
      <c r="BN175" s="2"/>
      <c r="BO175" s="2"/>
      <c r="BS175" s="11"/>
      <c r="BT175" s="2"/>
      <c r="BU175" s="3"/>
      <c r="BV175" s="3"/>
      <c r="BW175" s="2"/>
      <c r="BX175" s="2"/>
      <c r="BY175" s="2"/>
      <c r="BZ175" s="2"/>
      <c r="CA175" s="46"/>
      <c r="CB175" s="1"/>
      <c r="CC175" s="1"/>
      <c r="CD175" s="1"/>
      <c r="CE175" s="1"/>
      <c r="CF175" s="1"/>
      <c r="CG175" s="1"/>
      <c r="CH175" s="1"/>
      <c r="CI175" s="2"/>
      <c r="CJ175" s="2"/>
      <c r="CK175" s="2"/>
      <c r="CL175" s="2"/>
      <c r="CM175" s="2"/>
      <c r="CN175" s="2"/>
      <c r="CO175" s="2"/>
      <c r="CP175" s="2"/>
      <c r="CQ175" s="2"/>
      <c r="CR175" s="2"/>
      <c r="CS175" s="2"/>
      <c r="CT175" s="2"/>
      <c r="CU175" s="2"/>
      <c r="CV175" s="2"/>
      <c r="CW175" s="2"/>
      <c r="CX175" s="2"/>
      <c r="CY175" s="2"/>
      <c r="CZ175" s="2"/>
    </row>
    <row r="176" spans="43:104" ht="15" hidden="1" customHeight="1" x14ac:dyDescent="0.2">
      <c r="AQ176" s="12"/>
      <c r="AR176" s="12">
        <v>1150000</v>
      </c>
      <c r="AS176" s="12">
        <v>1110000</v>
      </c>
      <c r="AT176" s="1"/>
      <c r="AU176" s="1"/>
      <c r="AV176" s="1"/>
      <c r="AW176" s="1"/>
      <c r="AX176" s="2"/>
      <c r="AY176" s="2"/>
      <c r="AZ176" s="2"/>
      <c r="BA176" s="2"/>
      <c r="BB176" s="2"/>
      <c r="BC176" s="2"/>
      <c r="BD176" s="2"/>
      <c r="BE176" s="2"/>
      <c r="BK176" s="84"/>
      <c r="BL176" s="2"/>
      <c r="BM176" s="2"/>
      <c r="BN176" s="2"/>
      <c r="BO176" s="2"/>
      <c r="BS176" s="11"/>
      <c r="BT176" s="2"/>
      <c r="BU176" s="3"/>
      <c r="BV176" s="3"/>
      <c r="BW176" s="2"/>
      <c r="BX176" s="2"/>
      <c r="BY176" s="2"/>
      <c r="BZ176" s="2"/>
      <c r="CA176" s="46"/>
      <c r="CB176" s="1"/>
      <c r="CC176" s="1"/>
      <c r="CD176" s="1"/>
      <c r="CE176" s="1"/>
      <c r="CF176" s="1"/>
      <c r="CG176" s="1"/>
      <c r="CH176" s="1"/>
      <c r="CI176" s="2"/>
      <c r="CJ176" s="2"/>
      <c r="CK176" s="2"/>
      <c r="CL176" s="2"/>
      <c r="CM176" s="2"/>
      <c r="CN176" s="2"/>
      <c r="CO176" s="2"/>
      <c r="CP176" s="2"/>
      <c r="CQ176" s="2"/>
      <c r="CR176" s="2"/>
      <c r="CS176" s="2"/>
      <c r="CT176" s="2"/>
      <c r="CU176" s="2"/>
      <c r="CV176" s="2"/>
      <c r="CW176" s="2"/>
      <c r="CX176" s="2"/>
      <c r="CY176" s="2"/>
      <c r="CZ176" s="2"/>
    </row>
    <row r="177" spans="43:104" ht="15" hidden="1" customHeight="1" x14ac:dyDescent="0.2">
      <c r="AQ177" s="13"/>
      <c r="AR177" s="12">
        <v>1155000</v>
      </c>
      <c r="AS177" s="12">
        <v>1120000</v>
      </c>
      <c r="AT177" s="2"/>
      <c r="AU177" s="2"/>
      <c r="AV177" s="2"/>
      <c r="AW177" s="2"/>
      <c r="AX177" s="2"/>
      <c r="AY177" s="2"/>
      <c r="AZ177" s="2"/>
      <c r="BA177" s="2"/>
      <c r="BB177" s="2"/>
      <c r="BC177" s="2"/>
      <c r="BD177" s="2"/>
      <c r="BE177" s="2"/>
      <c r="BK177" s="84"/>
      <c r="BL177" s="2"/>
      <c r="BM177" s="2"/>
      <c r="BN177" s="2"/>
      <c r="BO177" s="2"/>
      <c r="BS177" s="11"/>
      <c r="BT177" s="2"/>
      <c r="BU177" s="3"/>
      <c r="BV177" s="3"/>
      <c r="BW177" s="2"/>
      <c r="BX177" s="2"/>
      <c r="BY177" s="2"/>
      <c r="BZ177" s="2"/>
      <c r="CA177" s="46"/>
      <c r="CB177" s="1"/>
      <c r="CC177" s="7"/>
      <c r="CD177" s="1"/>
      <c r="CE177" s="1"/>
      <c r="CF177" s="1"/>
      <c r="CG177" s="1"/>
      <c r="CH177" s="1"/>
      <c r="CI177" s="2"/>
      <c r="CJ177" s="2"/>
      <c r="CK177" s="2"/>
      <c r="CL177" s="2"/>
      <c r="CM177" s="2"/>
      <c r="CN177" s="2"/>
      <c r="CO177" s="2"/>
      <c r="CP177" s="2"/>
      <c r="CQ177" s="2"/>
      <c r="CR177" s="2"/>
      <c r="CS177" s="2"/>
      <c r="CT177" s="2"/>
      <c r="CU177" s="2"/>
      <c r="CV177" s="2"/>
      <c r="CW177" s="2"/>
      <c r="CX177" s="2"/>
      <c r="CY177" s="2"/>
      <c r="CZ177" s="2"/>
    </row>
    <row r="178" spans="43:104" ht="15" hidden="1" customHeight="1" x14ac:dyDescent="0.2">
      <c r="AQ178" s="13"/>
      <c r="AR178" s="12">
        <v>1160000</v>
      </c>
      <c r="AS178" s="12">
        <v>1130000</v>
      </c>
      <c r="AT178" s="2"/>
      <c r="AU178" s="2"/>
      <c r="AV178" s="2"/>
      <c r="AW178" s="2"/>
      <c r="AX178" s="2"/>
      <c r="AY178" s="2"/>
      <c r="AZ178" s="2"/>
      <c r="BA178" s="2"/>
      <c r="BB178" s="2"/>
      <c r="BC178" s="2"/>
      <c r="BD178" s="2"/>
      <c r="BE178" s="2"/>
      <c r="BK178" s="84"/>
      <c r="BL178" s="2"/>
      <c r="BM178" s="2"/>
      <c r="BN178" s="2"/>
      <c r="BO178" s="2"/>
      <c r="BS178" s="11"/>
      <c r="BT178" s="2"/>
      <c r="BU178" s="3"/>
      <c r="BV178" s="3"/>
      <c r="BW178" s="2"/>
      <c r="BX178" s="2"/>
      <c r="BY178" s="2"/>
      <c r="BZ178" s="2"/>
      <c r="CA178" s="2"/>
      <c r="CB178" s="2"/>
      <c r="CC178" s="2"/>
      <c r="CD178" s="1"/>
      <c r="CE178" s="1"/>
      <c r="CF178" s="1"/>
      <c r="CG178" s="1"/>
      <c r="CH178" s="1"/>
      <c r="CI178" s="2"/>
      <c r="CJ178" s="2"/>
      <c r="CK178" s="2"/>
      <c r="CL178" s="2"/>
      <c r="CM178" s="2"/>
      <c r="CN178" s="2"/>
      <c r="CO178" s="2"/>
      <c r="CP178" s="2"/>
      <c r="CQ178" s="2"/>
      <c r="CR178" s="2"/>
      <c r="CS178" s="2"/>
      <c r="CT178" s="2"/>
      <c r="CU178" s="2"/>
      <c r="CV178" s="2"/>
      <c r="CW178" s="2"/>
      <c r="CX178" s="2"/>
      <c r="CY178" s="2"/>
      <c r="CZ178" s="2"/>
    </row>
    <row r="179" spans="43:104" ht="15" hidden="1" customHeight="1" x14ac:dyDescent="0.2">
      <c r="AQ179" s="85"/>
      <c r="AR179" s="12">
        <v>1165000</v>
      </c>
      <c r="AS179" s="12">
        <v>1140000</v>
      </c>
      <c r="AT179" s="2"/>
      <c r="AU179" s="2"/>
      <c r="AV179" s="2"/>
      <c r="AW179" s="2"/>
      <c r="AX179" s="2"/>
      <c r="AY179" s="2"/>
      <c r="AZ179" s="2"/>
      <c r="BA179" s="2"/>
      <c r="BB179" s="2"/>
      <c r="BC179" s="2"/>
      <c r="BD179" s="2"/>
      <c r="BE179" s="2"/>
      <c r="BK179" s="84"/>
      <c r="BL179" s="2"/>
      <c r="BM179" s="2"/>
      <c r="BN179" s="2"/>
      <c r="BO179" s="2"/>
      <c r="BS179" s="11"/>
      <c r="BT179" s="2"/>
      <c r="BU179" s="3"/>
      <c r="BV179" s="3"/>
      <c r="BW179" s="2"/>
      <c r="BX179" s="2"/>
      <c r="BY179" s="2"/>
      <c r="BZ179" s="2"/>
      <c r="CA179" s="2"/>
      <c r="CB179" s="2"/>
      <c r="CC179" s="2"/>
      <c r="CD179" s="1"/>
      <c r="CE179" s="1"/>
      <c r="CF179" s="1"/>
      <c r="CG179" s="1"/>
      <c r="CH179" s="1"/>
      <c r="CI179" s="2"/>
      <c r="CJ179" s="2"/>
      <c r="CK179" s="2"/>
      <c r="CL179" s="2"/>
      <c r="CM179" s="2"/>
      <c r="CN179" s="2"/>
      <c r="CO179" s="2"/>
      <c r="CP179" s="2"/>
      <c r="CQ179" s="2"/>
      <c r="CR179" s="2"/>
      <c r="CS179" s="2"/>
      <c r="CT179" s="2"/>
      <c r="CU179" s="2"/>
      <c r="CV179" s="2"/>
      <c r="CW179" s="2"/>
      <c r="CX179" s="2"/>
      <c r="CY179" s="2"/>
      <c r="CZ179" s="2"/>
    </row>
    <row r="180" spans="43:104" ht="15" hidden="1" customHeight="1" x14ac:dyDescent="0.2">
      <c r="AQ180" s="12"/>
      <c r="AR180" s="12">
        <v>1170000</v>
      </c>
      <c r="AS180" s="12">
        <v>1150000</v>
      </c>
      <c r="AT180" s="2"/>
      <c r="AU180" s="2"/>
      <c r="AV180" s="2"/>
      <c r="AW180" s="2"/>
      <c r="AX180" s="2"/>
      <c r="AY180" s="2"/>
      <c r="AZ180" s="2"/>
      <c r="BA180" s="2"/>
      <c r="BB180" s="2"/>
      <c r="BC180" s="2"/>
      <c r="BD180" s="2"/>
      <c r="BE180" s="2"/>
      <c r="BK180" s="84"/>
      <c r="BL180" s="2"/>
      <c r="BM180" s="2"/>
      <c r="BN180" s="2"/>
      <c r="BO180" s="2"/>
      <c r="BS180" s="11"/>
      <c r="BT180" s="2"/>
      <c r="BU180" s="3"/>
      <c r="BV180" s="3"/>
      <c r="BW180" s="2"/>
      <c r="BX180" s="2"/>
      <c r="BY180" s="2"/>
      <c r="BZ180" s="2"/>
      <c r="CA180" s="2"/>
      <c r="CB180" s="2"/>
      <c r="CC180" s="2"/>
      <c r="CD180" s="1"/>
      <c r="CE180" s="1"/>
      <c r="CF180" s="1"/>
      <c r="CG180" s="1"/>
      <c r="CH180" s="1"/>
      <c r="CI180" s="2"/>
      <c r="CJ180" s="2"/>
      <c r="CK180" s="2"/>
      <c r="CL180" s="2"/>
      <c r="CM180" s="2"/>
      <c r="CN180" s="2"/>
      <c r="CO180" s="2"/>
      <c r="CP180" s="2"/>
      <c r="CQ180" s="2"/>
      <c r="CR180" s="2"/>
      <c r="CS180" s="2"/>
      <c r="CT180" s="2"/>
      <c r="CU180" s="2"/>
      <c r="CV180" s="2"/>
      <c r="CW180" s="2"/>
      <c r="CX180" s="2"/>
      <c r="CY180" s="2"/>
      <c r="CZ180" s="2"/>
    </row>
    <row r="181" spans="43:104" ht="15" hidden="1" customHeight="1" x14ac:dyDescent="0.2">
      <c r="AQ181" s="12"/>
      <c r="AR181" s="12">
        <v>1175000</v>
      </c>
      <c r="AS181" s="12">
        <v>1160000</v>
      </c>
      <c r="AT181" s="2"/>
      <c r="AU181" s="2"/>
      <c r="AV181" s="2"/>
      <c r="AW181" s="2"/>
      <c r="AX181" s="2"/>
      <c r="AY181" s="2"/>
      <c r="AZ181" s="2"/>
      <c r="BA181" s="2"/>
      <c r="BB181" s="2"/>
      <c r="BC181" s="2"/>
      <c r="BD181" s="2"/>
      <c r="BE181" s="2"/>
      <c r="BK181" s="84"/>
      <c r="BL181" s="2"/>
      <c r="BM181" s="2"/>
      <c r="BN181" s="2"/>
      <c r="BO181" s="2"/>
      <c r="BS181" s="11"/>
      <c r="BT181" s="2"/>
      <c r="BU181" s="3"/>
      <c r="BV181" s="3"/>
      <c r="BW181" s="2"/>
      <c r="BX181" s="2"/>
      <c r="BY181" s="2"/>
      <c r="BZ181" s="2"/>
      <c r="CA181" s="2"/>
      <c r="CB181" s="2"/>
      <c r="CC181" s="2"/>
      <c r="CD181" s="1"/>
      <c r="CE181" s="1"/>
      <c r="CF181" s="1"/>
      <c r="CG181" s="1"/>
      <c r="CH181" s="1"/>
      <c r="CI181" s="2"/>
      <c r="CJ181" s="2"/>
      <c r="CK181" s="2"/>
      <c r="CL181" s="2"/>
      <c r="CM181" s="2"/>
      <c r="CN181" s="2"/>
      <c r="CO181" s="2"/>
      <c r="CP181" s="2"/>
      <c r="CQ181" s="2"/>
      <c r="CR181" s="2"/>
      <c r="CS181" s="2"/>
      <c r="CT181" s="2"/>
      <c r="CU181" s="2"/>
      <c r="CV181" s="2"/>
      <c r="CW181" s="2"/>
      <c r="CX181" s="2"/>
      <c r="CY181" s="2"/>
      <c r="CZ181" s="2"/>
    </row>
    <row r="182" spans="43:104" ht="15" hidden="1" customHeight="1" x14ac:dyDescent="0.2">
      <c r="AQ182" s="13"/>
      <c r="AR182" s="12">
        <v>1180000</v>
      </c>
      <c r="AS182" s="12">
        <v>1170000</v>
      </c>
      <c r="AT182" s="2"/>
      <c r="AU182" s="2"/>
      <c r="AV182" s="2"/>
      <c r="AW182" s="2"/>
      <c r="AX182" s="2"/>
      <c r="AY182" s="2"/>
      <c r="AZ182" s="2"/>
      <c r="BA182" s="2"/>
      <c r="BB182" s="2"/>
      <c r="BC182" s="2"/>
      <c r="BD182" s="2"/>
      <c r="BE182" s="2"/>
      <c r="BK182" s="84"/>
      <c r="BL182" s="2"/>
      <c r="BM182" s="2"/>
      <c r="BN182" s="2"/>
      <c r="BO182" s="2"/>
      <c r="BS182" s="11"/>
      <c r="BT182" s="2"/>
      <c r="BU182" s="3"/>
      <c r="BV182" s="3"/>
      <c r="BW182" s="2"/>
      <c r="BX182" s="2"/>
      <c r="BY182" s="2"/>
      <c r="BZ182" s="2"/>
      <c r="CA182" s="46"/>
      <c r="CB182" s="1"/>
      <c r="CC182" s="1"/>
      <c r="CD182" s="1"/>
      <c r="CE182" s="1"/>
      <c r="CF182" s="1"/>
      <c r="CG182" s="1"/>
      <c r="CH182" s="1"/>
      <c r="CI182" s="2"/>
      <c r="CJ182" s="2"/>
      <c r="CK182" s="2"/>
      <c r="CL182" s="2"/>
      <c r="CM182" s="2"/>
      <c r="CN182" s="2"/>
      <c r="CO182" s="2"/>
      <c r="CP182" s="2"/>
      <c r="CQ182" s="2"/>
      <c r="CR182" s="2"/>
      <c r="CS182" s="2"/>
      <c r="CT182" s="2"/>
      <c r="CU182" s="2"/>
      <c r="CV182" s="2"/>
      <c r="CW182" s="2"/>
      <c r="CX182" s="2"/>
      <c r="CY182" s="2"/>
      <c r="CZ182" s="2"/>
    </row>
    <row r="183" spans="43:104" ht="15" hidden="1" customHeight="1" x14ac:dyDescent="0.2">
      <c r="AQ183" s="13"/>
      <c r="AR183" s="12">
        <v>1185000</v>
      </c>
      <c r="AS183" s="12">
        <v>1180000</v>
      </c>
      <c r="AT183" s="2"/>
      <c r="AU183" s="2"/>
      <c r="AV183" s="2"/>
      <c r="AW183" s="2"/>
      <c r="AX183" s="2"/>
      <c r="AY183" s="2"/>
      <c r="AZ183" s="2"/>
      <c r="BA183" s="2"/>
      <c r="BB183" s="2"/>
      <c r="BC183" s="2"/>
      <c r="BD183" s="2"/>
      <c r="BE183" s="2"/>
      <c r="BK183" s="84"/>
      <c r="BL183" s="2"/>
      <c r="BM183" s="2"/>
      <c r="BN183" s="2"/>
      <c r="BO183" s="2"/>
      <c r="BS183" s="11"/>
      <c r="BT183" s="2"/>
      <c r="BU183" s="3"/>
      <c r="BV183" s="3"/>
      <c r="BW183" s="2"/>
      <c r="BX183" s="2"/>
      <c r="BY183" s="2"/>
      <c r="BZ183" s="2"/>
      <c r="CA183" s="2"/>
      <c r="CB183" s="2"/>
      <c r="CC183" s="2"/>
      <c r="CD183" s="1"/>
      <c r="CE183" s="1"/>
      <c r="CF183" s="1"/>
      <c r="CG183" s="1"/>
      <c r="CH183" s="1"/>
      <c r="CI183" s="2"/>
      <c r="CJ183" s="2"/>
      <c r="CK183" s="2"/>
      <c r="CL183" s="2"/>
      <c r="CM183" s="2"/>
      <c r="CN183" s="2"/>
      <c r="CO183" s="2"/>
      <c r="CP183" s="2"/>
      <c r="CQ183" s="2"/>
      <c r="CR183" s="2"/>
      <c r="CS183" s="2"/>
      <c r="CT183" s="2"/>
      <c r="CU183" s="2"/>
      <c r="CV183" s="2"/>
      <c r="CW183" s="2"/>
      <c r="CX183" s="2"/>
      <c r="CY183" s="2"/>
      <c r="CZ183" s="2"/>
    </row>
    <row r="184" spans="43:104" ht="15" hidden="1" customHeight="1" x14ac:dyDescent="0.2">
      <c r="AQ184" s="85"/>
      <c r="AR184" s="12">
        <v>1190000</v>
      </c>
      <c r="AS184" s="12">
        <v>1190000</v>
      </c>
      <c r="AT184" s="2"/>
      <c r="AU184" s="2"/>
      <c r="AV184" s="2"/>
      <c r="AW184" s="2"/>
      <c r="AX184" s="2"/>
      <c r="AY184" s="2"/>
      <c r="AZ184" s="2"/>
      <c r="BA184" s="2"/>
      <c r="BB184" s="2"/>
      <c r="BC184" s="2"/>
      <c r="BD184" s="2"/>
      <c r="BE184" s="2"/>
      <c r="BK184" s="84"/>
      <c r="BL184" s="2"/>
      <c r="BM184" s="2"/>
      <c r="BN184" s="2"/>
      <c r="BO184" s="2"/>
      <c r="BS184" s="11"/>
      <c r="BT184" s="2"/>
      <c r="BU184" s="3"/>
      <c r="BV184" s="3"/>
      <c r="BW184" s="2"/>
      <c r="BX184" s="2"/>
      <c r="BY184" s="2"/>
      <c r="BZ184" s="2"/>
      <c r="CA184" s="2"/>
      <c r="CB184" s="2"/>
      <c r="CC184" s="2"/>
      <c r="CD184" s="1"/>
      <c r="CE184" s="1"/>
      <c r="CF184" s="1"/>
      <c r="CG184" s="1"/>
      <c r="CH184" s="1"/>
      <c r="CI184" s="2"/>
      <c r="CJ184" s="2"/>
      <c r="CK184" s="2"/>
      <c r="CL184" s="2"/>
      <c r="CM184" s="2"/>
      <c r="CN184" s="2"/>
      <c r="CO184" s="2"/>
      <c r="CP184" s="2"/>
      <c r="CQ184" s="2"/>
      <c r="CR184" s="2"/>
      <c r="CS184" s="2"/>
      <c r="CT184" s="2"/>
      <c r="CU184" s="2"/>
      <c r="CV184" s="2"/>
      <c r="CW184" s="2"/>
      <c r="CX184" s="2"/>
      <c r="CY184" s="2"/>
      <c r="CZ184" s="2"/>
    </row>
    <row r="185" spans="43:104" ht="15" hidden="1" customHeight="1" x14ac:dyDescent="0.2">
      <c r="AQ185" s="12"/>
      <c r="AR185" s="12">
        <v>1195000</v>
      </c>
      <c r="AS185" s="12">
        <v>1200000</v>
      </c>
      <c r="AT185" s="2"/>
      <c r="AU185" s="2"/>
      <c r="AV185" s="2"/>
      <c r="AW185" s="2"/>
      <c r="AX185" s="2"/>
      <c r="AY185" s="2"/>
      <c r="AZ185" s="2"/>
      <c r="BA185" s="2"/>
      <c r="BB185" s="2"/>
      <c r="BC185" s="2"/>
      <c r="BD185" s="2"/>
      <c r="BE185" s="2"/>
      <c r="BK185" s="84"/>
      <c r="BL185" s="2"/>
      <c r="BM185" s="2"/>
      <c r="BN185" s="2"/>
      <c r="BO185" s="2"/>
      <c r="BS185" s="11"/>
      <c r="BT185" s="2"/>
      <c r="BU185" s="3"/>
      <c r="BV185" s="3"/>
      <c r="BW185" s="2"/>
      <c r="BX185" s="2"/>
      <c r="BY185" s="2"/>
      <c r="BZ185" s="2"/>
      <c r="CA185" s="2"/>
      <c r="CB185" s="2"/>
      <c r="CC185" s="2"/>
      <c r="CD185" s="1"/>
      <c r="CE185" s="1"/>
      <c r="CF185" s="1"/>
      <c r="CG185" s="1"/>
      <c r="CH185" s="1"/>
      <c r="CI185" s="2"/>
      <c r="CJ185" s="2"/>
      <c r="CK185" s="2"/>
      <c r="CL185" s="2"/>
      <c r="CM185" s="2"/>
      <c r="CN185" s="2"/>
      <c r="CO185" s="2"/>
      <c r="CP185" s="2"/>
      <c r="CQ185" s="2"/>
      <c r="CR185" s="2"/>
      <c r="CS185" s="2"/>
      <c r="CT185" s="2"/>
      <c r="CU185" s="2"/>
      <c r="CV185" s="2"/>
      <c r="CW185" s="2"/>
      <c r="CX185" s="2"/>
      <c r="CY185" s="2"/>
      <c r="CZ185" s="2"/>
    </row>
    <row r="186" spans="43:104" ht="15" hidden="1" customHeight="1" x14ac:dyDescent="0.2">
      <c r="AQ186" s="12"/>
      <c r="AR186" s="12">
        <v>1200000</v>
      </c>
      <c r="AS186" s="12">
        <v>1210000</v>
      </c>
      <c r="AT186" s="2"/>
      <c r="AU186" s="2"/>
      <c r="AV186" s="2"/>
      <c r="AW186" s="2"/>
      <c r="AX186" s="2"/>
      <c r="AY186" s="2"/>
      <c r="AZ186" s="2"/>
      <c r="BA186" s="2"/>
      <c r="BB186" s="2"/>
      <c r="BC186" s="2"/>
      <c r="BD186" s="2"/>
      <c r="BE186" s="2"/>
      <c r="BK186" s="84"/>
      <c r="BL186" s="2"/>
      <c r="BM186" s="2"/>
      <c r="BN186" s="2"/>
      <c r="BO186" s="2"/>
      <c r="BS186" s="11"/>
      <c r="BT186" s="2"/>
      <c r="BU186" s="3"/>
      <c r="BV186" s="3"/>
      <c r="BW186" s="2"/>
      <c r="BX186" s="2"/>
      <c r="BY186" s="2"/>
      <c r="BZ186" s="2"/>
      <c r="CA186" s="46"/>
      <c r="CB186" s="1"/>
      <c r="CC186" s="1"/>
      <c r="CD186" s="1"/>
      <c r="CE186" s="1"/>
      <c r="CF186" s="1"/>
      <c r="CG186" s="1"/>
      <c r="CH186" s="1"/>
      <c r="CI186" s="2"/>
      <c r="CJ186" s="2"/>
      <c r="CK186" s="2"/>
      <c r="CL186" s="2"/>
      <c r="CM186" s="2"/>
      <c r="CN186" s="2"/>
      <c r="CO186" s="2"/>
      <c r="CP186" s="2"/>
      <c r="CQ186" s="2"/>
      <c r="CR186" s="2"/>
      <c r="CS186" s="2"/>
      <c r="CT186" s="2"/>
      <c r="CU186" s="2"/>
      <c r="CV186" s="2"/>
      <c r="CW186" s="2"/>
      <c r="CX186" s="2"/>
      <c r="CY186" s="2"/>
      <c r="CZ186" s="2"/>
    </row>
    <row r="187" spans="43:104" ht="15" hidden="1" customHeight="1" x14ac:dyDescent="0.2">
      <c r="AQ187" s="13"/>
      <c r="AR187" s="12">
        <v>1205000</v>
      </c>
      <c r="AS187" s="12">
        <v>1220000</v>
      </c>
      <c r="AT187" s="2"/>
      <c r="AU187" s="2"/>
      <c r="AV187" s="2"/>
      <c r="AW187" s="2"/>
      <c r="AX187" s="2"/>
      <c r="AY187" s="2"/>
      <c r="AZ187" s="2"/>
      <c r="BA187" s="2"/>
      <c r="BB187" s="2"/>
      <c r="BC187" s="2"/>
      <c r="BD187" s="2"/>
      <c r="BE187" s="2"/>
      <c r="BK187" s="84"/>
      <c r="BL187" s="2"/>
      <c r="BM187" s="2"/>
      <c r="BN187" s="2"/>
      <c r="BO187" s="2"/>
      <c r="BS187" s="11"/>
      <c r="BT187" s="2"/>
      <c r="BU187" s="3"/>
      <c r="BV187" s="3"/>
      <c r="BW187" s="2"/>
      <c r="BX187" s="2"/>
      <c r="BY187" s="2"/>
      <c r="BZ187" s="2"/>
      <c r="CA187" s="46"/>
      <c r="CB187" s="1"/>
      <c r="CC187" s="1"/>
      <c r="CD187" s="1"/>
      <c r="CE187" s="1"/>
      <c r="CF187" s="1"/>
      <c r="CG187" s="1"/>
      <c r="CH187" s="1"/>
      <c r="CI187" s="2"/>
      <c r="CJ187" s="2"/>
      <c r="CK187" s="2"/>
      <c r="CL187" s="2"/>
      <c r="CM187" s="2"/>
      <c r="CN187" s="2"/>
      <c r="CO187" s="2"/>
      <c r="CP187" s="2"/>
      <c r="CQ187" s="2"/>
      <c r="CR187" s="2"/>
      <c r="CS187" s="2"/>
      <c r="CT187" s="2"/>
      <c r="CU187" s="2"/>
      <c r="CV187" s="2"/>
      <c r="CW187" s="2"/>
      <c r="CX187" s="2"/>
      <c r="CY187" s="2"/>
      <c r="CZ187" s="2"/>
    </row>
    <row r="188" spans="43:104" ht="15" hidden="1" customHeight="1" x14ac:dyDescent="0.2">
      <c r="AQ188" s="13"/>
      <c r="AR188" s="12">
        <v>1210000</v>
      </c>
      <c r="AS188" s="12">
        <v>1230000</v>
      </c>
      <c r="AT188" s="2"/>
      <c r="AU188" s="2"/>
      <c r="AV188" s="2"/>
      <c r="AW188" s="2"/>
      <c r="AX188" s="2"/>
      <c r="AY188" s="2"/>
      <c r="AZ188" s="2"/>
      <c r="BA188" s="2"/>
      <c r="BB188" s="2"/>
      <c r="BC188" s="2"/>
      <c r="BD188" s="2"/>
      <c r="BE188" s="2"/>
      <c r="BK188" s="84"/>
      <c r="BL188" s="2"/>
      <c r="BM188" s="2"/>
      <c r="BN188" s="2"/>
      <c r="BO188" s="2"/>
      <c r="BS188" s="11"/>
      <c r="BT188" s="2"/>
      <c r="BU188" s="3"/>
      <c r="BV188" s="3"/>
      <c r="BW188" s="2"/>
      <c r="BX188" s="2"/>
      <c r="BY188" s="2"/>
      <c r="BZ188" s="2"/>
      <c r="CA188" s="46"/>
      <c r="CB188" s="1"/>
      <c r="CC188" s="1"/>
      <c r="CD188" s="1"/>
      <c r="CE188" s="1"/>
      <c r="CF188" s="1"/>
      <c r="CG188" s="1"/>
      <c r="CH188" s="1"/>
      <c r="CI188" s="2"/>
      <c r="CJ188" s="2"/>
      <c r="CK188" s="2"/>
      <c r="CL188" s="2"/>
      <c r="CM188" s="2"/>
      <c r="CN188" s="2"/>
      <c r="CO188" s="2"/>
      <c r="CP188" s="2"/>
      <c r="CQ188" s="2"/>
      <c r="CR188" s="2"/>
      <c r="CS188" s="2"/>
      <c r="CT188" s="2"/>
      <c r="CU188" s="2"/>
      <c r="CV188" s="2"/>
      <c r="CW188" s="2"/>
      <c r="CX188" s="2"/>
      <c r="CY188" s="2"/>
      <c r="CZ188" s="2"/>
    </row>
    <row r="189" spans="43:104" ht="15" hidden="1" customHeight="1" x14ac:dyDescent="0.2">
      <c r="AQ189" s="85"/>
      <c r="AR189" s="12">
        <v>1215000</v>
      </c>
      <c r="AS189" s="12">
        <v>1240000</v>
      </c>
      <c r="AT189" s="2"/>
      <c r="AU189" s="2"/>
      <c r="AV189" s="2"/>
      <c r="AW189" s="2"/>
      <c r="AX189" s="2"/>
      <c r="AY189" s="2"/>
      <c r="AZ189" s="2"/>
      <c r="BA189" s="2"/>
      <c r="BB189" s="2"/>
      <c r="BC189" s="2"/>
      <c r="BD189" s="2"/>
      <c r="BE189" s="2"/>
      <c r="BK189" s="84"/>
      <c r="BL189" s="2"/>
      <c r="BM189" s="2"/>
      <c r="BN189" s="2"/>
      <c r="BO189" s="2"/>
      <c r="BS189" s="11"/>
      <c r="BT189" s="2"/>
      <c r="BU189" s="3"/>
      <c r="BV189" s="3"/>
      <c r="BW189" s="2"/>
      <c r="BX189" s="2"/>
      <c r="BY189" s="2"/>
      <c r="BZ189" s="2"/>
      <c r="CA189" s="46"/>
      <c r="CB189" s="1"/>
      <c r="CC189" s="1"/>
      <c r="CD189" s="1"/>
      <c r="CE189" s="1"/>
      <c r="CF189" s="1"/>
      <c r="CG189" s="1"/>
      <c r="CH189" s="1"/>
      <c r="CI189" s="2"/>
      <c r="CJ189" s="2"/>
      <c r="CK189" s="2"/>
      <c r="CL189" s="2"/>
      <c r="CM189" s="2"/>
      <c r="CN189" s="2"/>
      <c r="CO189" s="2"/>
      <c r="CP189" s="2"/>
      <c r="CQ189" s="2"/>
      <c r="CR189" s="2"/>
      <c r="CS189" s="2"/>
      <c r="CT189" s="2"/>
      <c r="CU189" s="2"/>
      <c r="CV189" s="2"/>
      <c r="CW189" s="2"/>
      <c r="CX189" s="2"/>
      <c r="CY189" s="2"/>
      <c r="CZ189" s="2"/>
    </row>
    <row r="190" spans="43:104" ht="15" hidden="1" customHeight="1" x14ac:dyDescent="0.2">
      <c r="AQ190" s="12"/>
      <c r="AR190" s="12">
        <v>1220000</v>
      </c>
      <c r="AS190" s="12">
        <v>1250000</v>
      </c>
      <c r="AT190" s="2"/>
      <c r="AU190" s="2"/>
      <c r="AV190" s="2"/>
      <c r="AW190" s="2"/>
      <c r="AX190" s="2"/>
      <c r="AY190" s="2"/>
      <c r="AZ190" s="2"/>
      <c r="BA190" s="2"/>
      <c r="BB190" s="2"/>
      <c r="BC190" s="2"/>
      <c r="BD190" s="2"/>
      <c r="BE190" s="2"/>
      <c r="BK190" s="84"/>
      <c r="BL190" s="2"/>
      <c r="BM190" s="2"/>
      <c r="BN190" s="2"/>
      <c r="BO190" s="2"/>
      <c r="BS190" s="11"/>
      <c r="BT190" s="2"/>
      <c r="BU190" s="3"/>
      <c r="BV190" s="3"/>
      <c r="BW190" s="2"/>
      <c r="BX190" s="2"/>
      <c r="BY190" s="2"/>
      <c r="BZ190" s="2"/>
      <c r="CA190" s="46"/>
      <c r="CB190" s="1"/>
      <c r="CC190" s="1"/>
      <c r="CD190" s="1"/>
      <c r="CE190" s="1"/>
      <c r="CF190" s="1"/>
      <c r="CG190" s="1"/>
      <c r="CH190" s="1"/>
      <c r="CI190" s="2"/>
      <c r="CJ190" s="2"/>
      <c r="CK190" s="2"/>
      <c r="CL190" s="2"/>
      <c r="CM190" s="2"/>
      <c r="CN190" s="2"/>
      <c r="CO190" s="2"/>
      <c r="CP190" s="2"/>
      <c r="CQ190" s="2"/>
      <c r="CR190" s="2"/>
      <c r="CS190" s="2"/>
      <c r="CT190" s="2"/>
      <c r="CU190" s="2"/>
      <c r="CV190" s="2"/>
      <c r="CW190" s="2"/>
      <c r="CX190" s="2"/>
      <c r="CY190" s="2"/>
      <c r="CZ190" s="2"/>
    </row>
    <row r="191" spans="43:104" ht="15" hidden="1" customHeight="1" x14ac:dyDescent="0.2">
      <c r="AQ191" s="12"/>
      <c r="AR191" s="12">
        <v>1225000</v>
      </c>
      <c r="AS191" s="12">
        <v>1260000</v>
      </c>
      <c r="AT191" s="2"/>
      <c r="AU191" s="2"/>
      <c r="AV191" s="2"/>
      <c r="AW191" s="2"/>
      <c r="AX191" s="2"/>
      <c r="AY191" s="2"/>
      <c r="AZ191" s="2"/>
      <c r="BA191" s="2"/>
      <c r="BB191" s="2"/>
      <c r="BC191" s="2"/>
      <c r="BD191" s="2"/>
      <c r="BE191" s="2"/>
      <c r="BK191" s="84"/>
      <c r="BL191" s="2"/>
      <c r="BM191" s="2"/>
      <c r="BN191" s="2"/>
      <c r="BO191" s="2"/>
      <c r="BS191" s="11"/>
      <c r="BT191" s="2"/>
      <c r="BU191" s="3"/>
      <c r="BV191" s="3"/>
      <c r="BW191" s="2"/>
      <c r="BX191" s="2"/>
      <c r="BY191" s="2"/>
      <c r="BZ191" s="2"/>
      <c r="CA191" s="46"/>
      <c r="CB191" s="1"/>
      <c r="CC191" s="1"/>
      <c r="CD191" s="1"/>
      <c r="CE191" s="1"/>
      <c r="CF191" s="1"/>
      <c r="CG191" s="1"/>
      <c r="CH191" s="1"/>
      <c r="CI191" s="2"/>
      <c r="CJ191" s="2"/>
      <c r="CK191" s="2"/>
      <c r="CL191" s="2"/>
      <c r="CM191" s="2"/>
      <c r="CN191" s="2"/>
      <c r="CO191" s="2"/>
      <c r="CP191" s="2"/>
      <c r="CQ191" s="2"/>
      <c r="CR191" s="2"/>
      <c r="CS191" s="2"/>
      <c r="CT191" s="2"/>
      <c r="CU191" s="2"/>
      <c r="CV191" s="2"/>
      <c r="CW191" s="2"/>
      <c r="CX191" s="2"/>
      <c r="CY191" s="2"/>
      <c r="CZ191" s="2"/>
    </row>
    <row r="192" spans="43:104" ht="15" hidden="1" customHeight="1" x14ac:dyDescent="0.2">
      <c r="AQ192" s="13"/>
      <c r="AR192" s="12">
        <v>1230000</v>
      </c>
      <c r="AS192" s="12">
        <v>1270000</v>
      </c>
      <c r="AT192" s="2"/>
      <c r="AU192" s="2"/>
      <c r="AV192" s="2"/>
      <c r="AW192" s="2"/>
      <c r="AX192" s="2"/>
      <c r="AY192" s="2"/>
      <c r="AZ192" s="2"/>
      <c r="BA192" s="2"/>
      <c r="BB192" s="2"/>
      <c r="BC192" s="2"/>
      <c r="BD192" s="2"/>
      <c r="BE192" s="2"/>
      <c r="BK192" s="84"/>
      <c r="BL192" s="2"/>
      <c r="BM192" s="2"/>
      <c r="BN192" s="2"/>
      <c r="BO192" s="2"/>
      <c r="BS192" s="11"/>
      <c r="BT192" s="2"/>
      <c r="BU192" s="3"/>
      <c r="BV192" s="3"/>
      <c r="BW192" s="2"/>
      <c r="BX192" s="2"/>
      <c r="BY192" s="2"/>
      <c r="BZ192" s="2"/>
      <c r="CA192" s="46"/>
      <c r="CB192" s="1"/>
      <c r="CC192" s="7"/>
      <c r="CD192" s="1"/>
      <c r="CE192" s="1"/>
      <c r="CF192" s="1"/>
      <c r="CG192" s="1"/>
      <c r="CH192" s="1"/>
      <c r="CI192" s="2"/>
      <c r="CJ192" s="2"/>
      <c r="CK192" s="2"/>
      <c r="CL192" s="2"/>
      <c r="CM192" s="2"/>
      <c r="CN192" s="2"/>
      <c r="CO192" s="2"/>
      <c r="CP192" s="2"/>
      <c r="CQ192" s="2"/>
      <c r="CR192" s="2"/>
      <c r="CS192" s="2"/>
      <c r="CT192" s="2"/>
      <c r="CU192" s="2"/>
      <c r="CV192" s="2"/>
      <c r="CW192" s="2"/>
      <c r="CX192" s="2"/>
      <c r="CY192" s="2"/>
      <c r="CZ192" s="2"/>
    </row>
    <row r="193" spans="43:104" ht="15" hidden="1" customHeight="1" x14ac:dyDescent="0.2">
      <c r="AQ193" s="13"/>
      <c r="AR193" s="12">
        <v>1235000</v>
      </c>
      <c r="AS193" s="12">
        <v>1280000</v>
      </c>
      <c r="AT193" s="2"/>
      <c r="AU193" s="2"/>
      <c r="AV193" s="2"/>
      <c r="AW193" s="2"/>
      <c r="AX193" s="2"/>
      <c r="AY193" s="2"/>
      <c r="AZ193" s="2"/>
      <c r="BA193" s="2"/>
      <c r="BB193" s="2"/>
      <c r="BC193" s="2"/>
      <c r="BD193" s="2"/>
      <c r="BE193" s="2"/>
      <c r="BK193" s="84"/>
      <c r="BL193" s="2"/>
      <c r="BM193" s="2"/>
      <c r="BN193" s="2"/>
      <c r="BO193" s="2"/>
      <c r="BS193" s="11"/>
      <c r="BT193" s="2"/>
      <c r="BU193" s="3"/>
      <c r="BV193" s="3"/>
      <c r="BW193" s="2"/>
      <c r="BX193" s="2"/>
      <c r="BY193" s="2"/>
      <c r="BZ193" s="2"/>
      <c r="CA193" s="2"/>
      <c r="CB193" s="2"/>
      <c r="CC193" s="2"/>
      <c r="CD193" s="1"/>
      <c r="CE193" s="1"/>
      <c r="CF193" s="1"/>
      <c r="CG193" s="1"/>
      <c r="CH193" s="1"/>
      <c r="CI193" s="2"/>
      <c r="CJ193" s="2"/>
      <c r="CK193" s="2"/>
      <c r="CL193" s="2"/>
      <c r="CM193" s="2"/>
      <c r="CN193" s="2"/>
      <c r="CO193" s="2"/>
      <c r="CP193" s="2"/>
      <c r="CQ193" s="2"/>
      <c r="CR193" s="2"/>
      <c r="CS193" s="2"/>
      <c r="CT193" s="2"/>
      <c r="CU193" s="2"/>
      <c r="CV193" s="2"/>
      <c r="CW193" s="2"/>
      <c r="CX193" s="2"/>
      <c r="CY193" s="2"/>
      <c r="CZ193" s="2"/>
    </row>
    <row r="194" spans="43:104" ht="15" hidden="1" customHeight="1" x14ac:dyDescent="0.2">
      <c r="AQ194" s="85"/>
      <c r="AR194" s="12">
        <v>1240000</v>
      </c>
      <c r="AS194" s="12">
        <v>1290000</v>
      </c>
      <c r="AT194" s="2"/>
      <c r="AU194" s="2"/>
      <c r="AV194" s="2"/>
      <c r="AW194" s="2"/>
      <c r="AX194" s="2"/>
      <c r="AY194" s="2"/>
      <c r="AZ194" s="2"/>
      <c r="BA194" s="2"/>
      <c r="BB194" s="2"/>
      <c r="BC194" s="2"/>
      <c r="BD194" s="2"/>
      <c r="BE194" s="2"/>
      <c r="BK194" s="84"/>
      <c r="BL194" s="2"/>
      <c r="BM194" s="2"/>
      <c r="BN194" s="2"/>
      <c r="BO194" s="2"/>
      <c r="BS194" s="11"/>
      <c r="BT194" s="2"/>
      <c r="BU194" s="3"/>
      <c r="BV194" s="3"/>
      <c r="BW194" s="2"/>
      <c r="BX194" s="2"/>
      <c r="BY194" s="2"/>
      <c r="BZ194" s="2"/>
      <c r="CA194" s="2"/>
      <c r="CB194" s="2"/>
      <c r="CC194" s="2"/>
      <c r="CD194" s="1"/>
      <c r="CE194" s="1"/>
      <c r="CF194" s="1"/>
      <c r="CG194" s="1"/>
      <c r="CH194" s="1"/>
      <c r="CI194" s="2"/>
      <c r="CJ194" s="2"/>
      <c r="CK194" s="2"/>
      <c r="CL194" s="2"/>
      <c r="CM194" s="2"/>
      <c r="CN194" s="2"/>
      <c r="CO194" s="2"/>
      <c r="CP194" s="2"/>
      <c r="CQ194" s="2"/>
      <c r="CR194" s="2"/>
      <c r="CS194" s="2"/>
      <c r="CT194" s="2"/>
      <c r="CU194" s="2"/>
      <c r="CV194" s="2"/>
      <c r="CW194" s="2"/>
      <c r="CX194" s="2"/>
      <c r="CY194" s="2"/>
      <c r="CZ194" s="2"/>
    </row>
    <row r="195" spans="43:104" ht="15" hidden="1" customHeight="1" x14ac:dyDescent="0.2">
      <c r="AQ195" s="12"/>
      <c r="AR195" s="12">
        <v>1245000</v>
      </c>
      <c r="AS195" s="12">
        <v>1300000</v>
      </c>
      <c r="AT195" s="2"/>
      <c r="AU195" s="2"/>
      <c r="AV195" s="2"/>
      <c r="AW195" s="2"/>
      <c r="AX195" s="2"/>
      <c r="AY195" s="2"/>
      <c r="AZ195" s="2"/>
      <c r="BA195" s="2"/>
      <c r="BB195" s="2"/>
      <c r="BC195" s="2"/>
      <c r="BD195" s="2"/>
      <c r="BE195" s="2"/>
      <c r="BK195" s="84"/>
      <c r="BL195" s="2"/>
      <c r="BM195" s="2"/>
      <c r="BN195" s="2"/>
      <c r="BO195" s="2"/>
      <c r="BS195" s="11"/>
      <c r="BT195" s="2"/>
      <c r="BU195" s="3"/>
      <c r="BV195" s="3"/>
      <c r="BW195" s="2"/>
      <c r="BX195" s="2"/>
      <c r="BY195" s="2"/>
      <c r="BZ195" s="2"/>
      <c r="CA195" s="2"/>
      <c r="CB195" s="2"/>
      <c r="CC195" s="2"/>
      <c r="CD195" s="1"/>
      <c r="CE195" s="1"/>
      <c r="CF195" s="1"/>
      <c r="CG195" s="1"/>
      <c r="CH195" s="1"/>
      <c r="CI195" s="2"/>
      <c r="CJ195" s="2"/>
      <c r="CK195" s="2"/>
      <c r="CL195" s="2"/>
      <c r="CM195" s="2"/>
      <c r="CN195" s="2"/>
      <c r="CO195" s="2"/>
      <c r="CP195" s="2"/>
      <c r="CQ195" s="2"/>
      <c r="CR195" s="2"/>
      <c r="CS195" s="2"/>
      <c r="CT195" s="2"/>
      <c r="CU195" s="2"/>
      <c r="CV195" s="2"/>
      <c r="CW195" s="2"/>
      <c r="CX195" s="2"/>
      <c r="CY195" s="2"/>
      <c r="CZ195" s="2"/>
    </row>
    <row r="196" spans="43:104" ht="15" hidden="1" customHeight="1" x14ac:dyDescent="0.2">
      <c r="AQ196" s="12"/>
      <c r="AR196" s="12">
        <v>1250000</v>
      </c>
      <c r="AS196" s="12">
        <v>1310000</v>
      </c>
      <c r="AT196" s="2"/>
      <c r="AU196" s="2"/>
      <c r="AV196" s="2"/>
      <c r="AW196" s="2"/>
      <c r="AX196" s="2"/>
      <c r="AY196" s="2"/>
      <c r="AZ196" s="2"/>
      <c r="BA196" s="2"/>
      <c r="BB196" s="2"/>
      <c r="BC196" s="2"/>
      <c r="BD196" s="2"/>
      <c r="BE196" s="2"/>
      <c r="BK196" s="84"/>
      <c r="BL196" s="2"/>
      <c r="BM196" s="2"/>
      <c r="BN196" s="2"/>
      <c r="BO196" s="2"/>
      <c r="BS196" s="11"/>
      <c r="BT196" s="2"/>
      <c r="BU196" s="3"/>
      <c r="BV196" s="3"/>
      <c r="BW196" s="2"/>
      <c r="BX196" s="2"/>
      <c r="BY196" s="2"/>
      <c r="BZ196" s="2"/>
      <c r="CA196" s="2"/>
      <c r="CB196" s="2"/>
      <c r="CC196" s="2"/>
      <c r="CD196" s="1"/>
      <c r="CE196" s="1"/>
      <c r="CF196" s="1"/>
      <c r="CG196" s="1"/>
      <c r="CH196" s="1"/>
      <c r="CI196" s="2"/>
      <c r="CJ196" s="2"/>
      <c r="CK196" s="2"/>
      <c r="CL196" s="2"/>
      <c r="CM196" s="2"/>
      <c r="CN196" s="2"/>
      <c r="CO196" s="2"/>
      <c r="CP196" s="2"/>
      <c r="CQ196" s="2"/>
      <c r="CR196" s="2"/>
      <c r="CS196" s="2"/>
      <c r="CT196" s="2"/>
      <c r="CU196" s="2"/>
      <c r="CV196" s="2"/>
      <c r="CW196" s="2"/>
      <c r="CX196" s="2"/>
      <c r="CY196" s="2"/>
      <c r="CZ196" s="2"/>
    </row>
    <row r="197" spans="43:104" ht="15" hidden="1" customHeight="1" x14ac:dyDescent="0.2">
      <c r="AQ197" s="13"/>
      <c r="AR197" s="12">
        <v>1255000</v>
      </c>
      <c r="AS197" s="12">
        <v>1320000</v>
      </c>
      <c r="AT197" s="2"/>
      <c r="AU197" s="2"/>
      <c r="AV197" s="2"/>
      <c r="AW197" s="2"/>
      <c r="AX197" s="2"/>
      <c r="AY197" s="2"/>
      <c r="AZ197" s="2"/>
      <c r="BA197" s="2"/>
      <c r="BB197" s="2"/>
      <c r="BC197" s="2"/>
      <c r="BD197" s="2"/>
      <c r="BE197" s="2"/>
      <c r="BK197" s="84"/>
      <c r="BL197" s="2"/>
      <c r="BM197" s="2"/>
      <c r="BN197" s="2"/>
      <c r="BO197" s="2"/>
      <c r="BS197" s="11"/>
      <c r="BT197" s="2"/>
      <c r="BU197" s="2"/>
      <c r="BV197" s="3"/>
      <c r="BW197" s="2"/>
      <c r="BX197" s="2"/>
      <c r="BY197" s="2"/>
      <c r="BZ197" s="46"/>
      <c r="CA197" s="1"/>
      <c r="CB197" s="1"/>
      <c r="CC197" s="1"/>
      <c r="CD197" s="1"/>
      <c r="CE197" s="1"/>
      <c r="CF197" s="1"/>
      <c r="CG197" s="1"/>
      <c r="CH197" s="1"/>
      <c r="CI197" s="2"/>
      <c r="CJ197" s="2"/>
      <c r="CK197" s="2"/>
      <c r="CL197" s="2"/>
      <c r="CM197" s="2"/>
      <c r="CN197" s="2"/>
      <c r="CO197" s="2"/>
      <c r="CP197" s="2"/>
      <c r="CQ197" s="2"/>
      <c r="CR197" s="2"/>
      <c r="CS197" s="2"/>
      <c r="CT197" s="2"/>
      <c r="CU197" s="2"/>
      <c r="CV197" s="2"/>
      <c r="CW197" s="2"/>
      <c r="CX197" s="2"/>
      <c r="CY197" s="2"/>
      <c r="CZ197" s="2"/>
    </row>
    <row r="198" spans="43:104" ht="15" hidden="1" customHeight="1" x14ac:dyDescent="0.2">
      <c r="AQ198" s="13"/>
      <c r="AR198" s="12">
        <v>1260000</v>
      </c>
      <c r="AS198" s="12">
        <v>1330000</v>
      </c>
      <c r="AT198" s="2"/>
      <c r="AU198" s="2"/>
      <c r="AV198" s="2"/>
      <c r="AW198" s="2"/>
      <c r="AX198" s="2"/>
      <c r="AY198" s="2"/>
      <c r="AZ198" s="2"/>
      <c r="BA198" s="2"/>
      <c r="BB198" s="2"/>
      <c r="BC198" s="2"/>
      <c r="BD198" s="2"/>
      <c r="BE198" s="2"/>
      <c r="BK198" s="84"/>
      <c r="BL198" s="2"/>
      <c r="BM198" s="2"/>
      <c r="BN198" s="2"/>
      <c r="BO198" s="2"/>
      <c r="BS198" s="11"/>
      <c r="BT198" s="2"/>
      <c r="BU198" s="3"/>
      <c r="BV198" s="3"/>
      <c r="BW198" s="2"/>
      <c r="BX198" s="2"/>
      <c r="BY198" s="2"/>
      <c r="BZ198" s="2"/>
      <c r="CA198" s="46"/>
      <c r="CB198" s="1"/>
      <c r="CC198" s="1"/>
      <c r="CD198" s="1"/>
      <c r="CE198" s="1"/>
      <c r="CF198" s="1"/>
      <c r="CG198" s="1"/>
      <c r="CH198" s="1"/>
      <c r="CI198" s="2"/>
      <c r="CJ198" s="2"/>
      <c r="CK198" s="2"/>
      <c r="CL198" s="2"/>
      <c r="CM198" s="2"/>
      <c r="CN198" s="2"/>
      <c r="CO198" s="2"/>
      <c r="CP198" s="2"/>
      <c r="CQ198" s="2"/>
      <c r="CR198" s="2"/>
      <c r="CS198" s="2"/>
      <c r="CT198" s="2"/>
      <c r="CU198" s="2"/>
      <c r="CV198" s="2"/>
      <c r="CW198" s="2"/>
      <c r="CX198" s="2"/>
      <c r="CY198" s="2"/>
      <c r="CZ198" s="2"/>
    </row>
    <row r="199" spans="43:104" ht="15" hidden="1" customHeight="1" x14ac:dyDescent="0.2">
      <c r="AQ199" s="85"/>
      <c r="AR199" s="12">
        <v>1265000</v>
      </c>
      <c r="AS199" s="12">
        <v>1340000</v>
      </c>
      <c r="AT199" s="2"/>
      <c r="AU199" s="2"/>
      <c r="AV199" s="2"/>
      <c r="AW199" s="2"/>
      <c r="AX199" s="2"/>
      <c r="AY199" s="2"/>
      <c r="AZ199" s="2"/>
      <c r="BA199" s="2"/>
      <c r="BB199" s="2"/>
      <c r="BC199" s="2"/>
      <c r="BD199" s="2"/>
      <c r="BE199" s="2"/>
      <c r="BK199" s="84"/>
      <c r="BL199" s="2"/>
      <c r="BM199" s="2"/>
      <c r="BN199" s="2"/>
      <c r="BO199" s="2"/>
      <c r="BS199" s="11"/>
      <c r="BT199" s="2"/>
      <c r="BU199" s="3"/>
      <c r="BV199" s="3"/>
      <c r="BW199" s="2"/>
      <c r="BX199" s="2"/>
      <c r="BY199" s="2"/>
      <c r="BZ199" s="2"/>
      <c r="CA199" s="46"/>
      <c r="CB199" s="1"/>
      <c r="CC199" s="1"/>
      <c r="CD199" s="1"/>
      <c r="CE199" s="1"/>
      <c r="CF199" s="1"/>
      <c r="CG199" s="1"/>
      <c r="CH199" s="1"/>
      <c r="CI199" s="2"/>
      <c r="CJ199" s="2"/>
      <c r="CK199" s="2"/>
      <c r="CL199" s="2"/>
      <c r="CM199" s="2"/>
      <c r="CN199" s="2"/>
      <c r="CO199" s="2"/>
      <c r="CP199" s="2"/>
      <c r="CQ199" s="2"/>
      <c r="CR199" s="2"/>
      <c r="CS199" s="2"/>
      <c r="CT199" s="2"/>
      <c r="CU199" s="2"/>
      <c r="CV199" s="2"/>
      <c r="CW199" s="2"/>
      <c r="CX199" s="2"/>
      <c r="CY199" s="2"/>
      <c r="CZ199" s="2"/>
    </row>
    <row r="200" spans="43:104" ht="15" hidden="1" customHeight="1" x14ac:dyDescent="0.2">
      <c r="AQ200" s="12"/>
      <c r="AR200" s="12">
        <v>1270000</v>
      </c>
      <c r="AS200" s="12">
        <v>1350000</v>
      </c>
      <c r="AT200" s="2"/>
      <c r="AU200" s="2"/>
      <c r="AV200" s="2"/>
      <c r="AW200" s="2"/>
      <c r="AX200" s="2"/>
      <c r="AY200" s="2"/>
      <c r="AZ200" s="2"/>
      <c r="BA200" s="2"/>
      <c r="BB200" s="2"/>
      <c r="BC200" s="2"/>
      <c r="BD200" s="2"/>
      <c r="BE200" s="2"/>
      <c r="BK200" s="84"/>
      <c r="BL200" s="2"/>
      <c r="BM200" s="2"/>
      <c r="BN200" s="2"/>
      <c r="BO200" s="2"/>
      <c r="BS200" s="11"/>
      <c r="BT200" s="2"/>
      <c r="BU200" s="3"/>
      <c r="BV200" s="3"/>
      <c r="BW200" s="2"/>
      <c r="BX200" s="2"/>
      <c r="BY200" s="2"/>
      <c r="BZ200" s="2"/>
      <c r="CA200" s="46"/>
      <c r="CB200" s="1"/>
      <c r="CC200" s="1"/>
      <c r="CD200" s="1"/>
      <c r="CE200" s="1"/>
      <c r="CF200" s="1"/>
      <c r="CG200" s="1"/>
      <c r="CH200" s="1"/>
      <c r="CI200" s="2"/>
      <c r="CJ200" s="2"/>
      <c r="CK200" s="2"/>
      <c r="CL200" s="2"/>
      <c r="CM200" s="2"/>
      <c r="CN200" s="2"/>
      <c r="CO200" s="2"/>
      <c r="CP200" s="2"/>
      <c r="CQ200" s="2"/>
      <c r="CR200" s="2"/>
      <c r="CS200" s="2"/>
      <c r="CT200" s="2"/>
      <c r="CU200" s="2"/>
      <c r="CV200" s="2"/>
      <c r="CW200" s="2"/>
      <c r="CX200" s="2"/>
      <c r="CY200" s="2"/>
      <c r="CZ200" s="2"/>
    </row>
    <row r="201" spans="43:104" ht="15" hidden="1" customHeight="1" x14ac:dyDescent="0.2">
      <c r="AQ201" s="12"/>
      <c r="AR201" s="12">
        <v>1275000</v>
      </c>
      <c r="AS201" s="12">
        <v>1360000</v>
      </c>
      <c r="AT201" s="2"/>
      <c r="AU201" s="2"/>
      <c r="AV201" s="2"/>
      <c r="AW201" s="2"/>
      <c r="AX201" s="2"/>
      <c r="AY201" s="2"/>
      <c r="AZ201" s="2"/>
      <c r="BA201" s="2"/>
      <c r="BB201" s="2"/>
      <c r="BC201" s="2"/>
      <c r="BD201" s="2"/>
      <c r="BE201" s="2"/>
      <c r="BK201" s="84"/>
      <c r="BL201" s="2"/>
      <c r="BM201" s="2"/>
      <c r="BN201" s="2"/>
      <c r="BO201" s="2"/>
      <c r="BS201" s="11"/>
      <c r="BT201" s="2"/>
      <c r="BU201" s="3"/>
      <c r="BV201" s="3"/>
      <c r="BW201" s="2"/>
      <c r="BX201" s="2"/>
      <c r="BY201" s="2"/>
      <c r="BZ201" s="2"/>
      <c r="CA201" s="46"/>
      <c r="CB201" s="1"/>
      <c r="CC201" s="1"/>
      <c r="CD201" s="1"/>
      <c r="CE201" s="1"/>
      <c r="CF201" s="1"/>
      <c r="CG201" s="1"/>
      <c r="CH201" s="1"/>
      <c r="CI201" s="2"/>
      <c r="CJ201" s="2"/>
      <c r="CK201" s="2"/>
      <c r="CL201" s="2"/>
      <c r="CM201" s="2"/>
      <c r="CN201" s="2"/>
      <c r="CO201" s="2"/>
      <c r="CP201" s="2"/>
      <c r="CQ201" s="2"/>
      <c r="CR201" s="2"/>
      <c r="CS201" s="2"/>
      <c r="CT201" s="2"/>
      <c r="CU201" s="2"/>
      <c r="CV201" s="2"/>
      <c r="CW201" s="2"/>
      <c r="CX201" s="2"/>
      <c r="CY201" s="2"/>
      <c r="CZ201" s="2"/>
    </row>
    <row r="202" spans="43:104" ht="15" hidden="1" customHeight="1" x14ac:dyDescent="0.2">
      <c r="AQ202" s="13"/>
      <c r="AR202" s="12">
        <v>1280000</v>
      </c>
      <c r="AS202" s="12">
        <v>1370000</v>
      </c>
      <c r="AT202" s="2"/>
      <c r="AU202" s="2"/>
      <c r="AV202" s="2"/>
      <c r="AW202" s="2"/>
      <c r="AX202" s="2"/>
      <c r="AY202" s="2"/>
      <c r="AZ202" s="2"/>
      <c r="BA202" s="2"/>
      <c r="BB202" s="2"/>
      <c r="BC202" s="2"/>
      <c r="BD202" s="2"/>
      <c r="BE202" s="2"/>
      <c r="BK202" s="84"/>
      <c r="BL202" s="2"/>
      <c r="BM202" s="2"/>
      <c r="BN202" s="2"/>
      <c r="BO202" s="2"/>
      <c r="BS202" s="11"/>
      <c r="BT202" s="2"/>
      <c r="BU202" s="3"/>
      <c r="BV202" s="3"/>
      <c r="BW202" s="2"/>
      <c r="BX202" s="2"/>
      <c r="BY202" s="2"/>
      <c r="BZ202" s="2"/>
      <c r="CA202" s="46"/>
      <c r="CB202" s="1"/>
      <c r="CC202" s="7"/>
      <c r="CD202" s="1"/>
      <c r="CE202" s="1"/>
      <c r="CF202" s="1"/>
      <c r="CG202" s="1"/>
      <c r="CH202" s="1"/>
      <c r="CI202" s="2"/>
      <c r="CJ202" s="2"/>
      <c r="CK202" s="2"/>
      <c r="CL202" s="2"/>
      <c r="CM202" s="2"/>
      <c r="CN202" s="2"/>
      <c r="CO202" s="2"/>
      <c r="CP202" s="2"/>
      <c r="CQ202" s="2"/>
      <c r="CR202" s="2"/>
      <c r="CS202" s="2"/>
      <c r="CT202" s="2"/>
      <c r="CU202" s="2"/>
      <c r="CV202" s="2"/>
      <c r="CW202" s="2"/>
      <c r="CX202" s="2"/>
      <c r="CY202" s="2"/>
      <c r="CZ202" s="2"/>
    </row>
    <row r="203" spans="43:104" ht="15" hidden="1" customHeight="1" x14ac:dyDescent="0.2">
      <c r="AQ203" s="13"/>
      <c r="AR203" s="12">
        <v>1285000</v>
      </c>
      <c r="AS203" s="12">
        <v>1380000</v>
      </c>
      <c r="AT203" s="2"/>
      <c r="AU203" s="2"/>
      <c r="AV203" s="2"/>
      <c r="AW203" s="2"/>
      <c r="AX203" s="2"/>
      <c r="AY203" s="2"/>
      <c r="AZ203" s="2"/>
      <c r="BA203" s="2"/>
      <c r="BB203" s="2"/>
      <c r="BC203" s="2"/>
      <c r="BD203" s="2"/>
      <c r="BE203" s="2"/>
      <c r="BK203" s="84"/>
      <c r="BL203" s="2"/>
      <c r="BM203" s="2"/>
      <c r="BN203" s="2"/>
      <c r="BO203" s="2"/>
      <c r="BS203" s="11"/>
      <c r="BT203" s="2"/>
      <c r="BU203" s="3"/>
      <c r="BV203" s="3"/>
      <c r="BW203" s="2"/>
      <c r="BX203" s="2"/>
      <c r="BY203" s="2"/>
      <c r="BZ203" s="2"/>
      <c r="CA203" s="2"/>
      <c r="CB203" s="2"/>
      <c r="CC203" s="2"/>
      <c r="CD203" s="1"/>
      <c r="CE203" s="1"/>
      <c r="CF203" s="1"/>
      <c r="CG203" s="1"/>
      <c r="CH203" s="1"/>
      <c r="CI203" s="2"/>
      <c r="CJ203" s="2"/>
      <c r="CK203" s="2"/>
      <c r="CL203" s="2"/>
      <c r="CM203" s="2"/>
      <c r="CN203" s="2"/>
      <c r="CO203" s="2"/>
      <c r="CP203" s="2"/>
      <c r="CQ203" s="2"/>
      <c r="CR203" s="2"/>
      <c r="CS203" s="2"/>
      <c r="CT203" s="2"/>
      <c r="CU203" s="2"/>
      <c r="CV203" s="2"/>
      <c r="CW203" s="2"/>
      <c r="CX203" s="2"/>
      <c r="CY203" s="2"/>
      <c r="CZ203" s="2"/>
    </row>
    <row r="204" spans="43:104" ht="15" hidden="1" customHeight="1" x14ac:dyDescent="0.2">
      <c r="AQ204" s="85"/>
      <c r="AR204" s="12">
        <v>1290000</v>
      </c>
      <c r="AS204" s="12">
        <v>1390000</v>
      </c>
      <c r="AT204" s="2"/>
      <c r="AU204" s="2"/>
      <c r="AV204" s="2"/>
      <c r="AW204" s="2"/>
      <c r="AX204" s="2"/>
      <c r="AY204" s="2"/>
      <c r="AZ204" s="2"/>
      <c r="BA204" s="2"/>
      <c r="BB204" s="2"/>
      <c r="BC204" s="2"/>
      <c r="BD204" s="2"/>
      <c r="BE204" s="2"/>
      <c r="BK204" s="84"/>
      <c r="BL204" s="2"/>
      <c r="BM204" s="2"/>
      <c r="BN204" s="2"/>
      <c r="BO204" s="2"/>
      <c r="BS204" s="11"/>
      <c r="BT204" s="2"/>
      <c r="BU204" s="3"/>
      <c r="BV204" s="3"/>
      <c r="BW204" s="2"/>
      <c r="BX204" s="2"/>
      <c r="BY204" s="2"/>
      <c r="BZ204" s="2"/>
      <c r="CA204" s="2"/>
      <c r="CB204" s="2"/>
      <c r="CC204" s="2"/>
      <c r="CD204" s="1"/>
      <c r="CE204" s="1"/>
      <c r="CF204" s="1"/>
      <c r="CG204" s="1"/>
      <c r="CH204" s="1"/>
      <c r="CI204" s="2"/>
      <c r="CJ204" s="2"/>
      <c r="CK204" s="2"/>
      <c r="CL204" s="2"/>
      <c r="CM204" s="2"/>
      <c r="CN204" s="2"/>
      <c r="CO204" s="2"/>
      <c r="CP204" s="2"/>
      <c r="CQ204" s="2"/>
      <c r="CR204" s="2"/>
      <c r="CS204" s="2"/>
      <c r="CT204" s="2"/>
      <c r="CU204" s="2"/>
      <c r="CV204" s="2"/>
      <c r="CW204" s="2"/>
      <c r="CX204" s="2"/>
      <c r="CY204" s="2"/>
      <c r="CZ204" s="2"/>
    </row>
    <row r="205" spans="43:104" ht="15" hidden="1" customHeight="1" x14ac:dyDescent="0.2">
      <c r="AQ205" s="12"/>
      <c r="AR205" s="12">
        <v>1295000</v>
      </c>
      <c r="AS205" s="12">
        <v>1400000</v>
      </c>
      <c r="AT205" s="2"/>
      <c r="AU205" s="2"/>
      <c r="AV205" s="2"/>
      <c r="AW205" s="2"/>
      <c r="AX205" s="2"/>
      <c r="AY205" s="2"/>
      <c r="AZ205" s="2"/>
      <c r="BA205" s="2"/>
      <c r="BB205" s="2"/>
      <c r="BC205" s="2"/>
      <c r="BD205" s="2"/>
      <c r="BE205" s="2"/>
      <c r="BK205" s="84"/>
      <c r="BL205" s="2"/>
      <c r="BM205" s="2"/>
      <c r="BN205" s="2"/>
      <c r="BO205" s="2"/>
      <c r="BS205" s="11"/>
      <c r="BT205" s="2"/>
      <c r="BU205" s="3"/>
      <c r="BV205" s="3"/>
      <c r="BW205" s="2"/>
      <c r="BX205" s="2"/>
      <c r="BY205" s="2"/>
      <c r="BZ205" s="2"/>
      <c r="CA205" s="2"/>
      <c r="CB205" s="2"/>
      <c r="CC205" s="2"/>
      <c r="CD205" s="1"/>
      <c r="CE205" s="1"/>
      <c r="CF205" s="1"/>
      <c r="CG205" s="1"/>
      <c r="CH205" s="1"/>
      <c r="CI205" s="2"/>
      <c r="CJ205" s="2"/>
      <c r="CK205" s="2"/>
      <c r="CL205" s="2"/>
      <c r="CM205" s="2"/>
      <c r="CN205" s="2"/>
      <c r="CO205" s="2"/>
      <c r="CP205" s="2"/>
      <c r="CQ205" s="2"/>
      <c r="CR205" s="2"/>
      <c r="CS205" s="2"/>
      <c r="CT205" s="2"/>
      <c r="CU205" s="2"/>
      <c r="CV205" s="2"/>
      <c r="CW205" s="2"/>
      <c r="CX205" s="2"/>
      <c r="CY205" s="2"/>
      <c r="CZ205" s="2"/>
    </row>
    <row r="206" spans="43:104" ht="15" hidden="1" customHeight="1" x14ac:dyDescent="0.2">
      <c r="AQ206" s="12"/>
      <c r="AR206" s="12">
        <v>1300000</v>
      </c>
      <c r="AS206" s="12">
        <v>1410000</v>
      </c>
      <c r="AT206" s="2"/>
      <c r="AU206" s="2"/>
      <c r="AV206" s="2"/>
      <c r="AW206" s="2"/>
      <c r="AX206" s="2"/>
      <c r="AY206" s="2"/>
      <c r="AZ206" s="2"/>
      <c r="BA206" s="2"/>
      <c r="BB206" s="2"/>
      <c r="BC206" s="2"/>
      <c r="BD206" s="2"/>
      <c r="BE206" s="2"/>
      <c r="BK206" s="84"/>
      <c r="BL206" s="2"/>
      <c r="BM206" s="2"/>
      <c r="BN206" s="2"/>
      <c r="BO206" s="2"/>
      <c r="BS206" s="11"/>
      <c r="BT206" s="2"/>
      <c r="BU206" s="3"/>
      <c r="BV206" s="3"/>
      <c r="BW206" s="2"/>
      <c r="BX206" s="2"/>
      <c r="BY206" s="2"/>
      <c r="BZ206" s="2"/>
      <c r="CA206" s="2"/>
      <c r="CB206" s="2"/>
      <c r="CC206" s="2"/>
      <c r="CD206" s="1"/>
      <c r="CE206" s="1"/>
      <c r="CF206" s="1"/>
      <c r="CG206" s="1"/>
      <c r="CH206" s="1"/>
      <c r="CI206" s="2"/>
      <c r="CJ206" s="2"/>
      <c r="CK206" s="2"/>
      <c r="CL206" s="2"/>
      <c r="CM206" s="2"/>
      <c r="CN206" s="2"/>
      <c r="CO206" s="2"/>
      <c r="CP206" s="2"/>
      <c r="CQ206" s="2"/>
      <c r="CR206" s="2"/>
      <c r="CS206" s="2"/>
      <c r="CT206" s="2"/>
      <c r="CU206" s="2"/>
      <c r="CV206" s="2"/>
      <c r="CW206" s="2"/>
      <c r="CX206" s="2"/>
      <c r="CY206" s="2"/>
      <c r="CZ206" s="2"/>
    </row>
    <row r="207" spans="43:104" ht="15" hidden="1" customHeight="1" x14ac:dyDescent="0.2">
      <c r="AQ207" s="13"/>
      <c r="AR207" s="12">
        <v>1305000</v>
      </c>
      <c r="AS207" s="12">
        <v>1420000</v>
      </c>
      <c r="AT207" s="2"/>
      <c r="AU207" s="2"/>
      <c r="AV207" s="2"/>
      <c r="AW207" s="2"/>
      <c r="AX207" s="2"/>
      <c r="AY207" s="2"/>
      <c r="AZ207" s="2"/>
      <c r="BA207" s="2"/>
      <c r="BB207" s="2"/>
      <c r="BC207" s="2"/>
      <c r="BD207" s="2"/>
      <c r="BE207" s="2"/>
      <c r="BK207" s="84"/>
      <c r="BL207" s="2"/>
      <c r="BM207" s="2"/>
      <c r="BN207" s="2"/>
      <c r="BO207" s="2"/>
      <c r="BS207" s="11"/>
      <c r="BT207" s="2"/>
      <c r="BU207" s="3"/>
      <c r="BV207" s="3"/>
      <c r="BW207" s="2"/>
      <c r="BX207" s="2"/>
      <c r="BY207" s="2"/>
      <c r="BZ207" s="2"/>
      <c r="CA207" s="2"/>
      <c r="CB207" s="2"/>
      <c r="CC207" s="2"/>
      <c r="CD207" s="1"/>
      <c r="CE207" s="1"/>
      <c r="CF207" s="1"/>
      <c r="CG207" s="1"/>
      <c r="CH207" s="1"/>
      <c r="CI207" s="2"/>
      <c r="CJ207" s="2"/>
      <c r="CK207" s="2"/>
      <c r="CL207" s="2"/>
      <c r="CM207" s="2"/>
      <c r="CN207" s="2"/>
      <c r="CO207" s="2"/>
      <c r="CP207" s="2"/>
      <c r="CQ207" s="2"/>
      <c r="CR207" s="2"/>
      <c r="CS207" s="2"/>
      <c r="CT207" s="2"/>
      <c r="CU207" s="2"/>
      <c r="CV207" s="2"/>
      <c r="CW207" s="2"/>
      <c r="CX207" s="2"/>
      <c r="CY207" s="2"/>
      <c r="CZ207" s="2"/>
    </row>
    <row r="208" spans="43:104" ht="15" hidden="1" customHeight="1" x14ac:dyDescent="0.2">
      <c r="AQ208" s="13"/>
      <c r="AR208" s="12">
        <v>1310000</v>
      </c>
      <c r="AS208" s="12">
        <v>1430000</v>
      </c>
      <c r="AT208" s="2"/>
      <c r="AU208" s="2"/>
      <c r="AV208" s="2"/>
      <c r="AW208" s="2"/>
      <c r="AX208" s="2"/>
      <c r="AY208" s="2"/>
      <c r="AZ208" s="2"/>
      <c r="BA208" s="2"/>
      <c r="BB208" s="2"/>
      <c r="BC208" s="2"/>
      <c r="BD208" s="2"/>
      <c r="BE208" s="2"/>
      <c r="BK208" s="84"/>
      <c r="BL208" s="2"/>
      <c r="BM208" s="2"/>
      <c r="BN208" s="2"/>
      <c r="BO208" s="2"/>
      <c r="BS208" s="11"/>
      <c r="BT208" s="2"/>
      <c r="BU208" s="3"/>
      <c r="BV208" s="3"/>
      <c r="BW208" s="2"/>
      <c r="BX208" s="2"/>
      <c r="BY208" s="2"/>
      <c r="BZ208" s="2"/>
      <c r="CA208" s="46"/>
      <c r="CB208" s="1"/>
      <c r="CC208" s="1"/>
      <c r="CD208" s="1"/>
      <c r="CE208" s="1"/>
      <c r="CF208" s="1"/>
      <c r="CG208" s="1"/>
      <c r="CH208" s="1"/>
      <c r="CI208" s="2"/>
      <c r="CJ208" s="2"/>
      <c r="CK208" s="2"/>
      <c r="CL208" s="2"/>
      <c r="CM208" s="2"/>
      <c r="CN208" s="2"/>
      <c r="CO208" s="2"/>
      <c r="CP208" s="2"/>
      <c r="CQ208" s="2"/>
      <c r="CR208" s="2"/>
      <c r="CS208" s="2"/>
      <c r="CT208" s="2"/>
      <c r="CU208" s="2"/>
      <c r="CV208" s="2"/>
      <c r="CW208" s="2"/>
      <c r="CX208" s="2"/>
      <c r="CY208" s="2"/>
      <c r="CZ208" s="2"/>
    </row>
    <row r="209" spans="43:104" ht="15" hidden="1" customHeight="1" x14ac:dyDescent="0.2">
      <c r="AQ209" s="85"/>
      <c r="AR209" s="12">
        <v>1315000</v>
      </c>
      <c r="AS209" s="12">
        <v>1440000</v>
      </c>
      <c r="AT209" s="2"/>
      <c r="AU209" s="2"/>
      <c r="AV209" s="2"/>
      <c r="AW209" s="2"/>
      <c r="AX209" s="2"/>
      <c r="AY209" s="2"/>
      <c r="AZ209" s="2"/>
      <c r="BA209" s="2"/>
      <c r="BB209" s="2"/>
      <c r="BC209" s="2"/>
      <c r="BD209" s="2"/>
      <c r="BE209" s="2"/>
      <c r="BK209" s="84"/>
      <c r="BL209" s="2"/>
      <c r="BM209" s="2"/>
      <c r="BN209" s="2"/>
      <c r="BO209" s="2"/>
      <c r="BS209" s="11"/>
      <c r="BT209" s="2"/>
      <c r="BU209" s="3"/>
      <c r="BV209" s="3"/>
      <c r="BW209" s="2"/>
      <c r="BX209" s="2"/>
      <c r="BY209" s="2"/>
      <c r="BZ209" s="46"/>
      <c r="CA209" s="1"/>
      <c r="CB209" s="1"/>
      <c r="CC209" s="1"/>
      <c r="CD209" s="1"/>
      <c r="CE209" s="1"/>
      <c r="CF209" s="1"/>
      <c r="CG209" s="1"/>
      <c r="CH209" s="1"/>
      <c r="CI209" s="2"/>
      <c r="CJ209" s="2"/>
      <c r="CK209" s="2"/>
      <c r="CL209" s="2"/>
      <c r="CM209" s="2"/>
      <c r="CN209" s="2"/>
      <c r="CO209" s="2"/>
      <c r="CP209" s="2"/>
      <c r="CQ209" s="2"/>
      <c r="CR209" s="2"/>
      <c r="CS209" s="2"/>
      <c r="CT209" s="2"/>
      <c r="CU209" s="2"/>
      <c r="CV209" s="2"/>
      <c r="CW209" s="2"/>
      <c r="CX209" s="2"/>
      <c r="CY209" s="2"/>
      <c r="CZ209" s="2"/>
    </row>
    <row r="210" spans="43:104" ht="15" hidden="1" customHeight="1" x14ac:dyDescent="0.2">
      <c r="AQ210" s="12"/>
      <c r="AR210" s="12">
        <v>1320000</v>
      </c>
      <c r="AS210" s="12">
        <v>1450000</v>
      </c>
      <c r="AT210" s="2"/>
      <c r="AU210" s="2"/>
      <c r="AV210" s="2"/>
      <c r="AW210" s="2"/>
      <c r="AX210" s="2"/>
      <c r="AY210" s="2"/>
      <c r="AZ210" s="2"/>
      <c r="BA210" s="2"/>
      <c r="BB210" s="2"/>
      <c r="BC210" s="2"/>
      <c r="BD210" s="2"/>
      <c r="BE210" s="2"/>
      <c r="BK210" s="84"/>
      <c r="BL210" s="2"/>
      <c r="BM210" s="2"/>
      <c r="BN210" s="2"/>
      <c r="BO210" s="2"/>
      <c r="BS210" s="11"/>
      <c r="BT210" s="2"/>
      <c r="BU210" s="3"/>
      <c r="BV210" s="3"/>
      <c r="BW210" s="2"/>
      <c r="BX210" s="2"/>
      <c r="BY210" s="2"/>
      <c r="BZ210" s="2"/>
      <c r="CA210" s="46"/>
      <c r="CB210" s="1"/>
      <c r="CC210" s="1"/>
      <c r="CD210" s="1"/>
      <c r="CE210" s="1"/>
      <c r="CF210" s="1"/>
      <c r="CG210" s="1"/>
      <c r="CH210" s="1"/>
      <c r="CI210" s="2"/>
      <c r="CJ210" s="2"/>
      <c r="CK210" s="2"/>
      <c r="CL210" s="2"/>
      <c r="CM210" s="2"/>
      <c r="CN210" s="2"/>
      <c r="CO210" s="2"/>
      <c r="CP210" s="2"/>
      <c r="CQ210" s="2"/>
      <c r="CR210" s="2"/>
      <c r="CS210" s="2"/>
      <c r="CT210" s="2"/>
      <c r="CU210" s="2"/>
      <c r="CV210" s="2"/>
      <c r="CW210" s="2"/>
      <c r="CX210" s="2"/>
      <c r="CY210" s="2"/>
      <c r="CZ210" s="2"/>
    </row>
    <row r="211" spans="43:104" ht="15" hidden="1" customHeight="1" x14ac:dyDescent="0.2">
      <c r="AQ211" s="12"/>
      <c r="AR211" s="12">
        <v>1325000</v>
      </c>
      <c r="AS211" s="12">
        <v>1460000</v>
      </c>
      <c r="AT211" s="2"/>
      <c r="AU211" s="2"/>
      <c r="AV211" s="2"/>
      <c r="AW211" s="2"/>
      <c r="AX211" s="2"/>
      <c r="AY211" s="2"/>
      <c r="AZ211" s="2"/>
      <c r="BA211" s="2"/>
      <c r="BB211" s="2"/>
      <c r="BC211" s="2"/>
      <c r="BD211" s="2"/>
      <c r="BE211" s="2"/>
      <c r="BK211" s="84"/>
      <c r="BL211" s="2"/>
      <c r="BM211" s="2"/>
      <c r="BN211" s="2"/>
      <c r="BO211" s="2"/>
      <c r="BS211" s="11"/>
      <c r="BT211" s="2"/>
      <c r="BU211" s="3"/>
      <c r="BV211" s="3"/>
      <c r="BW211" s="2"/>
      <c r="BX211" s="2"/>
      <c r="BY211" s="2"/>
      <c r="BZ211" s="2"/>
      <c r="CA211" s="46"/>
      <c r="CB211" s="1"/>
      <c r="CC211" s="1"/>
      <c r="CD211" s="1"/>
      <c r="CE211" s="1"/>
      <c r="CF211" s="1"/>
      <c r="CG211" s="1"/>
      <c r="CH211" s="1"/>
      <c r="CI211" s="2"/>
      <c r="CJ211" s="2"/>
      <c r="CK211" s="2"/>
      <c r="CL211" s="2"/>
      <c r="CM211" s="2"/>
      <c r="CN211" s="2"/>
      <c r="CO211" s="2"/>
      <c r="CP211" s="2"/>
      <c r="CQ211" s="2"/>
      <c r="CR211" s="2"/>
      <c r="CS211" s="2"/>
      <c r="CT211" s="2"/>
      <c r="CU211" s="2"/>
      <c r="CV211" s="2"/>
      <c r="CW211" s="2"/>
      <c r="CX211" s="2"/>
      <c r="CY211" s="2"/>
      <c r="CZ211" s="2"/>
    </row>
    <row r="212" spans="43:104" ht="15" hidden="1" customHeight="1" x14ac:dyDescent="0.2">
      <c r="AQ212" s="13"/>
      <c r="AR212" s="12">
        <v>1330000</v>
      </c>
      <c r="AS212" s="12">
        <v>1470000</v>
      </c>
      <c r="AT212" s="2"/>
      <c r="AU212" s="2"/>
      <c r="AV212" s="2"/>
      <c r="AW212" s="2"/>
      <c r="AX212" s="2"/>
      <c r="AY212" s="2"/>
      <c r="AZ212" s="2"/>
      <c r="BA212" s="2"/>
      <c r="BB212" s="2"/>
      <c r="BC212" s="2"/>
      <c r="BD212" s="2"/>
      <c r="BE212" s="2"/>
      <c r="BK212" s="84"/>
      <c r="BL212" s="2"/>
      <c r="BM212" s="2"/>
      <c r="BN212" s="2"/>
      <c r="BO212" s="2"/>
      <c r="BS212" s="11"/>
      <c r="BT212" s="2"/>
      <c r="BU212" s="3"/>
      <c r="BV212" s="3"/>
      <c r="BW212" s="2"/>
      <c r="BX212" s="2"/>
      <c r="BY212" s="2"/>
      <c r="BZ212" s="2"/>
      <c r="CA212" s="46"/>
      <c r="CB212" s="1"/>
      <c r="CC212" s="1"/>
      <c r="CD212" s="1"/>
      <c r="CE212" s="1"/>
      <c r="CF212" s="1"/>
      <c r="CG212" s="1"/>
      <c r="CH212" s="1"/>
      <c r="CI212" s="2"/>
      <c r="CJ212" s="2"/>
      <c r="CK212" s="2"/>
      <c r="CL212" s="2"/>
      <c r="CM212" s="2"/>
      <c r="CN212" s="2"/>
      <c r="CO212" s="2"/>
      <c r="CP212" s="2"/>
      <c r="CQ212" s="2"/>
      <c r="CR212" s="2"/>
      <c r="CS212" s="2"/>
      <c r="CT212" s="2"/>
      <c r="CU212" s="2"/>
      <c r="CV212" s="2"/>
      <c r="CW212" s="2"/>
      <c r="CX212" s="2"/>
      <c r="CY212" s="2"/>
      <c r="CZ212" s="2"/>
    </row>
    <row r="213" spans="43:104" ht="15" hidden="1" customHeight="1" x14ac:dyDescent="0.2">
      <c r="AQ213" s="13"/>
      <c r="AR213" s="12">
        <v>1335000</v>
      </c>
      <c r="AS213" s="12">
        <v>1480000</v>
      </c>
      <c r="AT213" s="2"/>
      <c r="AU213" s="2"/>
      <c r="AV213" s="2"/>
      <c r="AW213" s="2"/>
      <c r="AX213" s="2"/>
      <c r="AY213" s="2"/>
      <c r="AZ213" s="2"/>
      <c r="BA213" s="2"/>
      <c r="BB213" s="2"/>
      <c r="BC213" s="2"/>
      <c r="BD213" s="2"/>
      <c r="BE213" s="2"/>
      <c r="BK213" s="84"/>
      <c r="BL213" s="2"/>
      <c r="BM213" s="2"/>
      <c r="BN213" s="2"/>
      <c r="BO213" s="2"/>
      <c r="BS213" s="11"/>
      <c r="BT213" s="2"/>
      <c r="BU213" s="3"/>
      <c r="BV213" s="3"/>
      <c r="BW213" s="2"/>
      <c r="BX213" s="2"/>
      <c r="BY213" s="2"/>
      <c r="BZ213" s="2"/>
      <c r="CA213" s="46"/>
      <c r="CB213" s="1"/>
      <c r="CC213" s="7"/>
      <c r="CD213" s="1"/>
      <c r="CE213" s="1"/>
      <c r="CF213" s="1"/>
      <c r="CG213" s="1"/>
      <c r="CH213" s="1"/>
      <c r="CI213" s="2"/>
      <c r="CJ213" s="2"/>
      <c r="CK213" s="2"/>
      <c r="CL213" s="2"/>
      <c r="CM213" s="2"/>
      <c r="CN213" s="2"/>
      <c r="CO213" s="2"/>
      <c r="CP213" s="2"/>
      <c r="CQ213" s="2"/>
      <c r="CR213" s="2"/>
      <c r="CS213" s="2"/>
      <c r="CT213" s="2"/>
      <c r="CU213" s="2"/>
      <c r="CV213" s="2"/>
      <c r="CW213" s="2"/>
      <c r="CX213" s="2"/>
      <c r="CY213" s="2"/>
      <c r="CZ213" s="2"/>
    </row>
    <row r="214" spans="43:104" ht="15" hidden="1" customHeight="1" x14ac:dyDescent="0.2">
      <c r="AQ214" s="85"/>
      <c r="AR214" s="12">
        <v>1340000</v>
      </c>
      <c r="AS214" s="12">
        <v>1490000</v>
      </c>
      <c r="AT214" s="2"/>
      <c r="AU214" s="2"/>
      <c r="AV214" s="2"/>
      <c r="AW214" s="2"/>
      <c r="AX214" s="2"/>
      <c r="AY214" s="2"/>
      <c r="AZ214" s="2"/>
      <c r="BA214" s="2"/>
      <c r="BB214" s="2"/>
      <c r="BC214" s="2"/>
      <c r="BD214" s="2"/>
      <c r="BE214" s="2"/>
      <c r="BK214" s="84"/>
      <c r="BL214" s="2"/>
      <c r="BM214" s="2"/>
      <c r="BN214" s="2"/>
      <c r="BO214" s="2"/>
      <c r="BS214" s="11"/>
      <c r="BT214" s="2"/>
      <c r="BU214" s="3"/>
      <c r="BV214" s="3"/>
      <c r="BW214" s="2"/>
      <c r="BX214" s="2"/>
      <c r="BY214" s="2"/>
      <c r="BZ214" s="2"/>
      <c r="CA214" s="46"/>
      <c r="CB214" s="1"/>
      <c r="CC214" s="7"/>
      <c r="CD214" s="1"/>
      <c r="CE214" s="1"/>
      <c r="CF214" s="1"/>
      <c r="CG214" s="1"/>
      <c r="CH214" s="1"/>
      <c r="CI214" s="2"/>
      <c r="CJ214" s="2"/>
      <c r="CK214" s="2"/>
      <c r="CL214" s="2"/>
      <c r="CM214" s="2"/>
      <c r="CN214" s="2"/>
      <c r="CO214" s="2"/>
      <c r="CP214" s="2"/>
      <c r="CQ214" s="2"/>
      <c r="CR214" s="2"/>
      <c r="CS214" s="2"/>
      <c r="CT214" s="2"/>
      <c r="CU214" s="2"/>
      <c r="CV214" s="2"/>
      <c r="CW214" s="2"/>
      <c r="CX214" s="2"/>
      <c r="CY214" s="2"/>
      <c r="CZ214" s="2"/>
    </row>
    <row r="215" spans="43:104" ht="15" hidden="1" customHeight="1" x14ac:dyDescent="0.2">
      <c r="AQ215" s="12"/>
      <c r="AR215" s="12">
        <v>1345000</v>
      </c>
      <c r="AS215" s="12">
        <v>1500000</v>
      </c>
      <c r="AT215" s="2"/>
      <c r="AU215" s="2"/>
      <c r="AV215" s="2"/>
      <c r="AW215" s="2"/>
      <c r="AX215" s="2"/>
      <c r="AY215" s="2"/>
      <c r="AZ215" s="2"/>
      <c r="BA215" s="2"/>
      <c r="BB215" s="2"/>
      <c r="BC215" s="2"/>
      <c r="BD215" s="2"/>
      <c r="BE215" s="2"/>
      <c r="BK215" s="84"/>
      <c r="BL215" s="2"/>
      <c r="BM215" s="2"/>
      <c r="BN215" s="2"/>
      <c r="BO215" s="2"/>
      <c r="BS215" s="11"/>
      <c r="BT215" s="2"/>
      <c r="BU215" s="3"/>
      <c r="BV215" s="3"/>
      <c r="BW215" s="2"/>
      <c r="BX215" s="2"/>
      <c r="BY215" s="2"/>
      <c r="BZ215" s="2"/>
      <c r="CA215" s="2"/>
      <c r="CB215" s="2"/>
      <c r="CC215" s="2"/>
      <c r="CD215" s="1"/>
      <c r="CE215" s="1"/>
      <c r="CF215" s="1"/>
      <c r="CG215" s="1"/>
      <c r="CH215" s="1"/>
      <c r="CI215" s="2"/>
      <c r="CJ215" s="2"/>
      <c r="CK215" s="2"/>
      <c r="CL215" s="2"/>
      <c r="CM215" s="2"/>
      <c r="CN215" s="2"/>
      <c r="CO215" s="2"/>
      <c r="CP215" s="2"/>
      <c r="CQ215" s="2"/>
      <c r="CR215" s="2"/>
      <c r="CS215" s="2"/>
      <c r="CT215" s="2"/>
      <c r="CU215" s="2"/>
      <c r="CV215" s="2"/>
      <c r="CW215" s="2"/>
      <c r="CX215" s="2"/>
      <c r="CY215" s="2"/>
      <c r="CZ215" s="2"/>
    </row>
    <row r="216" spans="43:104" ht="15" hidden="1" customHeight="1" x14ac:dyDescent="0.2">
      <c r="AQ216" s="12"/>
      <c r="AR216" s="12">
        <v>1350000</v>
      </c>
      <c r="AS216" s="12">
        <v>1510000</v>
      </c>
      <c r="AT216" s="2"/>
      <c r="AU216" s="2"/>
      <c r="AV216" s="2"/>
      <c r="AW216" s="2"/>
      <c r="AX216" s="2"/>
      <c r="AY216" s="2"/>
      <c r="AZ216" s="2"/>
      <c r="BA216" s="2"/>
      <c r="BB216" s="2"/>
      <c r="BC216" s="2"/>
      <c r="BD216" s="2"/>
      <c r="BE216" s="2"/>
      <c r="BK216" s="84"/>
      <c r="BL216" s="2"/>
      <c r="BM216" s="2"/>
      <c r="BN216" s="2"/>
      <c r="BO216" s="2"/>
      <c r="BS216" s="11"/>
      <c r="BT216" s="2"/>
      <c r="BU216" s="3"/>
      <c r="BV216" s="3"/>
      <c r="BW216" s="2"/>
      <c r="BX216" s="2"/>
      <c r="BY216" s="2"/>
      <c r="BZ216" s="2"/>
      <c r="CA216" s="2"/>
      <c r="CB216" s="2"/>
      <c r="CC216" s="2"/>
      <c r="CD216" s="1"/>
      <c r="CE216" s="1"/>
      <c r="CF216" s="1"/>
      <c r="CG216" s="1"/>
      <c r="CH216" s="1"/>
      <c r="CI216" s="2"/>
      <c r="CJ216" s="2"/>
      <c r="CK216" s="2"/>
      <c r="CL216" s="2"/>
      <c r="CM216" s="2"/>
      <c r="CN216" s="2"/>
      <c r="CO216" s="2"/>
      <c r="CP216" s="2"/>
      <c r="CQ216" s="2"/>
      <c r="CR216" s="2"/>
      <c r="CS216" s="2"/>
      <c r="CT216" s="2"/>
      <c r="CU216" s="2"/>
      <c r="CV216" s="2"/>
      <c r="CW216" s="2"/>
      <c r="CX216" s="2"/>
      <c r="CY216" s="2"/>
      <c r="CZ216" s="2"/>
    </row>
    <row r="217" spans="43:104" ht="15" hidden="1" customHeight="1" x14ac:dyDescent="0.2">
      <c r="AQ217" s="13"/>
      <c r="AR217" s="12">
        <v>1355000</v>
      </c>
      <c r="AS217" s="12">
        <v>1520000</v>
      </c>
      <c r="AT217" s="2"/>
      <c r="AU217" s="2"/>
      <c r="AV217" s="2"/>
      <c r="AW217" s="2"/>
      <c r="AX217" s="2"/>
      <c r="AY217" s="2"/>
      <c r="AZ217" s="2"/>
      <c r="BA217" s="2"/>
      <c r="BB217" s="2"/>
      <c r="BC217" s="2"/>
      <c r="BD217" s="2"/>
      <c r="BE217" s="2"/>
      <c r="BK217" s="84"/>
      <c r="BL217" s="2"/>
      <c r="BM217" s="2"/>
      <c r="BN217" s="2"/>
      <c r="BO217" s="2"/>
      <c r="BS217" s="11"/>
      <c r="BT217" s="2"/>
      <c r="BU217" s="3"/>
      <c r="BV217" s="3"/>
      <c r="BW217" s="2"/>
      <c r="BX217" s="2"/>
      <c r="BY217" s="2"/>
      <c r="BZ217" s="2"/>
      <c r="CA217" s="2"/>
      <c r="CB217" s="2"/>
      <c r="CC217" s="2"/>
      <c r="CD217" s="1"/>
      <c r="CE217" s="1"/>
      <c r="CF217" s="1"/>
      <c r="CG217" s="1"/>
      <c r="CH217" s="1"/>
      <c r="CI217" s="2"/>
      <c r="CJ217" s="2"/>
      <c r="CK217" s="2"/>
      <c r="CL217" s="2"/>
      <c r="CM217" s="2"/>
      <c r="CN217" s="2"/>
      <c r="CO217" s="2"/>
      <c r="CP217" s="2"/>
      <c r="CQ217" s="2"/>
      <c r="CR217" s="2"/>
      <c r="CS217" s="2"/>
      <c r="CT217" s="2"/>
      <c r="CU217" s="2"/>
      <c r="CV217" s="2"/>
      <c r="CW217" s="2"/>
      <c r="CX217" s="2"/>
      <c r="CY217" s="2"/>
      <c r="CZ217" s="2"/>
    </row>
    <row r="218" spans="43:104" ht="15" hidden="1" customHeight="1" x14ac:dyDescent="0.2">
      <c r="AQ218" s="13"/>
      <c r="AR218" s="12">
        <v>1360000</v>
      </c>
      <c r="AS218" s="12">
        <v>1530000</v>
      </c>
      <c r="AT218" s="2"/>
      <c r="AU218" s="2"/>
      <c r="AV218" s="2"/>
      <c r="AW218" s="2"/>
      <c r="AX218" s="2"/>
      <c r="AY218" s="2"/>
      <c r="AZ218" s="2"/>
      <c r="BA218" s="2"/>
      <c r="BB218" s="2"/>
      <c r="BC218" s="2"/>
      <c r="BD218" s="2"/>
      <c r="BE218" s="2"/>
      <c r="BK218" s="84"/>
      <c r="BL218" s="2"/>
      <c r="BM218" s="2"/>
      <c r="BN218" s="2"/>
      <c r="BO218" s="2"/>
      <c r="BS218" s="11"/>
      <c r="BT218" s="2"/>
      <c r="BU218" s="3"/>
      <c r="BV218" s="3"/>
      <c r="BW218" s="2"/>
      <c r="BX218" s="2"/>
      <c r="BY218" s="2"/>
      <c r="BZ218" s="2"/>
      <c r="CA218" s="2"/>
      <c r="CB218" s="2"/>
      <c r="CC218" s="2"/>
      <c r="CD218" s="1"/>
      <c r="CE218" s="1"/>
      <c r="CF218" s="1"/>
      <c r="CG218" s="1"/>
      <c r="CH218" s="1"/>
      <c r="CI218" s="2"/>
      <c r="CJ218" s="2"/>
      <c r="CK218" s="2"/>
      <c r="CL218" s="2"/>
      <c r="CM218" s="2"/>
      <c r="CN218" s="2"/>
      <c r="CO218" s="2"/>
      <c r="CP218" s="2"/>
      <c r="CQ218" s="2"/>
      <c r="CR218" s="2"/>
      <c r="CS218" s="2"/>
      <c r="CT218" s="2"/>
      <c r="CU218" s="2"/>
      <c r="CV218" s="2"/>
      <c r="CW218" s="2"/>
      <c r="CX218" s="2"/>
      <c r="CY218" s="2"/>
      <c r="CZ218" s="2"/>
    </row>
    <row r="219" spans="43:104" ht="15" hidden="1" customHeight="1" x14ac:dyDescent="0.2">
      <c r="AQ219" s="85"/>
      <c r="AR219" s="12">
        <v>1365000</v>
      </c>
      <c r="AS219" s="12">
        <v>1540000</v>
      </c>
      <c r="AT219" s="2"/>
      <c r="AU219" s="2"/>
      <c r="AV219" s="2"/>
      <c r="AW219" s="2"/>
      <c r="AX219" s="2"/>
      <c r="AY219" s="2"/>
      <c r="AZ219" s="2"/>
      <c r="BA219" s="2"/>
      <c r="BB219" s="2"/>
      <c r="BC219" s="2"/>
      <c r="BD219" s="2"/>
      <c r="BE219" s="2"/>
      <c r="BK219" s="84"/>
      <c r="BL219" s="2"/>
      <c r="BM219" s="2"/>
      <c r="BN219" s="2"/>
      <c r="BO219" s="2"/>
      <c r="BS219" s="11"/>
      <c r="BT219" s="2"/>
      <c r="BU219" s="3"/>
      <c r="BV219" s="3"/>
      <c r="BW219" s="2"/>
      <c r="BX219" s="2"/>
      <c r="BY219" s="2"/>
      <c r="BZ219" s="2"/>
      <c r="CA219" s="46"/>
      <c r="CB219" s="1"/>
      <c r="CC219" s="1"/>
      <c r="CD219" s="1"/>
      <c r="CE219" s="1"/>
      <c r="CF219" s="1"/>
      <c r="CG219" s="1"/>
      <c r="CH219" s="1"/>
      <c r="CI219" s="2"/>
      <c r="CJ219" s="2"/>
      <c r="CK219" s="2"/>
      <c r="CL219" s="2"/>
      <c r="CM219" s="2"/>
      <c r="CN219" s="2"/>
      <c r="CO219" s="2"/>
      <c r="CP219" s="2"/>
      <c r="CQ219" s="2"/>
      <c r="CR219" s="2"/>
      <c r="CS219" s="2"/>
      <c r="CT219" s="2"/>
      <c r="CU219" s="2"/>
      <c r="CV219" s="2"/>
      <c r="CW219" s="2"/>
      <c r="CX219" s="2"/>
      <c r="CY219" s="2"/>
      <c r="CZ219" s="2"/>
    </row>
    <row r="220" spans="43:104" ht="15" hidden="1" customHeight="1" x14ac:dyDescent="0.2">
      <c r="AQ220" s="12"/>
      <c r="AR220" s="12">
        <v>1370000</v>
      </c>
      <c r="AS220" s="12">
        <v>1550000</v>
      </c>
      <c r="AT220" s="2"/>
      <c r="AU220" s="2"/>
      <c r="AV220" s="2"/>
      <c r="AW220" s="2"/>
      <c r="AX220" s="2"/>
      <c r="AY220" s="2"/>
      <c r="AZ220" s="2"/>
      <c r="BA220" s="2"/>
      <c r="BB220" s="2"/>
      <c r="BC220" s="2"/>
      <c r="BD220" s="2"/>
      <c r="BE220" s="2"/>
      <c r="BK220" s="84"/>
      <c r="BL220" s="2"/>
      <c r="BM220" s="2"/>
      <c r="BN220" s="2"/>
      <c r="BO220" s="2"/>
      <c r="BS220" s="11"/>
      <c r="BT220" s="2"/>
      <c r="BU220" s="3"/>
      <c r="BV220" s="3"/>
      <c r="BW220" s="2"/>
      <c r="BX220" s="2"/>
      <c r="BY220" s="2"/>
      <c r="BZ220" s="46"/>
      <c r="CA220" s="1"/>
      <c r="CB220" s="1"/>
      <c r="CC220" s="1"/>
      <c r="CD220" s="1"/>
      <c r="CE220" s="1"/>
      <c r="CF220" s="1"/>
      <c r="CG220" s="1"/>
      <c r="CH220" s="1"/>
      <c r="CI220" s="2"/>
      <c r="CJ220" s="2"/>
      <c r="CK220" s="2"/>
      <c r="CL220" s="2"/>
      <c r="CM220" s="2"/>
      <c r="CN220" s="2"/>
      <c r="CO220" s="2"/>
      <c r="CP220" s="2"/>
      <c r="CQ220" s="2"/>
      <c r="CR220" s="2"/>
      <c r="CS220" s="2"/>
      <c r="CT220" s="2"/>
      <c r="CU220" s="2"/>
      <c r="CV220" s="2"/>
      <c r="CW220" s="2"/>
      <c r="CX220" s="2"/>
      <c r="CY220" s="2"/>
      <c r="CZ220" s="2"/>
    </row>
    <row r="221" spans="43:104" ht="15" hidden="1" customHeight="1" x14ac:dyDescent="0.2">
      <c r="AQ221" s="12"/>
      <c r="AR221" s="12">
        <v>1375000</v>
      </c>
      <c r="AS221" s="12">
        <v>1560000</v>
      </c>
      <c r="AT221" s="2"/>
      <c r="AU221" s="2"/>
      <c r="AV221" s="2"/>
      <c r="AW221" s="2"/>
      <c r="AX221" s="2"/>
      <c r="AY221" s="2"/>
      <c r="AZ221" s="2"/>
      <c r="BA221" s="2"/>
      <c r="BB221" s="2"/>
      <c r="BC221" s="2"/>
      <c r="BD221" s="2"/>
      <c r="BE221" s="2"/>
      <c r="BK221" s="84"/>
      <c r="BL221" s="2"/>
      <c r="BM221" s="2"/>
      <c r="BN221" s="2"/>
      <c r="BO221" s="2"/>
      <c r="BS221" s="11"/>
      <c r="BT221" s="2"/>
      <c r="BU221" s="3"/>
      <c r="BV221" s="3"/>
      <c r="BW221" s="2"/>
      <c r="BX221" s="2"/>
      <c r="BY221" s="2"/>
      <c r="BZ221" s="2"/>
      <c r="CA221" s="46"/>
      <c r="CB221" s="1"/>
      <c r="CC221" s="7"/>
      <c r="CD221" s="1"/>
      <c r="CE221" s="1"/>
      <c r="CF221" s="1"/>
      <c r="CG221" s="1"/>
      <c r="CH221" s="1"/>
      <c r="CI221" s="2"/>
      <c r="CJ221" s="2"/>
      <c r="CK221" s="2"/>
      <c r="CL221" s="2"/>
      <c r="CM221" s="2"/>
      <c r="CN221" s="2"/>
      <c r="CO221" s="2"/>
      <c r="CP221" s="2"/>
      <c r="CQ221" s="2"/>
      <c r="CR221" s="2"/>
      <c r="CS221" s="2"/>
      <c r="CT221" s="2"/>
      <c r="CU221" s="2"/>
      <c r="CV221" s="2"/>
      <c r="CW221" s="2"/>
      <c r="CX221" s="2"/>
      <c r="CY221" s="2"/>
      <c r="CZ221" s="2"/>
    </row>
    <row r="222" spans="43:104" ht="15" hidden="1" customHeight="1" x14ac:dyDescent="0.2">
      <c r="AQ222" s="13"/>
      <c r="AR222" s="12">
        <v>1380000</v>
      </c>
      <c r="AS222" s="12">
        <v>1570000</v>
      </c>
      <c r="AT222" s="2"/>
      <c r="AU222" s="2"/>
      <c r="AV222" s="2"/>
      <c r="AW222" s="2"/>
      <c r="AX222" s="2"/>
      <c r="AY222" s="2"/>
      <c r="AZ222" s="2"/>
      <c r="BA222" s="2"/>
      <c r="BB222" s="2"/>
      <c r="BC222" s="2"/>
      <c r="BD222" s="2"/>
      <c r="BE222" s="2"/>
      <c r="BK222" s="84"/>
      <c r="BL222" s="2"/>
      <c r="BM222" s="2"/>
      <c r="BN222" s="2"/>
      <c r="BO222" s="2"/>
      <c r="BS222" s="11"/>
      <c r="BT222" s="2"/>
      <c r="BU222" s="3"/>
      <c r="BV222" s="3"/>
      <c r="BW222" s="2"/>
      <c r="BX222" s="2"/>
      <c r="BY222" s="2"/>
      <c r="BZ222" s="2"/>
      <c r="CA222" s="2"/>
      <c r="CB222" s="2"/>
      <c r="CC222" s="2"/>
      <c r="CD222" s="1"/>
      <c r="CE222" s="1"/>
      <c r="CF222" s="1"/>
      <c r="CG222" s="1"/>
      <c r="CH222" s="1"/>
      <c r="CI222" s="2"/>
      <c r="CJ222" s="2"/>
      <c r="CK222" s="2"/>
      <c r="CL222" s="2"/>
      <c r="CM222" s="2"/>
      <c r="CN222" s="2"/>
      <c r="CO222" s="2"/>
      <c r="CP222" s="2"/>
      <c r="CQ222" s="2"/>
      <c r="CR222" s="2"/>
      <c r="CS222" s="2"/>
      <c r="CT222" s="2"/>
      <c r="CU222" s="2"/>
      <c r="CV222" s="2"/>
      <c r="CW222" s="2"/>
      <c r="CX222" s="2"/>
      <c r="CY222" s="2"/>
      <c r="CZ222" s="2"/>
    </row>
    <row r="223" spans="43:104" ht="15" hidden="1" customHeight="1" x14ac:dyDescent="0.2">
      <c r="AQ223" s="13"/>
      <c r="AR223" s="12">
        <v>1385000</v>
      </c>
      <c r="AS223" s="12">
        <v>1580000</v>
      </c>
      <c r="AT223" s="2"/>
      <c r="AU223" s="2"/>
      <c r="AV223" s="2"/>
      <c r="AW223" s="2"/>
      <c r="AX223" s="2"/>
      <c r="AY223" s="2"/>
      <c r="AZ223" s="2"/>
      <c r="BA223" s="2"/>
      <c r="BB223" s="2"/>
      <c r="BC223" s="2"/>
      <c r="BD223" s="2"/>
      <c r="BE223" s="2"/>
      <c r="BK223" s="84"/>
      <c r="BL223" s="2"/>
      <c r="BM223" s="2"/>
      <c r="BN223" s="2"/>
      <c r="BO223" s="2"/>
      <c r="BS223" s="11"/>
      <c r="BT223" s="2"/>
      <c r="BU223" s="3"/>
      <c r="BV223" s="3"/>
      <c r="BW223" s="2"/>
      <c r="BX223" s="2"/>
      <c r="BY223" s="2"/>
      <c r="BZ223" s="2"/>
      <c r="CA223" s="2"/>
      <c r="CB223" s="2"/>
      <c r="CC223" s="2"/>
      <c r="CD223" s="1"/>
      <c r="CE223" s="1"/>
      <c r="CF223" s="1"/>
      <c r="CG223" s="1"/>
      <c r="CH223" s="1"/>
      <c r="CI223" s="2"/>
      <c r="CJ223" s="2"/>
      <c r="CK223" s="2"/>
      <c r="CL223" s="2"/>
      <c r="CM223" s="2"/>
      <c r="CN223" s="2"/>
      <c r="CO223" s="2"/>
      <c r="CP223" s="2"/>
      <c r="CQ223" s="2"/>
      <c r="CR223" s="2"/>
      <c r="CS223" s="2"/>
      <c r="CT223" s="2"/>
      <c r="CU223" s="2"/>
      <c r="CV223" s="2"/>
      <c r="CW223" s="2"/>
      <c r="CX223" s="2"/>
      <c r="CY223" s="2"/>
      <c r="CZ223" s="2"/>
    </row>
    <row r="224" spans="43:104" ht="15" hidden="1" customHeight="1" x14ac:dyDescent="0.2">
      <c r="AQ224" s="85"/>
      <c r="AR224" s="12">
        <v>1390000</v>
      </c>
      <c r="AS224" s="12">
        <v>1590000</v>
      </c>
      <c r="AT224" s="2"/>
      <c r="AU224" s="2"/>
      <c r="AV224" s="2"/>
      <c r="AW224" s="2"/>
      <c r="AX224" s="2"/>
      <c r="AY224" s="2"/>
      <c r="AZ224" s="2"/>
      <c r="BA224" s="2"/>
      <c r="BB224" s="2"/>
      <c r="BC224" s="2"/>
      <c r="BD224" s="2"/>
      <c r="BE224" s="2"/>
      <c r="BK224" s="84"/>
      <c r="BL224" s="2"/>
      <c r="BM224" s="2"/>
      <c r="BN224" s="2"/>
      <c r="BO224" s="2"/>
      <c r="BS224" s="11"/>
      <c r="BT224" s="2"/>
      <c r="BU224" s="3"/>
      <c r="BV224" s="3"/>
      <c r="BW224" s="2"/>
      <c r="BX224" s="2"/>
      <c r="BY224" s="2"/>
      <c r="BZ224" s="2"/>
      <c r="CA224" s="2"/>
      <c r="CB224" s="2"/>
      <c r="CC224" s="2"/>
      <c r="CD224" s="1"/>
      <c r="CE224" s="1"/>
      <c r="CF224" s="1"/>
      <c r="CG224" s="1"/>
      <c r="CH224" s="1"/>
      <c r="CI224" s="2"/>
      <c r="CJ224" s="2"/>
      <c r="CK224" s="2"/>
      <c r="CL224" s="2"/>
      <c r="CM224" s="2"/>
      <c r="CN224" s="2"/>
      <c r="CO224" s="2"/>
      <c r="CP224" s="2"/>
      <c r="CQ224" s="2"/>
      <c r="CR224" s="2"/>
      <c r="CS224" s="2"/>
      <c r="CT224" s="2"/>
      <c r="CU224" s="2"/>
      <c r="CV224" s="2"/>
      <c r="CW224" s="2"/>
      <c r="CX224" s="2"/>
      <c r="CY224" s="2"/>
      <c r="CZ224" s="2"/>
    </row>
    <row r="225" spans="43:104" ht="15" hidden="1" customHeight="1" x14ac:dyDescent="0.2">
      <c r="AQ225" s="12"/>
      <c r="AR225" s="12">
        <v>1395000</v>
      </c>
      <c r="AS225" s="12">
        <v>1600000</v>
      </c>
      <c r="AT225" s="2"/>
      <c r="AU225" s="2"/>
      <c r="AV225" s="2"/>
      <c r="AW225" s="2"/>
      <c r="AX225" s="2"/>
      <c r="AY225" s="2"/>
      <c r="AZ225" s="2"/>
      <c r="BA225" s="2"/>
      <c r="BB225" s="2"/>
      <c r="BC225" s="2"/>
      <c r="BD225" s="2"/>
      <c r="BE225" s="2"/>
      <c r="BK225" s="84"/>
      <c r="BL225" s="2"/>
      <c r="BM225" s="2"/>
      <c r="BN225" s="2"/>
      <c r="BO225" s="2"/>
      <c r="BS225" s="11"/>
      <c r="BT225" s="2"/>
      <c r="BU225" s="3"/>
      <c r="BV225" s="3"/>
      <c r="BW225" s="2"/>
      <c r="BX225" s="2"/>
      <c r="BY225" s="2"/>
      <c r="BZ225" s="2"/>
      <c r="CA225" s="2"/>
      <c r="CB225" s="2"/>
      <c r="CC225" s="2"/>
      <c r="CD225" s="1"/>
      <c r="CE225" s="1"/>
      <c r="CF225" s="1"/>
      <c r="CG225" s="1"/>
      <c r="CH225" s="1"/>
      <c r="CI225" s="2"/>
      <c r="CJ225" s="2"/>
      <c r="CK225" s="2"/>
      <c r="CL225" s="2"/>
      <c r="CM225" s="2"/>
      <c r="CN225" s="2"/>
      <c r="CO225" s="2"/>
      <c r="CP225" s="2"/>
      <c r="CQ225" s="2"/>
      <c r="CR225" s="2"/>
      <c r="CS225" s="2"/>
      <c r="CT225" s="2"/>
      <c r="CU225" s="2"/>
      <c r="CV225" s="2"/>
      <c r="CW225" s="2"/>
      <c r="CX225" s="2"/>
      <c r="CY225" s="2"/>
      <c r="CZ225" s="2"/>
    </row>
    <row r="226" spans="43:104" ht="15" hidden="1" customHeight="1" x14ac:dyDescent="0.2">
      <c r="AQ226" s="12"/>
      <c r="AR226" s="12">
        <v>1400000</v>
      </c>
      <c r="AS226" s="12">
        <v>1610000</v>
      </c>
      <c r="AT226" s="2"/>
      <c r="AU226" s="2"/>
      <c r="AV226" s="2"/>
      <c r="AW226" s="2"/>
      <c r="AX226" s="2"/>
      <c r="AY226" s="2"/>
      <c r="AZ226" s="2"/>
      <c r="BA226" s="2"/>
      <c r="BB226" s="2"/>
      <c r="BC226" s="2"/>
      <c r="BD226" s="2"/>
      <c r="BE226" s="2"/>
      <c r="BK226" s="84"/>
      <c r="BL226" s="2"/>
      <c r="BM226" s="2"/>
      <c r="BN226" s="2"/>
      <c r="BO226" s="2"/>
      <c r="BS226" s="11"/>
      <c r="BT226" s="2"/>
      <c r="BU226" s="3"/>
      <c r="BV226" s="3"/>
      <c r="BW226" s="2"/>
      <c r="BX226" s="2"/>
      <c r="BY226" s="2"/>
      <c r="BZ226" s="2"/>
      <c r="CA226" s="2"/>
      <c r="CB226" s="2"/>
      <c r="CC226" s="2"/>
      <c r="CD226" s="1"/>
      <c r="CE226" s="1"/>
      <c r="CF226" s="1"/>
      <c r="CG226" s="1"/>
      <c r="CH226" s="1"/>
      <c r="CI226" s="2"/>
      <c r="CJ226" s="2"/>
      <c r="CK226" s="2"/>
      <c r="CL226" s="2"/>
      <c r="CM226" s="2"/>
      <c r="CN226" s="2"/>
      <c r="CO226" s="2"/>
      <c r="CP226" s="2"/>
      <c r="CQ226" s="2"/>
      <c r="CR226" s="2"/>
      <c r="CS226" s="2"/>
      <c r="CT226" s="2"/>
      <c r="CU226" s="2"/>
      <c r="CV226" s="2"/>
      <c r="CW226" s="2"/>
      <c r="CX226" s="2"/>
      <c r="CY226" s="2"/>
      <c r="CZ226" s="2"/>
    </row>
    <row r="227" spans="43:104" ht="15" hidden="1" customHeight="1" x14ac:dyDescent="0.2">
      <c r="AQ227" s="13"/>
      <c r="AR227" s="12">
        <v>1405000</v>
      </c>
      <c r="AS227" s="12">
        <v>1620000</v>
      </c>
      <c r="AT227" s="2"/>
      <c r="AU227" s="2"/>
      <c r="AV227" s="2"/>
      <c r="AW227" s="2"/>
      <c r="AX227" s="2"/>
      <c r="AY227" s="2"/>
      <c r="AZ227" s="2"/>
      <c r="BA227" s="2"/>
      <c r="BB227" s="2"/>
      <c r="BC227" s="2"/>
      <c r="BD227" s="2"/>
      <c r="BE227" s="2"/>
      <c r="BK227" s="84"/>
      <c r="BL227" s="2"/>
      <c r="BM227" s="2"/>
      <c r="BN227" s="2"/>
      <c r="BO227" s="2"/>
      <c r="BS227" s="11"/>
      <c r="BT227" s="2"/>
      <c r="BU227" s="3"/>
      <c r="BV227" s="3"/>
      <c r="BW227" s="2"/>
      <c r="BX227" s="2"/>
      <c r="BY227" s="2"/>
      <c r="BZ227" s="2"/>
      <c r="CA227" s="2"/>
      <c r="CB227" s="2"/>
      <c r="CC227" s="2"/>
      <c r="CD227" s="1"/>
      <c r="CE227" s="1"/>
      <c r="CF227" s="1"/>
      <c r="CG227" s="1"/>
      <c r="CH227" s="1"/>
      <c r="CI227" s="2"/>
      <c r="CJ227" s="2"/>
      <c r="CK227" s="2"/>
      <c r="CL227" s="2"/>
      <c r="CM227" s="2"/>
      <c r="CN227" s="2"/>
      <c r="CO227" s="2"/>
      <c r="CP227" s="2"/>
      <c r="CQ227" s="2"/>
      <c r="CR227" s="2"/>
      <c r="CS227" s="2"/>
      <c r="CT227" s="2"/>
      <c r="CU227" s="2"/>
      <c r="CV227" s="2"/>
      <c r="CW227" s="2"/>
      <c r="CX227" s="2"/>
      <c r="CY227" s="2"/>
      <c r="CZ227" s="2"/>
    </row>
    <row r="228" spans="43:104" ht="15" hidden="1" customHeight="1" x14ac:dyDescent="0.2">
      <c r="AQ228" s="13"/>
      <c r="AR228" s="12">
        <v>1410000</v>
      </c>
      <c r="AS228" s="12">
        <v>1630000</v>
      </c>
      <c r="AT228" s="2"/>
      <c r="AU228" s="2"/>
      <c r="AV228" s="2"/>
      <c r="AW228" s="2"/>
      <c r="AX228" s="2"/>
      <c r="AY228" s="2"/>
      <c r="AZ228" s="2"/>
      <c r="BA228" s="2"/>
      <c r="BB228" s="2"/>
      <c r="BC228" s="2"/>
      <c r="BD228" s="2"/>
      <c r="BE228" s="2"/>
      <c r="BK228" s="2"/>
      <c r="BM228" s="2"/>
      <c r="BN228" s="2"/>
      <c r="BO228" s="2"/>
      <c r="BS228" s="11"/>
      <c r="BT228" s="2"/>
      <c r="BU228" s="3"/>
      <c r="BV228" s="3"/>
      <c r="BW228" s="2"/>
      <c r="BX228" s="2"/>
      <c r="BY228" s="2"/>
      <c r="BZ228" s="2"/>
      <c r="CA228" s="2"/>
      <c r="CB228" s="2"/>
      <c r="CC228" s="2"/>
      <c r="CD228" s="1"/>
      <c r="CE228" s="1"/>
      <c r="CF228" s="1"/>
      <c r="CG228" s="1"/>
      <c r="CH228" s="1"/>
      <c r="CI228" s="2"/>
      <c r="CJ228" s="2"/>
      <c r="CK228" s="2"/>
      <c r="CL228" s="2"/>
      <c r="CM228" s="2"/>
      <c r="CN228" s="2"/>
      <c r="CO228" s="2"/>
      <c r="CP228" s="2"/>
      <c r="CQ228" s="2"/>
      <c r="CR228" s="2"/>
      <c r="CS228" s="2"/>
      <c r="CT228" s="2"/>
      <c r="CU228" s="2"/>
      <c r="CV228" s="2"/>
      <c r="CW228" s="2"/>
      <c r="CX228" s="2"/>
      <c r="CY228" s="2"/>
      <c r="CZ228" s="2"/>
    </row>
    <row r="229" spans="43:104" ht="15" hidden="1" customHeight="1" x14ac:dyDescent="0.2">
      <c r="AQ229" s="85"/>
      <c r="AR229" s="12">
        <v>1415000</v>
      </c>
      <c r="AS229" s="12">
        <v>1640000</v>
      </c>
      <c r="AT229" s="2"/>
      <c r="AU229" s="2"/>
      <c r="AV229" s="2"/>
      <c r="AW229" s="2"/>
      <c r="AX229" s="2"/>
      <c r="AY229" s="2"/>
      <c r="AZ229" s="2"/>
      <c r="BA229" s="2"/>
      <c r="BB229" s="2"/>
      <c r="BC229" s="2"/>
      <c r="BD229" s="2"/>
      <c r="BE229" s="2"/>
      <c r="BK229" s="2"/>
      <c r="BM229" s="2"/>
      <c r="BN229" s="2"/>
      <c r="BO229" s="2"/>
      <c r="BS229" s="11"/>
      <c r="BT229" s="2"/>
      <c r="BU229" s="3"/>
      <c r="BV229" s="3"/>
      <c r="BW229" s="2"/>
      <c r="BX229" s="2"/>
      <c r="BY229" s="2"/>
      <c r="BZ229" s="2"/>
      <c r="CA229" s="2"/>
      <c r="CB229" s="2"/>
      <c r="CC229" s="2"/>
      <c r="CD229" s="1"/>
      <c r="CE229" s="1"/>
      <c r="CF229" s="1"/>
      <c r="CG229" s="1"/>
      <c r="CH229" s="1"/>
      <c r="CI229" s="2"/>
      <c r="CJ229" s="2"/>
      <c r="CK229" s="2"/>
      <c r="CL229" s="2"/>
      <c r="CM229" s="2"/>
      <c r="CN229" s="2"/>
      <c r="CO229" s="2"/>
      <c r="CP229" s="2"/>
      <c r="CQ229" s="2"/>
      <c r="CR229" s="2"/>
      <c r="CS229" s="2"/>
      <c r="CT229" s="2"/>
      <c r="CU229" s="2"/>
      <c r="CV229" s="2"/>
      <c r="CW229" s="2"/>
      <c r="CX229" s="2"/>
      <c r="CY229" s="2"/>
      <c r="CZ229" s="2"/>
    </row>
    <row r="230" spans="43:104" ht="15" hidden="1" customHeight="1" x14ac:dyDescent="0.2">
      <c r="AQ230" s="12"/>
      <c r="AR230" s="12">
        <v>1420000</v>
      </c>
      <c r="AS230" s="12">
        <v>1650000</v>
      </c>
      <c r="AT230" s="2"/>
      <c r="AU230" s="2"/>
      <c r="AV230" s="2"/>
      <c r="AW230" s="2"/>
      <c r="AX230" s="2"/>
      <c r="AY230" s="2"/>
      <c r="AZ230" s="2"/>
      <c r="BA230" s="2"/>
      <c r="BB230" s="2"/>
      <c r="BC230" s="2"/>
      <c r="BD230" s="2"/>
      <c r="BE230" s="2"/>
      <c r="BK230" s="2"/>
      <c r="BM230" s="2"/>
      <c r="BN230" s="2"/>
      <c r="BO230" s="2"/>
      <c r="BS230" s="11"/>
      <c r="BT230" s="2"/>
      <c r="BU230" s="3"/>
      <c r="BV230" s="3"/>
      <c r="BW230" s="2"/>
      <c r="BX230" s="2"/>
      <c r="BY230" s="2"/>
      <c r="BZ230" s="2"/>
      <c r="CA230" s="46"/>
      <c r="CB230" s="1"/>
      <c r="CC230" s="1"/>
      <c r="CD230" s="1"/>
      <c r="CE230" s="1"/>
      <c r="CF230" s="1"/>
      <c r="CG230" s="1"/>
      <c r="CH230" s="1"/>
      <c r="CI230" s="2"/>
      <c r="CJ230" s="2"/>
      <c r="CK230" s="2"/>
      <c r="CL230" s="2"/>
      <c r="CM230" s="2"/>
      <c r="CN230" s="2"/>
      <c r="CO230" s="2"/>
      <c r="CP230" s="2"/>
      <c r="CQ230" s="2"/>
      <c r="CR230" s="2"/>
      <c r="CS230" s="2"/>
      <c r="CT230" s="2"/>
      <c r="CU230" s="2"/>
      <c r="CV230" s="2"/>
      <c r="CW230" s="2"/>
      <c r="CX230" s="2"/>
      <c r="CY230" s="2"/>
      <c r="CZ230" s="2"/>
    </row>
    <row r="231" spans="43:104" ht="15" hidden="1" customHeight="1" x14ac:dyDescent="0.2">
      <c r="AQ231" s="12"/>
      <c r="AR231" s="12">
        <v>1425000</v>
      </c>
      <c r="AS231" s="12">
        <v>1660000</v>
      </c>
      <c r="AT231" s="2"/>
      <c r="AU231" s="2"/>
      <c r="AV231" s="2"/>
      <c r="AW231" s="2"/>
      <c r="AX231" s="2"/>
      <c r="AY231" s="2"/>
      <c r="AZ231" s="2"/>
      <c r="BA231" s="2"/>
      <c r="BB231" s="2"/>
      <c r="BC231" s="2"/>
      <c r="BD231" s="2"/>
      <c r="BE231" s="2"/>
      <c r="BK231" s="2"/>
      <c r="BM231" s="2"/>
      <c r="BN231" s="2"/>
      <c r="BO231" s="2"/>
      <c r="BS231" s="11"/>
      <c r="BT231" s="2"/>
      <c r="BU231" s="3"/>
      <c r="BV231" s="3"/>
      <c r="BW231" s="2"/>
      <c r="BX231" s="2"/>
      <c r="BY231" s="2"/>
      <c r="BZ231" s="2"/>
      <c r="CA231" s="46"/>
      <c r="CB231" s="1"/>
      <c r="CC231" s="1"/>
      <c r="CD231" s="1"/>
      <c r="CE231" s="1"/>
      <c r="CF231" s="1"/>
      <c r="CG231" s="1"/>
      <c r="CH231" s="1"/>
      <c r="CI231" s="2"/>
      <c r="CJ231" s="2"/>
      <c r="CK231" s="2"/>
      <c r="CL231" s="2"/>
      <c r="CM231" s="2"/>
      <c r="CN231" s="2"/>
      <c r="CO231" s="2"/>
      <c r="CP231" s="2"/>
      <c r="CQ231" s="2"/>
      <c r="CR231" s="2"/>
      <c r="CS231" s="2"/>
      <c r="CT231" s="2"/>
      <c r="CU231" s="2"/>
      <c r="CV231" s="2"/>
      <c r="CW231" s="2"/>
      <c r="CX231" s="2"/>
      <c r="CY231" s="2"/>
      <c r="CZ231" s="2"/>
    </row>
    <row r="232" spans="43:104" ht="15" hidden="1" customHeight="1" x14ac:dyDescent="0.2">
      <c r="AQ232" s="13"/>
      <c r="AR232" s="12">
        <v>1430000</v>
      </c>
      <c r="AS232" s="12">
        <v>1670000</v>
      </c>
      <c r="AT232" s="2"/>
      <c r="AU232" s="2"/>
      <c r="AV232" s="2"/>
      <c r="AW232" s="2"/>
      <c r="AX232" s="2"/>
      <c r="AY232" s="2"/>
      <c r="AZ232" s="2"/>
      <c r="BA232" s="2"/>
      <c r="BB232" s="2"/>
      <c r="BC232" s="2"/>
      <c r="BD232" s="2"/>
      <c r="BE232" s="2"/>
      <c r="BK232" s="2"/>
      <c r="BM232" s="2"/>
      <c r="BN232" s="2"/>
      <c r="BO232" s="2"/>
      <c r="BS232" s="11"/>
      <c r="BT232" s="2"/>
      <c r="BU232" s="3"/>
      <c r="BV232" s="3"/>
      <c r="BW232" s="2"/>
      <c r="BX232" s="2"/>
      <c r="BY232" s="2"/>
      <c r="BZ232" s="2"/>
      <c r="CA232" s="46"/>
      <c r="CB232" s="1"/>
      <c r="CC232" s="1"/>
      <c r="CD232" s="1"/>
      <c r="CE232" s="1"/>
      <c r="CF232" s="1"/>
      <c r="CG232" s="1"/>
      <c r="CH232" s="1"/>
      <c r="CI232" s="2"/>
      <c r="CJ232" s="2"/>
      <c r="CK232" s="2"/>
      <c r="CL232" s="2"/>
      <c r="CM232" s="2"/>
      <c r="CN232" s="2"/>
      <c r="CO232" s="2"/>
      <c r="CP232" s="2"/>
      <c r="CQ232" s="2"/>
      <c r="CR232" s="2"/>
      <c r="CS232" s="2"/>
      <c r="CT232" s="2"/>
      <c r="CU232" s="2"/>
      <c r="CV232" s="2"/>
      <c r="CW232" s="2"/>
      <c r="CX232" s="2"/>
      <c r="CY232" s="2"/>
      <c r="CZ232" s="2"/>
    </row>
    <row r="233" spans="43:104" ht="15" hidden="1" customHeight="1" x14ac:dyDescent="0.2">
      <c r="AQ233" s="13"/>
      <c r="AR233" s="12">
        <v>1435000</v>
      </c>
      <c r="AS233" s="12">
        <v>1680000</v>
      </c>
      <c r="AT233" s="2"/>
      <c r="AU233" s="2"/>
      <c r="AV233" s="2"/>
      <c r="AW233" s="2"/>
      <c r="AX233" s="2"/>
      <c r="AY233" s="2"/>
      <c r="AZ233" s="2"/>
      <c r="BA233" s="2"/>
      <c r="BB233" s="2"/>
      <c r="BC233" s="2"/>
      <c r="BD233" s="2"/>
      <c r="BE233" s="2"/>
      <c r="BK233" s="2"/>
      <c r="BM233" s="2"/>
      <c r="BN233" s="2"/>
      <c r="BO233" s="2"/>
      <c r="BS233" s="11"/>
      <c r="BT233" s="2"/>
      <c r="BU233" s="3"/>
      <c r="BV233" s="3"/>
      <c r="BW233" s="2"/>
      <c r="BX233" s="2"/>
      <c r="BY233" s="2"/>
      <c r="BZ233" s="2"/>
      <c r="CA233" s="46"/>
      <c r="CB233" s="1"/>
      <c r="CC233" s="1"/>
      <c r="CD233" s="1"/>
      <c r="CE233" s="1"/>
      <c r="CF233" s="1"/>
      <c r="CG233" s="1"/>
      <c r="CH233" s="1"/>
      <c r="CI233" s="2"/>
      <c r="CJ233" s="2"/>
      <c r="CK233" s="2"/>
      <c r="CL233" s="2"/>
      <c r="CM233" s="2"/>
      <c r="CN233" s="2"/>
      <c r="CO233" s="2"/>
      <c r="CP233" s="2"/>
      <c r="CQ233" s="2"/>
      <c r="CR233" s="2"/>
      <c r="CS233" s="2"/>
      <c r="CT233" s="2"/>
      <c r="CU233" s="2"/>
      <c r="CV233" s="2"/>
      <c r="CW233" s="2"/>
      <c r="CX233" s="2"/>
      <c r="CY233" s="2"/>
      <c r="CZ233" s="2"/>
    </row>
    <row r="234" spans="43:104" ht="15" hidden="1" customHeight="1" x14ac:dyDescent="0.2">
      <c r="AQ234" s="85"/>
      <c r="AR234" s="12">
        <v>1440000</v>
      </c>
      <c r="AS234" s="12">
        <v>1690000</v>
      </c>
      <c r="AT234" s="2"/>
      <c r="AU234" s="2"/>
      <c r="AV234" s="2"/>
      <c r="AW234" s="2"/>
      <c r="AX234" s="2"/>
      <c r="AY234" s="2"/>
      <c r="AZ234" s="2"/>
      <c r="BA234" s="2"/>
      <c r="BB234" s="2"/>
      <c r="BC234" s="2"/>
      <c r="BD234" s="2"/>
      <c r="BE234" s="2"/>
      <c r="BK234" s="2"/>
      <c r="BM234" s="2"/>
      <c r="BN234" s="2"/>
      <c r="BO234" s="2"/>
      <c r="BS234" s="11"/>
      <c r="BT234" s="2"/>
      <c r="BU234" s="3"/>
      <c r="BV234" s="3"/>
      <c r="BW234" s="2"/>
      <c r="BX234" s="2"/>
      <c r="BY234" s="2"/>
      <c r="BZ234" s="46"/>
      <c r="CA234" s="1"/>
      <c r="CB234" s="1"/>
      <c r="CC234" s="1"/>
      <c r="CD234" s="1"/>
      <c r="CE234" s="1"/>
      <c r="CF234" s="1"/>
      <c r="CG234" s="1"/>
      <c r="CH234" s="1"/>
      <c r="CI234" s="2"/>
      <c r="CJ234" s="2"/>
      <c r="CK234" s="2"/>
      <c r="CL234" s="2"/>
      <c r="CM234" s="2"/>
      <c r="CN234" s="2"/>
      <c r="CO234" s="2"/>
      <c r="CP234" s="2"/>
      <c r="CQ234" s="2"/>
      <c r="CR234" s="2"/>
      <c r="CS234" s="2"/>
      <c r="CT234" s="2"/>
      <c r="CU234" s="2"/>
      <c r="CV234" s="2"/>
      <c r="CW234" s="2"/>
      <c r="CX234" s="2"/>
      <c r="CY234" s="2"/>
      <c r="CZ234" s="2"/>
    </row>
    <row r="235" spans="43:104" ht="15" hidden="1" customHeight="1" x14ac:dyDescent="0.2">
      <c r="AQ235" s="12"/>
      <c r="AR235" s="12">
        <v>1445000</v>
      </c>
      <c r="AS235" s="12">
        <v>1700000</v>
      </c>
      <c r="AT235" s="2"/>
      <c r="AU235" s="2"/>
      <c r="AV235" s="2"/>
      <c r="AW235" s="2"/>
      <c r="AX235" s="2"/>
      <c r="AY235" s="2"/>
      <c r="AZ235" s="2"/>
      <c r="BA235" s="2"/>
      <c r="BB235" s="2"/>
      <c r="BC235" s="2"/>
      <c r="BD235" s="2"/>
      <c r="BE235" s="2"/>
      <c r="BK235" s="2"/>
      <c r="BM235" s="2"/>
      <c r="BN235" s="2"/>
      <c r="BO235" s="2"/>
      <c r="BS235" s="11"/>
      <c r="BT235" s="2"/>
      <c r="BU235" s="3"/>
      <c r="BV235" s="3"/>
      <c r="BW235" s="2"/>
      <c r="BX235" s="2"/>
      <c r="BY235" s="2"/>
      <c r="BZ235" s="2"/>
      <c r="CA235" s="46"/>
      <c r="CB235" s="1"/>
      <c r="CC235" s="7"/>
      <c r="CD235" s="1"/>
      <c r="CE235" s="1"/>
      <c r="CF235" s="1"/>
      <c r="CG235" s="1"/>
      <c r="CH235" s="1"/>
      <c r="CI235" s="2"/>
      <c r="CJ235" s="2"/>
      <c r="CK235" s="2"/>
      <c r="CL235" s="2"/>
      <c r="CM235" s="2"/>
      <c r="CN235" s="2"/>
      <c r="CO235" s="2"/>
      <c r="CP235" s="2"/>
      <c r="CQ235" s="2"/>
      <c r="CR235" s="2"/>
      <c r="CS235" s="2"/>
      <c r="CT235" s="2"/>
      <c r="CU235" s="2"/>
      <c r="CV235" s="2"/>
      <c r="CW235" s="2"/>
      <c r="CX235" s="2"/>
      <c r="CY235" s="2"/>
      <c r="CZ235" s="2"/>
    </row>
    <row r="236" spans="43:104" ht="15" hidden="1" customHeight="1" x14ac:dyDescent="0.2">
      <c r="AQ236" s="12"/>
      <c r="AR236" s="12">
        <v>1450000</v>
      </c>
      <c r="AS236" s="12">
        <v>1710000</v>
      </c>
      <c r="AT236" s="2"/>
      <c r="AU236" s="2"/>
      <c r="AV236" s="2"/>
      <c r="AW236" s="2"/>
      <c r="AX236" s="2"/>
      <c r="AY236" s="2"/>
      <c r="AZ236" s="2"/>
      <c r="BA236" s="2"/>
      <c r="BB236" s="2"/>
      <c r="BC236" s="2"/>
      <c r="BD236" s="2"/>
      <c r="BE236" s="2"/>
      <c r="BK236" s="2"/>
      <c r="BM236" s="2"/>
      <c r="BN236" s="2"/>
      <c r="BO236" s="2"/>
      <c r="BS236" s="11"/>
      <c r="BT236" s="2"/>
      <c r="BU236" s="3"/>
      <c r="BV236" s="3"/>
      <c r="BW236" s="2"/>
      <c r="BX236" s="2"/>
      <c r="BY236" s="2"/>
      <c r="BZ236" s="2"/>
      <c r="CA236" s="2"/>
      <c r="CB236" s="2"/>
      <c r="CC236" s="2"/>
      <c r="CD236" s="1"/>
      <c r="CE236" s="1"/>
      <c r="CF236" s="1"/>
      <c r="CG236" s="1"/>
      <c r="CH236" s="1"/>
      <c r="CI236" s="2"/>
      <c r="CJ236" s="2"/>
      <c r="CK236" s="2"/>
      <c r="CL236" s="2"/>
      <c r="CM236" s="2"/>
      <c r="CN236" s="2"/>
      <c r="CO236" s="2"/>
      <c r="CP236" s="2"/>
      <c r="CQ236" s="2"/>
      <c r="CR236" s="2"/>
      <c r="CS236" s="2"/>
      <c r="CT236" s="2"/>
      <c r="CU236" s="2"/>
      <c r="CV236" s="2"/>
      <c r="CW236" s="2"/>
      <c r="CX236" s="2"/>
      <c r="CY236" s="2"/>
      <c r="CZ236" s="2"/>
    </row>
    <row r="237" spans="43:104" ht="15" hidden="1" customHeight="1" x14ac:dyDescent="0.2">
      <c r="AQ237" s="13"/>
      <c r="AR237" s="12">
        <v>1455000</v>
      </c>
      <c r="AS237" s="12">
        <v>1720000</v>
      </c>
      <c r="AT237" s="2"/>
      <c r="AU237" s="2"/>
      <c r="AV237" s="2"/>
      <c r="AW237" s="2"/>
      <c r="AX237" s="2"/>
      <c r="AY237" s="2"/>
      <c r="AZ237" s="2"/>
      <c r="BA237" s="2"/>
      <c r="BB237" s="2"/>
      <c r="BC237" s="2"/>
      <c r="BD237" s="2"/>
      <c r="BE237" s="2"/>
      <c r="BK237" s="2"/>
      <c r="BM237" s="2"/>
      <c r="BN237" s="2"/>
      <c r="BO237" s="2"/>
      <c r="BS237" s="11"/>
      <c r="BT237" s="2"/>
      <c r="BU237" s="3"/>
      <c r="BV237" s="3"/>
      <c r="BW237" s="2"/>
      <c r="BX237" s="2"/>
      <c r="BY237" s="2"/>
      <c r="BZ237" s="2"/>
      <c r="CA237" s="2"/>
      <c r="CB237" s="2"/>
      <c r="CC237" s="2"/>
      <c r="CD237" s="1"/>
      <c r="CE237" s="1"/>
      <c r="CF237" s="1"/>
      <c r="CG237" s="1"/>
      <c r="CH237" s="1"/>
      <c r="CI237" s="2"/>
      <c r="CJ237" s="2"/>
      <c r="CK237" s="2"/>
      <c r="CL237" s="2"/>
      <c r="CM237" s="2"/>
      <c r="CN237" s="2"/>
      <c r="CO237" s="2"/>
      <c r="CP237" s="2"/>
      <c r="CQ237" s="2"/>
      <c r="CR237" s="2"/>
      <c r="CS237" s="2"/>
      <c r="CT237" s="2"/>
      <c r="CU237" s="2"/>
      <c r="CV237" s="2"/>
      <c r="CW237" s="2"/>
      <c r="CX237" s="2"/>
      <c r="CY237" s="2"/>
      <c r="CZ237" s="2"/>
    </row>
    <row r="238" spans="43:104" ht="15" hidden="1" customHeight="1" x14ac:dyDescent="0.2">
      <c r="AQ238" s="13"/>
      <c r="AR238" s="12">
        <v>1460000</v>
      </c>
      <c r="AS238" s="12">
        <v>1730000</v>
      </c>
      <c r="AT238" s="2"/>
      <c r="AU238" s="2"/>
      <c r="AV238" s="2"/>
      <c r="AW238" s="2"/>
      <c r="AX238" s="2"/>
      <c r="AY238" s="2"/>
      <c r="AZ238" s="2"/>
      <c r="BA238" s="2"/>
      <c r="BB238" s="2"/>
      <c r="BC238" s="2"/>
      <c r="BD238" s="2"/>
      <c r="BE238" s="2"/>
      <c r="BK238" s="2"/>
      <c r="BM238" s="2"/>
      <c r="BN238" s="2"/>
      <c r="BO238" s="2"/>
      <c r="BS238" s="11"/>
      <c r="BT238" s="2"/>
      <c r="BU238" s="3"/>
      <c r="BV238" s="3"/>
      <c r="BW238" s="2"/>
      <c r="BX238" s="2"/>
      <c r="BY238" s="2"/>
      <c r="BZ238" s="2"/>
      <c r="CA238" s="2"/>
      <c r="CB238" s="2"/>
      <c r="CC238" s="2"/>
      <c r="CD238" s="1"/>
      <c r="CE238" s="1"/>
      <c r="CF238" s="1"/>
      <c r="CG238" s="1"/>
      <c r="CH238" s="1"/>
      <c r="CI238" s="2"/>
      <c r="CJ238" s="2"/>
      <c r="CK238" s="2"/>
      <c r="CL238" s="2"/>
      <c r="CM238" s="2"/>
      <c r="CN238" s="2"/>
      <c r="CO238" s="2"/>
      <c r="CP238" s="2"/>
      <c r="CQ238" s="2"/>
      <c r="CR238" s="2"/>
      <c r="CS238" s="2"/>
      <c r="CT238" s="2"/>
      <c r="CU238" s="2"/>
      <c r="CV238" s="2"/>
      <c r="CW238" s="2"/>
      <c r="CX238" s="2"/>
      <c r="CY238" s="2"/>
      <c r="CZ238" s="2"/>
    </row>
    <row r="239" spans="43:104" ht="15" hidden="1" customHeight="1" x14ac:dyDescent="0.2">
      <c r="AQ239" s="85"/>
      <c r="AR239" s="12">
        <v>1465000</v>
      </c>
      <c r="AS239" s="12">
        <v>1740000</v>
      </c>
      <c r="AT239" s="2"/>
      <c r="AU239" s="2"/>
      <c r="AV239" s="2"/>
      <c r="AW239" s="2"/>
      <c r="AX239" s="2"/>
      <c r="AY239" s="2"/>
      <c r="AZ239" s="2"/>
      <c r="BA239" s="2"/>
      <c r="BB239" s="2"/>
      <c r="BC239" s="2"/>
      <c r="BD239" s="2"/>
      <c r="BE239" s="2"/>
      <c r="BK239" s="2"/>
      <c r="BM239" s="2"/>
      <c r="BN239" s="2"/>
      <c r="BO239" s="2"/>
      <c r="BS239" s="11"/>
      <c r="BT239" s="2"/>
      <c r="BU239" s="3"/>
      <c r="BV239" s="3"/>
      <c r="BW239" s="2"/>
      <c r="BX239" s="2"/>
      <c r="BY239" s="2"/>
      <c r="BZ239" s="2"/>
      <c r="CA239" s="2"/>
      <c r="CB239" s="2"/>
      <c r="CC239" s="2"/>
      <c r="CD239" s="1"/>
      <c r="CE239" s="1"/>
      <c r="CF239" s="1"/>
      <c r="CG239" s="1"/>
      <c r="CH239" s="1"/>
      <c r="CI239" s="2"/>
      <c r="CJ239" s="2"/>
      <c r="CK239" s="2"/>
      <c r="CL239" s="2"/>
      <c r="CM239" s="2"/>
      <c r="CN239" s="2"/>
      <c r="CO239" s="2"/>
      <c r="CP239" s="2"/>
      <c r="CQ239" s="2"/>
      <c r="CR239" s="2"/>
      <c r="CS239" s="2"/>
      <c r="CT239" s="2"/>
      <c r="CU239" s="2"/>
      <c r="CV239" s="2"/>
      <c r="CW239" s="2"/>
      <c r="CX239" s="2"/>
      <c r="CY239" s="2"/>
      <c r="CZ239" s="2"/>
    </row>
    <row r="240" spans="43:104" ht="15" hidden="1" customHeight="1" x14ac:dyDescent="0.2">
      <c r="AQ240" s="12"/>
      <c r="AR240" s="12">
        <v>1470000</v>
      </c>
      <c r="AS240" s="12">
        <v>1750000</v>
      </c>
      <c r="AT240" s="2"/>
      <c r="AU240" s="2"/>
      <c r="AV240" s="2"/>
      <c r="AW240" s="2"/>
      <c r="AX240" s="2"/>
      <c r="AY240" s="2"/>
      <c r="AZ240" s="2"/>
      <c r="BA240" s="2"/>
      <c r="BB240" s="2"/>
      <c r="BC240" s="2"/>
      <c r="BD240" s="2"/>
      <c r="BE240" s="2"/>
      <c r="BK240" s="2"/>
      <c r="BM240" s="2"/>
      <c r="BN240" s="2"/>
      <c r="BO240" s="2"/>
      <c r="BS240" s="11"/>
      <c r="BT240" s="2"/>
      <c r="BU240" s="3"/>
      <c r="BV240" s="3"/>
      <c r="BW240" s="2"/>
      <c r="BX240" s="2"/>
      <c r="BY240" s="2"/>
      <c r="BZ240" s="2"/>
      <c r="CA240" s="2"/>
      <c r="CB240" s="2"/>
      <c r="CC240" s="2"/>
      <c r="CD240" s="1"/>
      <c r="CE240" s="1"/>
      <c r="CF240" s="1"/>
      <c r="CG240" s="1"/>
      <c r="CH240" s="1"/>
      <c r="CI240" s="2"/>
      <c r="CJ240" s="2"/>
      <c r="CK240" s="2"/>
      <c r="CL240" s="2"/>
      <c r="CM240" s="2"/>
      <c r="CN240" s="2"/>
      <c r="CO240" s="2"/>
      <c r="CP240" s="2"/>
      <c r="CQ240" s="2"/>
      <c r="CR240" s="2"/>
      <c r="CS240" s="2"/>
      <c r="CT240" s="2"/>
      <c r="CU240" s="2"/>
      <c r="CV240" s="2"/>
      <c r="CW240" s="2"/>
      <c r="CX240" s="2"/>
      <c r="CY240" s="2"/>
      <c r="CZ240" s="2"/>
    </row>
    <row r="241" spans="43:104" ht="15" hidden="1" customHeight="1" x14ac:dyDescent="0.2">
      <c r="AQ241" s="12"/>
      <c r="AR241" s="12">
        <v>1475000</v>
      </c>
      <c r="AS241" s="12">
        <v>1760000</v>
      </c>
      <c r="AT241" s="2"/>
      <c r="AU241" s="2"/>
      <c r="AV241" s="2"/>
      <c r="AW241" s="2"/>
      <c r="AX241" s="2"/>
      <c r="AY241" s="2"/>
      <c r="AZ241" s="2"/>
      <c r="BA241" s="2"/>
      <c r="BB241" s="2"/>
      <c r="BC241" s="2"/>
      <c r="BD241" s="2"/>
      <c r="BE241" s="2"/>
      <c r="BK241" s="2"/>
      <c r="BM241" s="2"/>
      <c r="BN241" s="2"/>
      <c r="BO241" s="2"/>
      <c r="BS241" s="11"/>
      <c r="BT241" s="2"/>
      <c r="BU241" s="3"/>
      <c r="BV241" s="3"/>
      <c r="BW241" s="2"/>
      <c r="BX241" s="2"/>
      <c r="BY241" s="2"/>
      <c r="BZ241" s="2"/>
      <c r="CA241" s="46"/>
      <c r="CB241" s="1"/>
      <c r="CC241" s="1"/>
      <c r="CD241" s="1"/>
      <c r="CE241" s="1"/>
      <c r="CF241" s="1"/>
      <c r="CG241" s="1"/>
      <c r="CH241" s="1"/>
      <c r="CI241" s="2"/>
      <c r="CJ241" s="2"/>
      <c r="CK241" s="2"/>
      <c r="CL241" s="2"/>
      <c r="CM241" s="2"/>
      <c r="CN241" s="2"/>
      <c r="CO241" s="2"/>
      <c r="CP241" s="2"/>
      <c r="CQ241" s="2"/>
      <c r="CR241" s="2"/>
      <c r="CS241" s="2"/>
      <c r="CT241" s="2"/>
      <c r="CU241" s="2"/>
      <c r="CV241" s="2"/>
      <c r="CW241" s="2"/>
      <c r="CX241" s="2"/>
      <c r="CY241" s="2"/>
      <c r="CZ241" s="2"/>
    </row>
    <row r="242" spans="43:104" ht="15" hidden="1" customHeight="1" x14ac:dyDescent="0.2">
      <c r="AQ242" s="13"/>
      <c r="AR242" s="12">
        <v>1480000</v>
      </c>
      <c r="AS242" s="12">
        <v>1770000</v>
      </c>
      <c r="AT242" s="2"/>
      <c r="AU242" s="2"/>
      <c r="AV242" s="2"/>
      <c r="AW242" s="2"/>
      <c r="AX242" s="2"/>
      <c r="AY242" s="2"/>
      <c r="AZ242" s="2"/>
      <c r="BA242" s="2"/>
      <c r="BB242" s="2"/>
      <c r="BC242" s="2"/>
      <c r="BD242" s="2"/>
      <c r="BE242" s="2"/>
      <c r="BK242" s="2"/>
      <c r="BM242" s="2"/>
      <c r="BN242" s="2"/>
      <c r="BO242" s="2"/>
      <c r="BS242" s="11"/>
      <c r="BT242" s="2"/>
      <c r="BU242" s="3"/>
      <c r="BV242" s="3"/>
      <c r="BW242" s="2"/>
      <c r="BX242" s="2"/>
      <c r="BY242" s="2"/>
      <c r="BZ242" s="2"/>
      <c r="CA242" s="46"/>
      <c r="CB242" s="1"/>
      <c r="CC242" s="1"/>
      <c r="CD242" s="1"/>
      <c r="CE242" s="1"/>
      <c r="CF242" s="1"/>
      <c r="CG242" s="1"/>
      <c r="CH242" s="1"/>
      <c r="CI242" s="2"/>
      <c r="CJ242" s="2"/>
      <c r="CK242" s="2"/>
      <c r="CL242" s="2"/>
      <c r="CM242" s="2"/>
      <c r="CN242" s="2"/>
      <c r="CO242" s="2"/>
      <c r="CP242" s="2"/>
      <c r="CQ242" s="2"/>
      <c r="CR242" s="2"/>
      <c r="CS242" s="2"/>
      <c r="CT242" s="2"/>
      <c r="CU242" s="2"/>
      <c r="CV242" s="2"/>
      <c r="CW242" s="2"/>
      <c r="CX242" s="2"/>
      <c r="CY242" s="2"/>
      <c r="CZ242" s="2"/>
    </row>
    <row r="243" spans="43:104" ht="15" hidden="1" customHeight="1" x14ac:dyDescent="0.2">
      <c r="AQ243" s="13"/>
      <c r="AR243" s="12">
        <v>1485000</v>
      </c>
      <c r="AS243" s="12">
        <v>1780000</v>
      </c>
      <c r="AT243" s="2"/>
      <c r="AU243" s="2"/>
      <c r="AV243" s="2"/>
      <c r="AW243" s="2"/>
      <c r="AX243" s="2"/>
      <c r="AY243" s="2"/>
      <c r="AZ243" s="2"/>
      <c r="BA243" s="2"/>
      <c r="BB243" s="2"/>
      <c r="BC243" s="2"/>
      <c r="BD243" s="2"/>
      <c r="BE243" s="2"/>
      <c r="BK243" s="2"/>
      <c r="BM243" s="2"/>
      <c r="BN243" s="2"/>
      <c r="BO243" s="2"/>
      <c r="BS243" s="11"/>
      <c r="BT243" s="2"/>
      <c r="BU243" s="3"/>
      <c r="BV243" s="3"/>
      <c r="BW243" s="2"/>
      <c r="BX243" s="2"/>
      <c r="BY243" s="2"/>
      <c r="BZ243" s="2"/>
      <c r="CA243" s="46"/>
      <c r="CB243" s="1"/>
      <c r="CC243" s="1"/>
      <c r="CD243" s="1"/>
      <c r="CE243" s="1"/>
      <c r="CF243" s="1"/>
      <c r="CG243" s="1"/>
      <c r="CH243" s="1"/>
      <c r="CI243" s="2"/>
      <c r="CJ243" s="2"/>
      <c r="CK243" s="2"/>
      <c r="CL243" s="2"/>
      <c r="CM243" s="2"/>
      <c r="CN243" s="2"/>
      <c r="CO243" s="2"/>
      <c r="CP243" s="2"/>
      <c r="CQ243" s="2"/>
      <c r="CR243" s="2"/>
      <c r="CS243" s="2"/>
      <c r="CT243" s="2"/>
      <c r="CU243" s="2"/>
      <c r="CV243" s="2"/>
      <c r="CW243" s="2"/>
      <c r="CX243" s="2"/>
      <c r="CY243" s="2"/>
      <c r="CZ243" s="2"/>
    </row>
    <row r="244" spans="43:104" ht="15" hidden="1" customHeight="1" x14ac:dyDescent="0.2">
      <c r="AQ244" s="85"/>
      <c r="AR244" s="12">
        <v>1490000</v>
      </c>
      <c r="AS244" s="12">
        <v>1790000</v>
      </c>
      <c r="AT244" s="2"/>
      <c r="AU244" s="2"/>
      <c r="AV244" s="2"/>
      <c r="AW244" s="2"/>
      <c r="AX244" s="2"/>
      <c r="AY244" s="2"/>
      <c r="AZ244" s="2"/>
      <c r="BA244" s="2"/>
      <c r="BB244" s="2"/>
      <c r="BC244" s="2"/>
      <c r="BD244" s="2"/>
      <c r="BE244" s="2"/>
      <c r="BK244" s="2"/>
      <c r="BM244" s="2"/>
      <c r="BN244" s="2"/>
      <c r="BO244" s="2"/>
      <c r="BS244" s="11"/>
      <c r="BT244" s="2"/>
      <c r="BU244" s="3"/>
      <c r="BV244" s="3"/>
      <c r="BW244" s="2"/>
      <c r="BX244" s="2"/>
      <c r="BY244" s="2"/>
      <c r="BZ244" s="2"/>
      <c r="CA244" s="46"/>
      <c r="CB244" s="1"/>
      <c r="CC244" s="1"/>
      <c r="CD244" s="1"/>
      <c r="CE244" s="1"/>
      <c r="CF244" s="1"/>
      <c r="CG244" s="1"/>
      <c r="CH244" s="1"/>
      <c r="CI244" s="2"/>
      <c r="CJ244" s="2"/>
      <c r="CK244" s="2"/>
      <c r="CL244" s="2"/>
      <c r="CM244" s="2"/>
      <c r="CN244" s="2"/>
      <c r="CO244" s="2"/>
      <c r="CP244" s="2"/>
      <c r="CQ244" s="2"/>
      <c r="CR244" s="2"/>
      <c r="CS244" s="2"/>
      <c r="CT244" s="2"/>
      <c r="CU244" s="2"/>
      <c r="CV244" s="2"/>
      <c r="CW244" s="2"/>
      <c r="CX244" s="2"/>
      <c r="CY244" s="2"/>
      <c r="CZ244" s="2"/>
    </row>
    <row r="245" spans="43:104" ht="15" hidden="1" customHeight="1" x14ac:dyDescent="0.2">
      <c r="AQ245" s="12"/>
      <c r="AR245" s="12">
        <v>1495000</v>
      </c>
      <c r="AS245" s="12">
        <v>1800000</v>
      </c>
      <c r="AT245" s="2"/>
      <c r="AU245" s="2"/>
      <c r="AV245" s="2"/>
      <c r="AW245" s="2"/>
      <c r="AX245" s="2"/>
      <c r="AY245" s="2"/>
      <c r="AZ245" s="2"/>
      <c r="BA245" s="2"/>
      <c r="BB245" s="2"/>
      <c r="BC245" s="2"/>
      <c r="BD245" s="2"/>
      <c r="BE245" s="2"/>
      <c r="BK245" s="2"/>
      <c r="BM245" s="2"/>
      <c r="BN245" s="2"/>
      <c r="BO245" s="2"/>
      <c r="BS245" s="11"/>
      <c r="BT245" s="2"/>
      <c r="BU245" s="3"/>
      <c r="BV245" s="3"/>
      <c r="BW245" s="2"/>
      <c r="BX245" s="2"/>
      <c r="BY245" s="2"/>
      <c r="BZ245" s="2"/>
      <c r="CA245" s="46"/>
      <c r="CB245" s="1"/>
      <c r="CC245" s="1"/>
      <c r="CD245" s="1"/>
      <c r="CE245" s="1"/>
      <c r="CF245" s="1"/>
      <c r="CG245" s="1"/>
      <c r="CH245" s="1"/>
      <c r="CI245" s="2"/>
      <c r="CJ245" s="2"/>
      <c r="CK245" s="2"/>
      <c r="CL245" s="2"/>
      <c r="CM245" s="2"/>
      <c r="CN245" s="2"/>
      <c r="CO245" s="2"/>
      <c r="CP245" s="2"/>
      <c r="CQ245" s="2"/>
      <c r="CR245" s="2"/>
      <c r="CS245" s="2"/>
      <c r="CT245" s="2"/>
      <c r="CU245" s="2"/>
      <c r="CV245" s="2"/>
      <c r="CW245" s="2"/>
      <c r="CX245" s="2"/>
      <c r="CY245" s="2"/>
      <c r="CZ245" s="2"/>
    </row>
    <row r="246" spans="43:104" ht="15" hidden="1" customHeight="1" x14ac:dyDescent="0.2">
      <c r="AQ246" s="12"/>
      <c r="AR246" s="12">
        <v>1500000</v>
      </c>
      <c r="AS246" s="12">
        <v>1810000</v>
      </c>
      <c r="AT246" s="2"/>
      <c r="AU246" s="2"/>
      <c r="AV246" s="2"/>
      <c r="AW246" s="2"/>
      <c r="AX246" s="2"/>
      <c r="AY246" s="2"/>
      <c r="AZ246" s="2"/>
      <c r="BA246" s="2"/>
      <c r="BB246" s="2"/>
      <c r="BC246" s="2"/>
      <c r="BD246" s="2"/>
      <c r="BE246" s="2"/>
      <c r="BK246" s="2"/>
      <c r="BM246" s="2"/>
      <c r="BN246" s="2"/>
      <c r="BO246" s="2"/>
      <c r="BS246" s="11"/>
      <c r="BT246" s="2"/>
      <c r="BU246" s="3"/>
      <c r="BV246" s="3"/>
      <c r="BW246" s="2"/>
      <c r="BX246" s="2"/>
      <c r="BY246" s="2"/>
      <c r="BZ246" s="2"/>
      <c r="CA246" s="46"/>
      <c r="CB246" s="1"/>
      <c r="CC246" s="1"/>
      <c r="CD246" s="1"/>
      <c r="CE246" s="1"/>
      <c r="CF246" s="1"/>
      <c r="CG246" s="1"/>
      <c r="CH246" s="1"/>
      <c r="CI246" s="2"/>
      <c r="CJ246" s="2"/>
      <c r="CK246" s="2"/>
      <c r="CL246" s="2"/>
      <c r="CM246" s="2"/>
      <c r="CN246" s="2"/>
      <c r="CO246" s="2"/>
      <c r="CP246" s="2"/>
      <c r="CQ246" s="2"/>
      <c r="CR246" s="2"/>
      <c r="CS246" s="2"/>
      <c r="CT246" s="2"/>
      <c r="CU246" s="2"/>
      <c r="CV246" s="2"/>
      <c r="CW246" s="2"/>
      <c r="CX246" s="2"/>
      <c r="CY246" s="2"/>
      <c r="CZ246" s="2"/>
    </row>
    <row r="247" spans="43:104" ht="15" hidden="1" customHeight="1" x14ac:dyDescent="0.2">
      <c r="AQ247" s="13"/>
      <c r="AR247" s="12">
        <v>1505000</v>
      </c>
      <c r="AS247" s="12">
        <v>1820000</v>
      </c>
      <c r="AT247" s="2"/>
      <c r="AU247" s="2"/>
      <c r="AV247" s="2"/>
      <c r="AW247" s="2"/>
      <c r="AX247" s="2"/>
      <c r="AY247" s="2"/>
      <c r="AZ247" s="2"/>
      <c r="BA247" s="2"/>
      <c r="BB247" s="2"/>
      <c r="BC247" s="2"/>
      <c r="BD247" s="2"/>
      <c r="BE247" s="2"/>
      <c r="BK247" s="2"/>
      <c r="BM247" s="2"/>
      <c r="BN247" s="2"/>
      <c r="BO247" s="2"/>
      <c r="BS247" s="11"/>
      <c r="BT247" s="2"/>
      <c r="BU247" s="3"/>
      <c r="BV247" s="3"/>
      <c r="BW247" s="2"/>
      <c r="BX247" s="2"/>
      <c r="BY247" s="2"/>
      <c r="BZ247" s="2"/>
      <c r="CA247" s="46"/>
      <c r="CB247" s="1"/>
      <c r="CC247" s="1"/>
      <c r="CD247" s="1"/>
      <c r="CE247" s="1"/>
      <c r="CF247" s="1"/>
      <c r="CG247" s="1"/>
      <c r="CH247" s="1"/>
      <c r="CI247" s="2"/>
      <c r="CJ247" s="2"/>
      <c r="CK247" s="2"/>
      <c r="CL247" s="2"/>
      <c r="CM247" s="2"/>
      <c r="CN247" s="2"/>
      <c r="CO247" s="2"/>
      <c r="CP247" s="2"/>
      <c r="CQ247" s="2"/>
      <c r="CR247" s="2"/>
      <c r="CS247" s="2"/>
      <c r="CT247" s="2"/>
      <c r="CU247" s="2"/>
      <c r="CV247" s="2"/>
      <c r="CW247" s="2"/>
      <c r="CX247" s="2"/>
      <c r="CY247" s="2"/>
      <c r="CZ247" s="2"/>
    </row>
    <row r="248" spans="43:104" ht="15" hidden="1" customHeight="1" x14ac:dyDescent="0.2">
      <c r="AQ248" s="13"/>
      <c r="AR248" s="12">
        <v>1510000</v>
      </c>
      <c r="AS248" s="12">
        <v>1830000</v>
      </c>
      <c r="AT248" s="2"/>
      <c r="AU248" s="2"/>
      <c r="AV248" s="2"/>
      <c r="AW248" s="2"/>
      <c r="AX248" s="2"/>
      <c r="AY248" s="2"/>
      <c r="AZ248" s="2"/>
      <c r="BA248" s="2"/>
      <c r="BB248" s="2"/>
      <c r="BC248" s="2"/>
      <c r="BD248" s="2"/>
      <c r="BE248" s="2"/>
      <c r="BK248" s="2"/>
      <c r="BM248" s="2"/>
      <c r="BN248" s="2"/>
      <c r="BO248" s="2"/>
      <c r="BS248" s="11"/>
      <c r="BT248" s="2"/>
      <c r="BU248" s="3"/>
      <c r="BV248" s="3"/>
      <c r="BW248" s="2"/>
      <c r="BX248" s="2"/>
      <c r="BY248" s="2"/>
      <c r="BZ248" s="2"/>
      <c r="CA248" s="46"/>
      <c r="CB248" s="1"/>
      <c r="CC248" s="1"/>
      <c r="CD248" s="1"/>
      <c r="CE248" s="1"/>
      <c r="CF248" s="1"/>
      <c r="CG248" s="1"/>
      <c r="CH248" s="1"/>
      <c r="CI248" s="2"/>
      <c r="CJ248" s="2"/>
      <c r="CK248" s="2"/>
      <c r="CL248" s="2"/>
      <c r="CM248" s="2"/>
      <c r="CN248" s="2"/>
      <c r="CO248" s="2"/>
      <c r="CP248" s="2"/>
      <c r="CQ248" s="2"/>
      <c r="CR248" s="2"/>
      <c r="CS248" s="2"/>
      <c r="CT248" s="2"/>
      <c r="CU248" s="2"/>
      <c r="CV248" s="2"/>
      <c r="CW248" s="2"/>
      <c r="CX248" s="2"/>
      <c r="CY248" s="2"/>
      <c r="CZ248" s="2"/>
    </row>
    <row r="249" spans="43:104" ht="15" hidden="1" customHeight="1" x14ac:dyDescent="0.2">
      <c r="AQ249" s="85"/>
      <c r="AR249" s="12">
        <v>1515000</v>
      </c>
      <c r="AS249" s="12">
        <v>1840000</v>
      </c>
      <c r="AT249" s="2"/>
      <c r="AU249" s="2"/>
      <c r="AV249" s="2"/>
      <c r="AW249" s="2"/>
      <c r="AX249" s="2"/>
      <c r="AY249" s="2"/>
      <c r="AZ249" s="2"/>
      <c r="BA249" s="2"/>
      <c r="BB249" s="2"/>
      <c r="BC249" s="2"/>
      <c r="BD249" s="2"/>
      <c r="BE249" s="2"/>
      <c r="BK249" s="2"/>
      <c r="BM249" s="2"/>
      <c r="BN249" s="2"/>
      <c r="BO249" s="2"/>
      <c r="BS249" s="11"/>
      <c r="BT249" s="2"/>
      <c r="BU249" s="3"/>
      <c r="BV249" s="3"/>
      <c r="BW249" s="2"/>
      <c r="BX249" s="2"/>
      <c r="BY249" s="2"/>
      <c r="BZ249" s="2"/>
      <c r="CA249" s="46"/>
      <c r="CB249" s="1"/>
      <c r="CC249" s="1"/>
      <c r="CD249" s="1"/>
      <c r="CE249" s="1"/>
      <c r="CF249" s="1"/>
      <c r="CG249" s="1"/>
      <c r="CH249" s="1"/>
      <c r="CI249" s="2"/>
      <c r="CJ249" s="2"/>
      <c r="CK249" s="2"/>
      <c r="CL249" s="2"/>
      <c r="CM249" s="2"/>
      <c r="CN249" s="2"/>
      <c r="CO249" s="2"/>
      <c r="CP249" s="2"/>
      <c r="CQ249" s="2"/>
      <c r="CR249" s="2"/>
      <c r="CS249" s="2"/>
      <c r="CT249" s="2"/>
      <c r="CU249" s="2"/>
      <c r="CV249" s="2"/>
      <c r="CW249" s="2"/>
      <c r="CX249" s="2"/>
      <c r="CY249" s="2"/>
      <c r="CZ249" s="2"/>
    </row>
    <row r="250" spans="43:104" ht="15" hidden="1" customHeight="1" x14ac:dyDescent="0.2">
      <c r="AQ250" s="12"/>
      <c r="AR250" s="12">
        <v>1520000</v>
      </c>
      <c r="AS250" s="12">
        <v>1850000</v>
      </c>
      <c r="AT250" s="2"/>
      <c r="AU250" s="2"/>
      <c r="AV250" s="2"/>
      <c r="AW250" s="2"/>
      <c r="AX250" s="2"/>
      <c r="AY250" s="2"/>
      <c r="AZ250" s="2"/>
      <c r="BA250" s="2"/>
      <c r="BB250" s="2"/>
      <c r="BC250" s="2"/>
      <c r="BD250" s="2"/>
      <c r="BE250" s="2"/>
      <c r="BK250" s="2"/>
      <c r="BM250" s="2"/>
      <c r="BN250" s="2"/>
      <c r="BO250" s="2"/>
      <c r="BS250" s="11"/>
      <c r="BT250" s="2"/>
      <c r="BU250" s="3"/>
      <c r="BV250" s="3"/>
      <c r="BW250" s="2"/>
      <c r="BX250" s="2"/>
      <c r="BY250" s="2"/>
      <c r="BZ250" s="46"/>
      <c r="CA250" s="1"/>
      <c r="CB250" s="1"/>
      <c r="CC250" s="1"/>
      <c r="CD250" s="1"/>
      <c r="CE250" s="1"/>
      <c r="CF250" s="1"/>
      <c r="CG250" s="1"/>
      <c r="CH250" s="1"/>
      <c r="CI250" s="2"/>
      <c r="CJ250" s="2"/>
      <c r="CK250" s="2"/>
      <c r="CL250" s="2"/>
      <c r="CM250" s="2"/>
      <c r="CN250" s="2"/>
      <c r="CO250" s="2"/>
      <c r="CP250" s="2"/>
      <c r="CQ250" s="2"/>
      <c r="CR250" s="2"/>
      <c r="CS250" s="2"/>
      <c r="CT250" s="2"/>
      <c r="CU250" s="2"/>
      <c r="CV250" s="2"/>
      <c r="CW250" s="2"/>
      <c r="CX250" s="2"/>
      <c r="CY250" s="2"/>
      <c r="CZ250" s="2"/>
    </row>
    <row r="251" spans="43:104" ht="15" hidden="1" customHeight="1" x14ac:dyDescent="0.2">
      <c r="AQ251" s="12"/>
      <c r="AR251" s="12">
        <v>1525000</v>
      </c>
      <c r="AS251" s="12">
        <v>1860000</v>
      </c>
      <c r="AT251" s="2"/>
      <c r="AU251" s="2"/>
      <c r="AV251" s="2"/>
      <c r="AW251" s="2"/>
      <c r="AX251" s="2"/>
      <c r="AY251" s="2"/>
      <c r="AZ251" s="2"/>
      <c r="BA251" s="2"/>
      <c r="BB251" s="2"/>
      <c r="BC251" s="2"/>
      <c r="BD251" s="2"/>
      <c r="BE251" s="2"/>
      <c r="BK251" s="2"/>
      <c r="BM251" s="2"/>
      <c r="BN251" s="2"/>
      <c r="BO251" s="2"/>
      <c r="BS251" s="11"/>
      <c r="BT251" s="2"/>
      <c r="BU251" s="3"/>
      <c r="BV251" s="3"/>
      <c r="BW251" s="2"/>
      <c r="BX251" s="2"/>
      <c r="BY251" s="2"/>
      <c r="BZ251" s="2"/>
      <c r="CA251" s="2"/>
      <c r="CB251" s="2"/>
      <c r="CC251" s="2"/>
      <c r="CD251" s="1"/>
      <c r="CE251" s="1"/>
      <c r="CF251" s="1"/>
      <c r="CG251" s="1"/>
      <c r="CH251" s="1"/>
      <c r="CI251" s="2"/>
      <c r="CJ251" s="2"/>
      <c r="CK251" s="2"/>
      <c r="CL251" s="2"/>
      <c r="CM251" s="2"/>
      <c r="CN251" s="2"/>
      <c r="CO251" s="2"/>
      <c r="CP251" s="2"/>
      <c r="CQ251" s="2"/>
      <c r="CR251" s="2"/>
      <c r="CS251" s="2"/>
      <c r="CT251" s="2"/>
      <c r="CU251" s="2"/>
      <c r="CV251" s="2"/>
      <c r="CW251" s="2"/>
      <c r="CX251" s="2"/>
      <c r="CY251" s="2"/>
      <c r="CZ251" s="2"/>
    </row>
    <row r="252" spans="43:104" ht="15" hidden="1" customHeight="1" x14ac:dyDescent="0.2">
      <c r="AQ252" s="13"/>
      <c r="AR252" s="12">
        <v>1530000</v>
      </c>
      <c r="AS252" s="12">
        <v>1870000</v>
      </c>
      <c r="AT252" s="2"/>
      <c r="AU252" s="2"/>
      <c r="AV252" s="2"/>
      <c r="AW252" s="2"/>
      <c r="AX252" s="2"/>
      <c r="AY252" s="2"/>
      <c r="AZ252" s="2"/>
      <c r="BA252" s="2"/>
      <c r="BB252" s="2"/>
      <c r="BC252" s="2"/>
      <c r="BD252" s="2"/>
      <c r="BE252" s="2"/>
      <c r="BK252" s="2"/>
      <c r="BM252" s="2"/>
      <c r="BN252" s="2"/>
      <c r="BO252" s="2"/>
      <c r="BS252" s="11"/>
      <c r="BT252" s="2"/>
      <c r="BU252" s="3"/>
      <c r="BV252" s="3"/>
      <c r="BW252" s="2"/>
      <c r="BX252" s="2"/>
      <c r="BY252" s="2"/>
      <c r="BZ252" s="2"/>
      <c r="CA252" s="46"/>
      <c r="CB252" s="1"/>
      <c r="CC252" s="1"/>
      <c r="CD252" s="1"/>
      <c r="CE252" s="1"/>
      <c r="CF252" s="1"/>
      <c r="CG252" s="1"/>
      <c r="CH252" s="1"/>
      <c r="CI252" s="2"/>
      <c r="CJ252" s="2"/>
      <c r="CK252" s="2"/>
      <c r="CL252" s="2"/>
      <c r="CM252" s="2"/>
      <c r="CN252" s="2"/>
      <c r="CO252" s="2"/>
      <c r="CP252" s="2"/>
      <c r="CQ252" s="2"/>
      <c r="CR252" s="2"/>
      <c r="CS252" s="2"/>
      <c r="CT252" s="2"/>
      <c r="CU252" s="2"/>
      <c r="CV252" s="2"/>
      <c r="CW252" s="2"/>
      <c r="CX252" s="2"/>
      <c r="CY252" s="2"/>
      <c r="CZ252" s="2"/>
    </row>
    <row r="253" spans="43:104" ht="15" hidden="1" customHeight="1" x14ac:dyDescent="0.2">
      <c r="AQ253" s="13"/>
      <c r="AR253" s="12">
        <v>1535000</v>
      </c>
      <c r="AS253" s="12">
        <v>1880000</v>
      </c>
      <c r="AT253" s="2"/>
      <c r="AU253" s="2"/>
      <c r="AV253" s="2"/>
      <c r="AW253" s="2"/>
      <c r="AX253" s="2"/>
      <c r="AY253" s="2"/>
      <c r="AZ253" s="2"/>
      <c r="BA253" s="2"/>
      <c r="BB253" s="2"/>
      <c r="BC253" s="2"/>
      <c r="BD253" s="2"/>
      <c r="BE253" s="2"/>
      <c r="BK253" s="2"/>
      <c r="BM253" s="2"/>
      <c r="BN253" s="2"/>
      <c r="BO253" s="2"/>
      <c r="BS253" s="11"/>
      <c r="BT253" s="2"/>
      <c r="BU253" s="3"/>
      <c r="BV253" s="3"/>
      <c r="BW253" s="2"/>
      <c r="BX253" s="2"/>
      <c r="BY253" s="2"/>
      <c r="BZ253" s="2"/>
      <c r="CA253" s="46"/>
      <c r="CB253" s="1"/>
      <c r="CC253" s="1"/>
      <c r="CD253" s="1"/>
      <c r="CE253" s="1"/>
      <c r="CF253" s="1"/>
      <c r="CG253" s="1"/>
      <c r="CH253" s="1"/>
      <c r="CI253" s="2"/>
      <c r="CJ253" s="2"/>
      <c r="CK253" s="2"/>
      <c r="CL253" s="2"/>
      <c r="CM253" s="2"/>
      <c r="CN253" s="2"/>
      <c r="CO253" s="2"/>
      <c r="CP253" s="2"/>
      <c r="CQ253" s="2"/>
      <c r="CR253" s="2"/>
      <c r="CS253" s="2"/>
      <c r="CT253" s="2"/>
      <c r="CU253" s="2"/>
      <c r="CV253" s="2"/>
      <c r="CW253" s="2"/>
      <c r="CX253" s="2"/>
      <c r="CY253" s="2"/>
      <c r="CZ253" s="2"/>
    </row>
    <row r="254" spans="43:104" ht="15" hidden="1" customHeight="1" x14ac:dyDescent="0.2">
      <c r="AQ254" s="85"/>
      <c r="AR254" s="12">
        <v>1540000</v>
      </c>
      <c r="AS254" s="12">
        <v>1890000</v>
      </c>
      <c r="AT254" s="2"/>
      <c r="AU254" s="2"/>
      <c r="AV254" s="2"/>
      <c r="AW254" s="2"/>
      <c r="AX254" s="2"/>
      <c r="AY254" s="2"/>
      <c r="AZ254" s="2"/>
      <c r="BA254" s="2"/>
      <c r="BB254" s="2"/>
      <c r="BC254" s="2"/>
      <c r="BD254" s="2"/>
      <c r="BE254" s="2"/>
      <c r="BK254" s="2"/>
      <c r="BM254" s="2"/>
      <c r="BN254" s="2"/>
      <c r="BO254" s="2"/>
      <c r="BS254" s="11"/>
      <c r="BT254" s="2"/>
      <c r="BU254" s="3"/>
      <c r="BV254" s="3"/>
      <c r="BW254" s="2"/>
      <c r="BX254" s="2"/>
      <c r="BY254" s="2"/>
      <c r="BZ254" s="2"/>
      <c r="CA254" s="46"/>
      <c r="CB254" s="1"/>
      <c r="CC254" s="1"/>
      <c r="CD254" s="1"/>
      <c r="CE254" s="1"/>
      <c r="CF254" s="1"/>
      <c r="CG254" s="1"/>
      <c r="CH254" s="1"/>
      <c r="CI254" s="2"/>
      <c r="CJ254" s="2"/>
      <c r="CK254" s="2"/>
      <c r="CL254" s="2"/>
      <c r="CM254" s="2"/>
      <c r="CN254" s="2"/>
      <c r="CO254" s="2"/>
      <c r="CP254" s="2"/>
      <c r="CQ254" s="2"/>
      <c r="CR254" s="2"/>
      <c r="CS254" s="2"/>
      <c r="CT254" s="2"/>
      <c r="CU254" s="2"/>
      <c r="CV254" s="2"/>
      <c r="CW254" s="2"/>
      <c r="CX254" s="2"/>
      <c r="CY254" s="2"/>
      <c r="CZ254" s="2"/>
    </row>
    <row r="255" spans="43:104" ht="15" hidden="1" customHeight="1" x14ac:dyDescent="0.2">
      <c r="AQ255" s="12"/>
      <c r="AR255" s="12">
        <v>1545000</v>
      </c>
      <c r="AS255" s="12">
        <v>1900000</v>
      </c>
      <c r="AT255" s="2"/>
      <c r="AU255" s="2"/>
      <c r="AV255" s="2"/>
      <c r="AW255" s="2"/>
      <c r="AX255" s="2"/>
      <c r="AY255" s="2"/>
      <c r="AZ255" s="2"/>
      <c r="BA255" s="2"/>
      <c r="BB255" s="2"/>
      <c r="BC255" s="2"/>
      <c r="BD255" s="2"/>
      <c r="BE255" s="2"/>
      <c r="BK255" s="2"/>
      <c r="BM255" s="2"/>
      <c r="BN255" s="2"/>
      <c r="BO255" s="2"/>
      <c r="BS255" s="11"/>
      <c r="BT255" s="2"/>
      <c r="BU255" s="3"/>
      <c r="BV255" s="3"/>
      <c r="BW255" s="2"/>
      <c r="BX255" s="2"/>
      <c r="BY255" s="2"/>
      <c r="BZ255" s="2"/>
      <c r="CA255" s="46"/>
      <c r="CB255" s="1"/>
      <c r="CC255" s="1"/>
      <c r="CD255" s="1"/>
      <c r="CE255" s="1"/>
      <c r="CF255" s="1"/>
      <c r="CG255" s="1"/>
      <c r="CH255" s="1"/>
      <c r="CI255" s="2"/>
      <c r="CJ255" s="2"/>
      <c r="CK255" s="2"/>
      <c r="CL255" s="2"/>
      <c r="CM255" s="2"/>
      <c r="CN255" s="2"/>
      <c r="CO255" s="2"/>
      <c r="CP255" s="2"/>
      <c r="CQ255" s="2"/>
      <c r="CR255" s="2"/>
      <c r="CS255" s="2"/>
      <c r="CT255" s="2"/>
      <c r="CU255" s="2"/>
      <c r="CV255" s="2"/>
      <c r="CW255" s="2"/>
      <c r="CX255" s="2"/>
      <c r="CY255" s="2"/>
      <c r="CZ255" s="2"/>
    </row>
    <row r="256" spans="43:104" ht="15" hidden="1" customHeight="1" x14ac:dyDescent="0.2">
      <c r="AQ256" s="12"/>
      <c r="AR256" s="12">
        <v>1550000</v>
      </c>
      <c r="AS256" s="12">
        <v>1910000</v>
      </c>
      <c r="AT256" s="2"/>
      <c r="AU256" s="2"/>
      <c r="AV256" s="2"/>
      <c r="AW256" s="2"/>
      <c r="AX256" s="2"/>
      <c r="AY256" s="2"/>
      <c r="AZ256" s="2"/>
      <c r="BA256" s="2"/>
      <c r="BB256" s="2"/>
      <c r="BC256" s="2"/>
      <c r="BD256" s="2"/>
      <c r="BE256" s="2"/>
      <c r="BK256" s="2"/>
      <c r="BM256" s="2"/>
      <c r="BN256" s="2"/>
      <c r="BO256" s="2"/>
      <c r="BS256" s="11"/>
      <c r="BT256" s="2"/>
      <c r="BU256" s="3"/>
      <c r="BV256" s="3"/>
      <c r="BW256" s="2"/>
      <c r="BX256" s="2"/>
      <c r="BY256" s="2"/>
      <c r="BZ256" s="2"/>
      <c r="CA256" s="46"/>
      <c r="CB256" s="1"/>
      <c r="CC256" s="1"/>
      <c r="CD256" s="1"/>
      <c r="CE256" s="1"/>
      <c r="CF256" s="1"/>
      <c r="CG256" s="1"/>
      <c r="CH256" s="1"/>
      <c r="CI256" s="2"/>
      <c r="CJ256" s="2"/>
      <c r="CK256" s="2"/>
      <c r="CL256" s="2"/>
      <c r="CM256" s="2"/>
      <c r="CN256" s="2"/>
      <c r="CO256" s="2"/>
      <c r="CP256" s="2"/>
      <c r="CQ256" s="2"/>
      <c r="CR256" s="2"/>
      <c r="CS256" s="2"/>
      <c r="CT256" s="2"/>
      <c r="CU256" s="2"/>
      <c r="CV256" s="2"/>
      <c r="CW256" s="2"/>
      <c r="CX256" s="2"/>
      <c r="CY256" s="2"/>
      <c r="CZ256" s="2"/>
    </row>
    <row r="257" spans="43:104" ht="15" hidden="1" customHeight="1" x14ac:dyDescent="0.2">
      <c r="AQ257" s="13"/>
      <c r="AR257" s="12">
        <v>1555000</v>
      </c>
      <c r="AS257" s="12">
        <v>1920000</v>
      </c>
      <c r="AT257" s="2"/>
      <c r="AU257" s="2"/>
      <c r="AV257" s="2"/>
      <c r="AW257" s="2"/>
      <c r="AX257" s="2"/>
      <c r="AY257" s="2"/>
      <c r="AZ257" s="2"/>
      <c r="BA257" s="2"/>
      <c r="BB257" s="2"/>
      <c r="BC257" s="2"/>
      <c r="BD257" s="2"/>
      <c r="BE257" s="2"/>
      <c r="BK257" s="2"/>
      <c r="BM257" s="2"/>
      <c r="BN257" s="2"/>
      <c r="BO257" s="2"/>
      <c r="BS257" s="11"/>
      <c r="BT257" s="2"/>
      <c r="BU257" s="3"/>
      <c r="BV257" s="3"/>
      <c r="BW257" s="2"/>
      <c r="BX257" s="2"/>
      <c r="BY257" s="2"/>
      <c r="BZ257" s="2"/>
      <c r="CA257" s="2"/>
      <c r="CB257" s="2"/>
      <c r="CC257" s="2"/>
      <c r="CD257" s="1"/>
      <c r="CE257" s="1"/>
      <c r="CF257" s="1"/>
      <c r="CG257" s="1"/>
      <c r="CH257" s="1"/>
      <c r="CI257" s="2"/>
      <c r="CJ257" s="2"/>
      <c r="CK257" s="2"/>
      <c r="CL257" s="2"/>
      <c r="CM257" s="2"/>
      <c r="CN257" s="2"/>
      <c r="CO257" s="2"/>
      <c r="CP257" s="2"/>
      <c r="CQ257" s="2"/>
      <c r="CR257" s="2"/>
      <c r="CS257" s="2"/>
      <c r="CT257" s="2"/>
      <c r="CU257" s="2"/>
      <c r="CV257" s="2"/>
      <c r="CW257" s="2"/>
      <c r="CX257" s="2"/>
      <c r="CY257" s="2"/>
      <c r="CZ257" s="2"/>
    </row>
    <row r="258" spans="43:104" ht="15" hidden="1" customHeight="1" x14ac:dyDescent="0.2">
      <c r="AQ258" s="13"/>
      <c r="AR258" s="12">
        <v>1560000</v>
      </c>
      <c r="AS258" s="12">
        <v>1930000</v>
      </c>
      <c r="AT258" s="2"/>
      <c r="AU258" s="2"/>
      <c r="AV258" s="2"/>
      <c r="AW258" s="2"/>
      <c r="AX258" s="2"/>
      <c r="AY258" s="2"/>
      <c r="AZ258" s="2"/>
      <c r="BA258" s="2"/>
      <c r="BB258" s="2"/>
      <c r="BC258" s="2"/>
      <c r="BD258" s="2"/>
      <c r="BE258" s="2"/>
      <c r="BK258" s="2"/>
      <c r="BM258" s="2"/>
      <c r="BN258" s="2"/>
      <c r="BO258" s="2"/>
      <c r="BS258" s="11"/>
      <c r="BT258" s="2"/>
      <c r="BU258" s="3"/>
      <c r="BV258" s="3"/>
      <c r="BW258" s="2"/>
      <c r="BX258" s="2"/>
      <c r="BY258" s="2"/>
      <c r="BZ258" s="2"/>
      <c r="CA258" s="2"/>
      <c r="CB258" s="2"/>
      <c r="CC258" s="2"/>
      <c r="CD258" s="1"/>
      <c r="CE258" s="1"/>
      <c r="CF258" s="1"/>
      <c r="CG258" s="1"/>
      <c r="CH258" s="1"/>
      <c r="CI258" s="2"/>
      <c r="CJ258" s="2"/>
      <c r="CK258" s="2"/>
      <c r="CL258" s="2"/>
      <c r="CM258" s="2"/>
      <c r="CN258" s="2"/>
      <c r="CO258" s="2"/>
      <c r="CP258" s="2"/>
      <c r="CQ258" s="2"/>
      <c r="CR258" s="2"/>
      <c r="CS258" s="2"/>
      <c r="CT258" s="2"/>
      <c r="CU258" s="2"/>
      <c r="CV258" s="2"/>
      <c r="CW258" s="2"/>
      <c r="CX258" s="2"/>
      <c r="CY258" s="2"/>
      <c r="CZ258" s="2"/>
    </row>
    <row r="259" spans="43:104" ht="15" hidden="1" customHeight="1" x14ac:dyDescent="0.2">
      <c r="AQ259" s="85"/>
      <c r="AR259" s="12">
        <v>1565000</v>
      </c>
      <c r="AS259" s="12">
        <v>1940000</v>
      </c>
      <c r="AT259" s="2"/>
      <c r="AU259" s="2"/>
      <c r="AV259" s="2"/>
      <c r="AW259" s="2"/>
      <c r="AX259" s="2"/>
      <c r="AY259" s="2"/>
      <c r="AZ259" s="2"/>
      <c r="BA259" s="2"/>
      <c r="BB259" s="2"/>
      <c r="BC259" s="2"/>
      <c r="BD259" s="2"/>
      <c r="BE259" s="2"/>
      <c r="BK259" s="2"/>
      <c r="BM259" s="2"/>
      <c r="BN259" s="2"/>
      <c r="BO259" s="2"/>
      <c r="BS259" s="11"/>
      <c r="BT259" s="2"/>
      <c r="BU259" s="3"/>
      <c r="BV259" s="3"/>
      <c r="BW259" s="2"/>
      <c r="BX259" s="2"/>
      <c r="BY259" s="2"/>
      <c r="BZ259" s="2"/>
      <c r="CA259" s="2"/>
      <c r="CB259" s="2"/>
      <c r="CC259" s="2"/>
      <c r="CD259" s="1"/>
      <c r="CE259" s="1"/>
      <c r="CF259" s="1"/>
      <c r="CG259" s="1"/>
      <c r="CH259" s="1"/>
      <c r="CI259" s="2"/>
      <c r="CJ259" s="2"/>
      <c r="CK259" s="2"/>
      <c r="CL259" s="2"/>
      <c r="CM259" s="2"/>
      <c r="CN259" s="2"/>
      <c r="CO259" s="2"/>
      <c r="CP259" s="2"/>
      <c r="CQ259" s="2"/>
      <c r="CR259" s="2"/>
      <c r="CS259" s="2"/>
      <c r="CT259" s="2"/>
      <c r="CU259" s="2"/>
      <c r="CV259" s="2"/>
      <c r="CW259" s="2"/>
      <c r="CX259" s="2"/>
      <c r="CY259" s="2"/>
      <c r="CZ259" s="2"/>
    </row>
    <row r="260" spans="43:104" ht="15" hidden="1" customHeight="1" x14ac:dyDescent="0.2">
      <c r="AQ260" s="12"/>
      <c r="AR260" s="12">
        <v>1570000</v>
      </c>
      <c r="AS260" s="12">
        <v>1950000</v>
      </c>
      <c r="AT260" s="2"/>
      <c r="AU260" s="2"/>
      <c r="AV260" s="2"/>
      <c r="AW260" s="2"/>
      <c r="AX260" s="2"/>
      <c r="AY260" s="2"/>
      <c r="AZ260" s="2"/>
      <c r="BA260" s="2"/>
      <c r="BB260" s="2"/>
      <c r="BC260" s="2"/>
      <c r="BD260" s="2"/>
      <c r="BE260" s="2"/>
      <c r="BK260" s="2"/>
      <c r="BM260" s="2"/>
      <c r="BN260" s="2"/>
      <c r="BO260" s="2"/>
      <c r="BS260" s="11"/>
      <c r="BT260" s="2"/>
      <c r="BU260" s="3"/>
      <c r="BV260" s="3"/>
      <c r="BW260" s="2"/>
      <c r="BX260" s="2"/>
      <c r="BY260" s="2"/>
      <c r="BZ260" s="2"/>
      <c r="CA260" s="2"/>
      <c r="CB260" s="2"/>
      <c r="CC260" s="2"/>
      <c r="CD260" s="1"/>
      <c r="CE260" s="1"/>
      <c r="CF260" s="1"/>
      <c r="CG260" s="1"/>
      <c r="CH260" s="1"/>
      <c r="CI260" s="2"/>
      <c r="CJ260" s="2"/>
      <c r="CK260" s="2"/>
      <c r="CL260" s="2"/>
      <c r="CM260" s="2"/>
      <c r="CN260" s="2"/>
      <c r="CO260" s="2"/>
      <c r="CP260" s="2"/>
      <c r="CQ260" s="2"/>
      <c r="CR260" s="2"/>
      <c r="CS260" s="2"/>
      <c r="CT260" s="2"/>
      <c r="CU260" s="2"/>
      <c r="CV260" s="2"/>
      <c r="CW260" s="2"/>
      <c r="CX260" s="2"/>
      <c r="CY260" s="2"/>
      <c r="CZ260" s="2"/>
    </row>
    <row r="261" spans="43:104" ht="15" hidden="1" customHeight="1" x14ac:dyDescent="0.2">
      <c r="AQ261" s="12"/>
      <c r="AR261" s="12">
        <v>1575000</v>
      </c>
      <c r="AS261" s="12">
        <v>1960000</v>
      </c>
      <c r="AT261" s="2"/>
      <c r="AU261" s="2"/>
      <c r="AV261" s="2"/>
      <c r="AW261" s="2"/>
      <c r="AX261" s="2"/>
      <c r="AY261" s="2"/>
      <c r="AZ261" s="2"/>
      <c r="BA261" s="2"/>
      <c r="BB261" s="2"/>
      <c r="BC261" s="2"/>
      <c r="BD261" s="2"/>
      <c r="BE261" s="2"/>
      <c r="BK261" s="2"/>
      <c r="BM261" s="2"/>
      <c r="BN261" s="2"/>
      <c r="BO261" s="2"/>
      <c r="BS261" s="11"/>
      <c r="BT261" s="2"/>
      <c r="BU261" s="3"/>
      <c r="BV261" s="3"/>
      <c r="BW261" s="2"/>
      <c r="BX261" s="2"/>
      <c r="BY261" s="2"/>
      <c r="BZ261" s="2"/>
      <c r="CA261" s="2"/>
      <c r="CB261" s="2"/>
      <c r="CC261" s="2"/>
      <c r="CD261" s="1"/>
      <c r="CE261" s="1"/>
      <c r="CF261" s="1"/>
      <c r="CG261" s="1"/>
      <c r="CH261" s="1"/>
      <c r="CI261" s="2"/>
      <c r="CJ261" s="2"/>
      <c r="CK261" s="2"/>
      <c r="CL261" s="2"/>
      <c r="CM261" s="2"/>
      <c r="CN261" s="2"/>
      <c r="CO261" s="2"/>
      <c r="CP261" s="2"/>
      <c r="CQ261" s="2"/>
      <c r="CR261" s="2"/>
      <c r="CS261" s="2"/>
      <c r="CT261" s="2"/>
      <c r="CU261" s="2"/>
      <c r="CV261" s="2"/>
      <c r="CW261" s="2"/>
      <c r="CX261" s="2"/>
      <c r="CY261" s="2"/>
      <c r="CZ261" s="2"/>
    </row>
    <row r="262" spans="43:104" ht="15" hidden="1" customHeight="1" x14ac:dyDescent="0.2">
      <c r="AQ262" s="13"/>
      <c r="AR262" s="12">
        <v>1580000</v>
      </c>
      <c r="AS262" s="12">
        <v>1970000</v>
      </c>
      <c r="AT262" s="2"/>
      <c r="AU262" s="2"/>
      <c r="AV262" s="2"/>
      <c r="AW262" s="2"/>
      <c r="AX262" s="2"/>
      <c r="AY262" s="2"/>
      <c r="AZ262" s="2"/>
      <c r="BA262" s="2"/>
      <c r="BB262" s="2"/>
      <c r="BC262" s="2"/>
      <c r="BD262" s="2"/>
      <c r="BE262" s="2"/>
      <c r="BK262" s="2"/>
      <c r="BM262" s="2"/>
      <c r="BN262" s="2"/>
      <c r="BO262" s="2"/>
      <c r="BS262" s="11"/>
      <c r="BT262" s="2"/>
      <c r="BU262" s="3"/>
      <c r="BV262" s="3"/>
      <c r="BW262" s="2"/>
      <c r="BX262" s="2"/>
      <c r="BY262" s="2"/>
      <c r="BZ262" s="2"/>
      <c r="CA262" s="2"/>
      <c r="CB262" s="2"/>
      <c r="CC262" s="2"/>
      <c r="CD262" s="1"/>
      <c r="CE262" s="1"/>
      <c r="CF262" s="1"/>
      <c r="CG262" s="1"/>
      <c r="CH262" s="1"/>
      <c r="CI262" s="2"/>
      <c r="CJ262" s="2"/>
      <c r="CK262" s="2"/>
      <c r="CL262" s="2"/>
      <c r="CM262" s="2"/>
      <c r="CN262" s="2"/>
      <c r="CO262" s="2"/>
      <c r="CP262" s="2"/>
      <c r="CQ262" s="2"/>
      <c r="CR262" s="2"/>
      <c r="CS262" s="2"/>
      <c r="CT262" s="2"/>
      <c r="CU262" s="2"/>
      <c r="CV262" s="2"/>
      <c r="CW262" s="2"/>
      <c r="CX262" s="2"/>
      <c r="CY262" s="2"/>
      <c r="CZ262" s="2"/>
    </row>
    <row r="263" spans="43:104" ht="15" hidden="1" customHeight="1" x14ac:dyDescent="0.2">
      <c r="AQ263" s="13"/>
      <c r="AR263" s="12">
        <v>1585000</v>
      </c>
      <c r="AS263" s="12">
        <v>1980000</v>
      </c>
      <c r="AT263" s="2"/>
      <c r="AU263" s="2"/>
      <c r="AV263" s="2"/>
      <c r="AW263" s="2"/>
      <c r="AX263" s="2"/>
      <c r="AY263" s="2"/>
      <c r="AZ263" s="2"/>
      <c r="BA263" s="2"/>
      <c r="BB263" s="2"/>
      <c r="BC263" s="2"/>
      <c r="BD263" s="2"/>
      <c r="BE263" s="2"/>
      <c r="BK263" s="2"/>
      <c r="BM263" s="2"/>
      <c r="BN263" s="2"/>
      <c r="BO263" s="2"/>
      <c r="BS263" s="11"/>
      <c r="BT263" s="2"/>
      <c r="BU263" s="3"/>
      <c r="BV263" s="3"/>
      <c r="BW263" s="2"/>
      <c r="BX263" s="2"/>
      <c r="BY263" s="2"/>
      <c r="BZ263" s="2"/>
      <c r="CA263" s="46"/>
      <c r="CB263" s="1"/>
      <c r="CC263" s="1"/>
      <c r="CD263" s="1"/>
      <c r="CE263" s="1"/>
      <c r="CF263" s="1"/>
      <c r="CG263" s="1"/>
      <c r="CH263" s="1"/>
      <c r="CI263" s="2"/>
      <c r="CJ263" s="2"/>
      <c r="CK263" s="2"/>
      <c r="CL263" s="2"/>
      <c r="CM263" s="2"/>
      <c r="CN263" s="2"/>
      <c r="CO263" s="2"/>
      <c r="CP263" s="2"/>
      <c r="CQ263" s="2"/>
      <c r="CR263" s="2"/>
      <c r="CS263" s="2"/>
      <c r="CT263" s="2"/>
      <c r="CU263" s="2"/>
      <c r="CV263" s="2"/>
      <c r="CW263" s="2"/>
      <c r="CX263" s="2"/>
      <c r="CY263" s="2"/>
      <c r="CZ263" s="2"/>
    </row>
    <row r="264" spans="43:104" ht="15" hidden="1" customHeight="1" x14ac:dyDescent="0.2">
      <c r="AQ264" s="85"/>
      <c r="AR264" s="12">
        <v>1590000</v>
      </c>
      <c r="AS264" s="12">
        <v>1990000</v>
      </c>
      <c r="AT264" s="2"/>
      <c r="AU264" s="2"/>
      <c r="AV264" s="2"/>
      <c r="AW264" s="2"/>
      <c r="AX264" s="2"/>
      <c r="AY264" s="2"/>
      <c r="AZ264" s="2"/>
      <c r="BA264" s="2"/>
      <c r="BB264" s="2"/>
      <c r="BC264" s="2"/>
      <c r="BD264" s="2"/>
      <c r="BE264" s="2"/>
      <c r="BK264" s="2"/>
      <c r="BM264" s="2"/>
      <c r="BN264" s="2"/>
      <c r="BO264" s="2"/>
      <c r="BS264" s="11"/>
      <c r="BT264" s="2"/>
      <c r="BU264" s="3"/>
      <c r="BV264" s="3"/>
      <c r="BW264" s="2"/>
      <c r="BX264" s="2"/>
      <c r="BY264" s="2"/>
      <c r="BZ264" s="2"/>
      <c r="CA264" s="46"/>
      <c r="CB264" s="1"/>
      <c r="CC264" s="1"/>
      <c r="CD264" s="1"/>
      <c r="CE264" s="1"/>
      <c r="CF264" s="1"/>
      <c r="CG264" s="1"/>
      <c r="CH264" s="1"/>
      <c r="CI264" s="2"/>
      <c r="CJ264" s="2"/>
      <c r="CK264" s="2"/>
      <c r="CL264" s="2"/>
      <c r="CM264" s="2"/>
      <c r="CN264" s="2"/>
      <c r="CO264" s="2"/>
      <c r="CP264" s="2"/>
      <c r="CQ264" s="2"/>
      <c r="CR264" s="2"/>
      <c r="CS264" s="2"/>
      <c r="CT264" s="2"/>
      <c r="CU264" s="2"/>
      <c r="CV264" s="2"/>
      <c r="CW264" s="2"/>
      <c r="CX264" s="2"/>
      <c r="CY264" s="2"/>
      <c r="CZ264" s="2"/>
    </row>
    <row r="265" spans="43:104" ht="15" hidden="1" customHeight="1" x14ac:dyDescent="0.2">
      <c r="AQ265" s="12"/>
      <c r="AR265" s="12">
        <v>1595000</v>
      </c>
      <c r="AS265" s="12">
        <v>2000000</v>
      </c>
      <c r="AT265" s="2"/>
      <c r="AU265" s="2"/>
      <c r="AV265" s="2"/>
      <c r="AW265" s="2"/>
      <c r="AX265" s="2"/>
      <c r="AY265" s="2"/>
      <c r="AZ265" s="2"/>
      <c r="BA265" s="2"/>
      <c r="BB265" s="2"/>
      <c r="BC265" s="2"/>
      <c r="BD265" s="2"/>
      <c r="BE265" s="2"/>
      <c r="BK265" s="2"/>
      <c r="BM265" s="2"/>
      <c r="BN265" s="2"/>
      <c r="BO265" s="2"/>
      <c r="BS265" s="11"/>
      <c r="BT265" s="2"/>
      <c r="BU265" s="3"/>
      <c r="BV265" s="3"/>
      <c r="BW265" s="2"/>
      <c r="BX265" s="2"/>
      <c r="BY265" s="2"/>
      <c r="BZ265" s="2"/>
      <c r="CA265" s="46"/>
      <c r="CB265" s="1"/>
      <c r="CC265" s="1"/>
      <c r="CD265" s="1"/>
      <c r="CE265" s="1"/>
      <c r="CF265" s="1"/>
      <c r="CG265" s="1"/>
      <c r="CH265" s="1"/>
      <c r="CI265" s="2"/>
      <c r="CJ265" s="2"/>
      <c r="CK265" s="2"/>
      <c r="CL265" s="2"/>
      <c r="CM265" s="2"/>
      <c r="CN265" s="2"/>
      <c r="CO265" s="2"/>
      <c r="CP265" s="2"/>
      <c r="CQ265" s="2"/>
      <c r="CR265" s="2"/>
      <c r="CS265" s="2"/>
      <c r="CT265" s="2"/>
      <c r="CU265" s="2"/>
      <c r="CV265" s="2"/>
      <c r="CW265" s="2"/>
      <c r="CX265" s="2"/>
      <c r="CY265" s="2"/>
      <c r="CZ265" s="2"/>
    </row>
    <row r="266" spans="43:104" ht="15" hidden="1" customHeight="1" x14ac:dyDescent="0.2">
      <c r="AQ266" s="12"/>
      <c r="AR266" s="12">
        <v>1600000</v>
      </c>
      <c r="AS266" s="12">
        <v>2010000</v>
      </c>
      <c r="AT266" s="2"/>
      <c r="AU266" s="2"/>
      <c r="AV266" s="2"/>
      <c r="AW266" s="2"/>
      <c r="AX266" s="2"/>
      <c r="AY266" s="2"/>
      <c r="AZ266" s="2"/>
      <c r="BA266" s="2"/>
      <c r="BB266" s="2"/>
      <c r="BC266" s="2"/>
      <c r="BD266" s="2"/>
      <c r="BE266" s="2"/>
      <c r="BK266" s="2"/>
      <c r="BM266" s="2"/>
      <c r="BN266" s="2"/>
      <c r="BO266" s="2"/>
      <c r="BS266" s="11"/>
      <c r="BT266" s="2"/>
      <c r="BU266" s="3"/>
      <c r="BV266" s="3"/>
      <c r="BW266" s="2"/>
      <c r="BX266" s="2"/>
      <c r="BY266" s="2"/>
      <c r="BZ266" s="46"/>
      <c r="CA266" s="1"/>
      <c r="CB266" s="1"/>
      <c r="CC266" s="1"/>
      <c r="CD266" s="1"/>
      <c r="CE266" s="1"/>
      <c r="CF266" s="1"/>
      <c r="CG266" s="1"/>
      <c r="CH266" s="1"/>
      <c r="CI266" s="2"/>
      <c r="CJ266" s="2"/>
      <c r="CK266" s="2"/>
      <c r="CL266" s="2"/>
      <c r="CM266" s="2"/>
      <c r="CN266" s="2"/>
      <c r="CO266" s="2"/>
      <c r="CP266" s="2"/>
      <c r="CQ266" s="2"/>
      <c r="CR266" s="2"/>
      <c r="CS266" s="2"/>
      <c r="CT266" s="2"/>
      <c r="CU266" s="2"/>
      <c r="CV266" s="2"/>
      <c r="CW266" s="2"/>
      <c r="CX266" s="2"/>
      <c r="CY266" s="2"/>
      <c r="CZ266" s="2"/>
    </row>
    <row r="267" spans="43:104" ht="15" hidden="1" customHeight="1" x14ac:dyDescent="0.2">
      <c r="AQ267" s="13"/>
      <c r="AR267" s="12">
        <v>1605000</v>
      </c>
      <c r="AS267" s="12">
        <v>2020000</v>
      </c>
      <c r="AT267" s="2"/>
      <c r="AU267" s="2"/>
      <c r="AV267" s="2"/>
      <c r="AW267" s="2"/>
      <c r="AX267" s="2"/>
      <c r="AY267" s="2"/>
      <c r="AZ267" s="2"/>
      <c r="BA267" s="2"/>
      <c r="BB267" s="2"/>
      <c r="BC267" s="2"/>
      <c r="BD267" s="2"/>
      <c r="BE267" s="2"/>
      <c r="BK267" s="2"/>
      <c r="BM267" s="2"/>
      <c r="BN267" s="2"/>
      <c r="BO267" s="2"/>
      <c r="BS267" s="11"/>
      <c r="BT267" s="2"/>
      <c r="BU267" s="3"/>
      <c r="BV267" s="3"/>
      <c r="BW267" s="2"/>
      <c r="BX267" s="2"/>
      <c r="BY267" s="2"/>
      <c r="BZ267" s="2"/>
      <c r="CA267" s="46"/>
      <c r="CB267" s="1"/>
      <c r="CC267" s="1"/>
      <c r="CD267" s="1"/>
      <c r="CE267" s="1"/>
      <c r="CF267" s="1"/>
      <c r="CG267" s="1"/>
      <c r="CH267" s="1"/>
      <c r="CI267" s="2"/>
      <c r="CJ267" s="2"/>
      <c r="CK267" s="2"/>
      <c r="CL267" s="2"/>
      <c r="CM267" s="2"/>
      <c r="CN267" s="2"/>
      <c r="CO267" s="2"/>
      <c r="CP267" s="2"/>
      <c r="CQ267" s="2"/>
      <c r="CR267" s="2"/>
      <c r="CS267" s="2"/>
      <c r="CT267" s="2"/>
      <c r="CU267" s="2"/>
      <c r="CV267" s="2"/>
      <c r="CW267" s="2"/>
      <c r="CX267" s="2"/>
      <c r="CY267" s="2"/>
      <c r="CZ267" s="2"/>
    </row>
    <row r="268" spans="43:104" ht="15" hidden="1" customHeight="1" x14ac:dyDescent="0.2">
      <c r="AQ268" s="13"/>
      <c r="AR268" s="12">
        <v>1610000</v>
      </c>
      <c r="AS268" s="12">
        <v>2030000</v>
      </c>
      <c r="AT268" s="2"/>
      <c r="AU268" s="2"/>
      <c r="AV268" s="2"/>
      <c r="AW268" s="2"/>
      <c r="AX268" s="2"/>
      <c r="AY268" s="2"/>
      <c r="AZ268" s="2"/>
      <c r="BA268" s="2"/>
      <c r="BB268" s="2"/>
      <c r="BC268" s="2"/>
      <c r="BD268" s="2"/>
      <c r="BE268" s="2"/>
      <c r="BK268" s="2"/>
      <c r="BM268" s="2"/>
      <c r="BN268" s="2"/>
      <c r="BO268" s="2"/>
      <c r="BS268" s="11"/>
      <c r="BT268" s="2"/>
      <c r="BU268" s="3"/>
      <c r="BV268" s="3"/>
      <c r="BW268" s="2"/>
      <c r="BX268" s="2"/>
      <c r="BY268" s="2"/>
      <c r="BZ268" s="2"/>
      <c r="CA268" s="46"/>
      <c r="CB268" s="1"/>
      <c r="CC268" s="1"/>
      <c r="CD268" s="1"/>
      <c r="CE268" s="1"/>
      <c r="CF268" s="1"/>
      <c r="CG268" s="1"/>
      <c r="CH268" s="1"/>
      <c r="CI268" s="2"/>
      <c r="CJ268" s="2"/>
      <c r="CK268" s="2"/>
      <c r="CL268" s="2"/>
      <c r="CM268" s="2"/>
      <c r="CN268" s="2"/>
      <c r="CO268" s="2"/>
      <c r="CP268" s="2"/>
      <c r="CQ268" s="2"/>
      <c r="CR268" s="2"/>
      <c r="CS268" s="2"/>
      <c r="CT268" s="2"/>
      <c r="CU268" s="2"/>
      <c r="CV268" s="2"/>
      <c r="CW268" s="2"/>
      <c r="CX268" s="2"/>
      <c r="CY268" s="2"/>
      <c r="CZ268" s="2"/>
    </row>
    <row r="269" spans="43:104" ht="15" hidden="1" customHeight="1" x14ac:dyDescent="0.2">
      <c r="AQ269" s="85"/>
      <c r="AR269" s="12">
        <v>1615000</v>
      </c>
      <c r="AS269" s="12">
        <v>2040000</v>
      </c>
      <c r="AT269" s="2"/>
      <c r="AU269" s="2"/>
      <c r="AV269" s="2"/>
      <c r="AW269" s="2"/>
      <c r="AX269" s="2"/>
      <c r="AY269" s="2"/>
      <c r="AZ269" s="2"/>
      <c r="BA269" s="2"/>
      <c r="BB269" s="2"/>
      <c r="BC269" s="2"/>
      <c r="BD269" s="2"/>
      <c r="BE269" s="2"/>
      <c r="BK269" s="2"/>
      <c r="BM269" s="2"/>
      <c r="BN269" s="2"/>
      <c r="BO269" s="2"/>
      <c r="BS269" s="11"/>
      <c r="BT269" s="2"/>
      <c r="BU269" s="3"/>
      <c r="BV269" s="3"/>
      <c r="BW269" s="2"/>
      <c r="BX269" s="2"/>
      <c r="BY269" s="2"/>
      <c r="BZ269" s="2"/>
      <c r="CA269" s="2"/>
      <c r="CB269" s="2"/>
      <c r="CC269" s="2"/>
      <c r="CD269" s="1"/>
      <c r="CE269" s="1"/>
      <c r="CF269" s="1"/>
      <c r="CG269" s="1"/>
      <c r="CH269" s="1"/>
      <c r="CI269" s="2"/>
      <c r="CJ269" s="2"/>
      <c r="CK269" s="2"/>
      <c r="CL269" s="2"/>
      <c r="CM269" s="2"/>
      <c r="CN269" s="2"/>
      <c r="CO269" s="2"/>
      <c r="CP269" s="2"/>
      <c r="CQ269" s="2"/>
      <c r="CR269" s="2"/>
      <c r="CS269" s="2"/>
      <c r="CT269" s="2"/>
      <c r="CU269" s="2"/>
      <c r="CV269" s="2"/>
      <c r="CW269" s="2"/>
      <c r="CX269" s="2"/>
      <c r="CY269" s="2"/>
      <c r="CZ269" s="2"/>
    </row>
    <row r="270" spans="43:104" ht="15" hidden="1" customHeight="1" x14ac:dyDescent="0.2">
      <c r="AQ270" s="12"/>
      <c r="AR270" s="12">
        <v>1620000</v>
      </c>
      <c r="AS270" s="12">
        <v>2050000</v>
      </c>
      <c r="AT270" s="2"/>
      <c r="AU270" s="2"/>
      <c r="AV270" s="2"/>
      <c r="AW270" s="2"/>
      <c r="AX270" s="2"/>
      <c r="AY270" s="2"/>
      <c r="AZ270" s="2"/>
      <c r="BA270" s="2"/>
      <c r="BB270" s="2"/>
      <c r="BC270" s="2"/>
      <c r="BD270" s="2"/>
      <c r="BE270" s="2"/>
      <c r="BK270" s="2"/>
      <c r="BM270" s="2"/>
      <c r="BN270" s="2"/>
      <c r="BO270" s="2"/>
      <c r="BS270" s="11"/>
      <c r="BT270" s="2"/>
      <c r="BU270" s="3"/>
      <c r="BV270" s="3"/>
      <c r="BW270" s="2"/>
      <c r="BX270" s="2"/>
      <c r="BY270" s="2"/>
      <c r="BZ270" s="2"/>
      <c r="CA270" s="2"/>
      <c r="CB270" s="2"/>
      <c r="CC270" s="2"/>
      <c r="CD270" s="1"/>
      <c r="CE270" s="1"/>
      <c r="CF270" s="1"/>
      <c r="CG270" s="1"/>
      <c r="CH270" s="1"/>
      <c r="CI270" s="2"/>
      <c r="CJ270" s="2"/>
      <c r="CK270" s="2"/>
      <c r="CL270" s="2"/>
      <c r="CM270" s="2"/>
      <c r="CN270" s="2"/>
      <c r="CO270" s="2"/>
      <c r="CP270" s="2"/>
      <c r="CQ270" s="2"/>
      <c r="CR270" s="2"/>
      <c r="CS270" s="2"/>
      <c r="CT270" s="2"/>
      <c r="CU270" s="2"/>
      <c r="CV270" s="2"/>
      <c r="CW270" s="2"/>
      <c r="CX270" s="2"/>
      <c r="CY270" s="2"/>
      <c r="CZ270" s="2"/>
    </row>
    <row r="271" spans="43:104" ht="15" hidden="1" customHeight="1" x14ac:dyDescent="0.2">
      <c r="AQ271" s="12"/>
      <c r="AR271" s="12">
        <v>1625000</v>
      </c>
      <c r="AS271" s="12">
        <v>2060000</v>
      </c>
      <c r="AT271" s="2"/>
      <c r="AU271" s="2"/>
      <c r="AV271" s="2"/>
      <c r="AW271" s="2"/>
      <c r="AX271" s="2"/>
      <c r="AY271" s="2"/>
      <c r="AZ271" s="2"/>
      <c r="BA271" s="2"/>
      <c r="BB271" s="2"/>
      <c r="BC271" s="2"/>
      <c r="BD271" s="2"/>
      <c r="BE271" s="2"/>
      <c r="BK271" s="2"/>
      <c r="BM271" s="2"/>
      <c r="BN271" s="2"/>
      <c r="BO271" s="2"/>
      <c r="BS271" s="11"/>
      <c r="BT271" s="2"/>
      <c r="BU271" s="3"/>
      <c r="BV271" s="3"/>
      <c r="BW271" s="2"/>
      <c r="BX271" s="2"/>
      <c r="BY271" s="2"/>
      <c r="BZ271" s="2"/>
      <c r="CA271" s="2"/>
      <c r="CB271" s="2"/>
      <c r="CC271" s="2"/>
      <c r="CD271" s="1"/>
      <c r="CE271" s="1"/>
      <c r="CF271" s="1"/>
      <c r="CG271" s="1"/>
      <c r="CH271" s="1"/>
      <c r="CI271" s="2"/>
      <c r="CJ271" s="2"/>
      <c r="CK271" s="2"/>
      <c r="CL271" s="2"/>
      <c r="CM271" s="2"/>
      <c r="CN271" s="2"/>
      <c r="CO271" s="2"/>
      <c r="CP271" s="2"/>
      <c r="CQ271" s="2"/>
      <c r="CR271" s="2"/>
      <c r="CS271" s="2"/>
      <c r="CT271" s="2"/>
      <c r="CU271" s="2"/>
      <c r="CV271" s="2"/>
      <c r="CW271" s="2"/>
      <c r="CX271" s="2"/>
      <c r="CY271" s="2"/>
      <c r="CZ271" s="2"/>
    </row>
    <row r="272" spans="43:104" ht="15" hidden="1" customHeight="1" x14ac:dyDescent="0.2">
      <c r="AQ272" s="13"/>
      <c r="AR272" s="12">
        <v>1630000</v>
      </c>
      <c r="AS272" s="12">
        <v>2070000</v>
      </c>
      <c r="AT272" s="2"/>
      <c r="AU272" s="2"/>
      <c r="AV272" s="2"/>
      <c r="AW272" s="2"/>
      <c r="AX272" s="2"/>
      <c r="AY272" s="2"/>
      <c r="AZ272" s="2"/>
      <c r="BA272" s="2"/>
      <c r="BB272" s="2"/>
      <c r="BC272" s="2"/>
      <c r="BD272" s="2"/>
      <c r="BE272" s="2"/>
      <c r="BK272" s="2"/>
      <c r="BM272" s="2"/>
      <c r="BN272" s="2"/>
      <c r="BO272" s="2"/>
      <c r="BS272" s="11"/>
      <c r="BT272" s="2"/>
      <c r="BU272" s="3"/>
      <c r="BV272" s="3"/>
      <c r="BW272" s="2"/>
      <c r="BX272" s="2"/>
      <c r="BY272" s="2"/>
      <c r="BZ272" s="2"/>
      <c r="CA272" s="2"/>
      <c r="CB272" s="2"/>
      <c r="CC272" s="2"/>
      <c r="CD272" s="1"/>
      <c r="CE272" s="1"/>
      <c r="CF272" s="1"/>
      <c r="CG272" s="1"/>
      <c r="CH272" s="1"/>
      <c r="CI272" s="2"/>
      <c r="CJ272" s="2"/>
      <c r="CK272" s="2"/>
      <c r="CL272" s="2"/>
      <c r="CM272" s="2"/>
      <c r="CN272" s="2"/>
      <c r="CO272" s="2"/>
      <c r="CP272" s="2"/>
      <c r="CQ272" s="2"/>
      <c r="CR272" s="2"/>
      <c r="CS272" s="2"/>
      <c r="CT272" s="2"/>
      <c r="CU272" s="2"/>
      <c r="CV272" s="2"/>
      <c r="CW272" s="2"/>
      <c r="CX272" s="2"/>
      <c r="CY272" s="2"/>
      <c r="CZ272" s="2"/>
    </row>
    <row r="273" spans="43:104" ht="15" hidden="1" customHeight="1" x14ac:dyDescent="0.2">
      <c r="AQ273" s="13"/>
      <c r="AR273" s="12">
        <v>1635000</v>
      </c>
      <c r="AS273" s="12">
        <v>2080000</v>
      </c>
      <c r="AT273" s="2"/>
      <c r="AU273" s="2"/>
      <c r="AV273" s="2"/>
      <c r="AW273" s="2"/>
      <c r="AX273" s="2"/>
      <c r="AY273" s="2"/>
      <c r="AZ273" s="2"/>
      <c r="BA273" s="2"/>
      <c r="BB273" s="2"/>
      <c r="BC273" s="2"/>
      <c r="BD273" s="2"/>
      <c r="BE273" s="2"/>
      <c r="BK273" s="2"/>
      <c r="BM273" s="2"/>
      <c r="BN273" s="2"/>
      <c r="BO273" s="2"/>
      <c r="BS273" s="11"/>
      <c r="BT273" s="2"/>
      <c r="BU273" s="3"/>
      <c r="BV273" s="3"/>
      <c r="BW273" s="2"/>
      <c r="BX273" s="2"/>
      <c r="BY273" s="2"/>
      <c r="BZ273" s="2"/>
      <c r="CA273" s="2"/>
      <c r="CB273" s="2"/>
      <c r="CC273" s="2"/>
      <c r="CD273" s="1"/>
      <c r="CE273" s="1"/>
      <c r="CF273" s="1"/>
      <c r="CG273" s="1"/>
      <c r="CH273" s="1"/>
      <c r="CI273" s="2"/>
      <c r="CJ273" s="2"/>
      <c r="CK273" s="2"/>
      <c r="CL273" s="2"/>
      <c r="CM273" s="2"/>
      <c r="CN273" s="2"/>
      <c r="CO273" s="2"/>
      <c r="CP273" s="2"/>
      <c r="CQ273" s="2"/>
      <c r="CR273" s="2"/>
      <c r="CS273" s="2"/>
      <c r="CT273" s="2"/>
      <c r="CU273" s="2"/>
      <c r="CV273" s="2"/>
      <c r="CW273" s="2"/>
      <c r="CX273" s="2"/>
      <c r="CY273" s="2"/>
      <c r="CZ273" s="2"/>
    </row>
    <row r="274" spans="43:104" ht="15" hidden="1" customHeight="1" x14ac:dyDescent="0.2">
      <c r="AQ274" s="85"/>
      <c r="AR274" s="12">
        <v>1640000</v>
      </c>
      <c r="AS274" s="12">
        <v>2090000</v>
      </c>
      <c r="AT274" s="2"/>
      <c r="AU274" s="2"/>
      <c r="AV274" s="2"/>
      <c r="AW274" s="2"/>
      <c r="AX274" s="2"/>
      <c r="AY274" s="2"/>
      <c r="AZ274" s="2"/>
      <c r="BA274" s="2"/>
      <c r="BB274" s="2"/>
      <c r="BC274" s="2"/>
      <c r="BD274" s="2"/>
      <c r="BE274" s="2"/>
      <c r="BK274" s="2"/>
      <c r="BM274" s="2"/>
      <c r="BN274" s="2"/>
      <c r="BO274" s="2"/>
      <c r="BS274" s="11"/>
      <c r="BT274" s="2"/>
      <c r="BU274" s="3"/>
      <c r="BV274" s="3"/>
      <c r="BW274" s="2"/>
      <c r="BX274" s="2"/>
      <c r="BY274" s="2"/>
      <c r="BZ274" s="2"/>
      <c r="CA274" s="46"/>
      <c r="CB274" s="1"/>
      <c r="CC274" s="1"/>
      <c r="CD274" s="1"/>
      <c r="CE274" s="1"/>
      <c r="CF274" s="1"/>
      <c r="CG274" s="1"/>
      <c r="CH274" s="1"/>
      <c r="CI274" s="2"/>
      <c r="CJ274" s="2"/>
      <c r="CK274" s="2"/>
      <c r="CL274" s="2"/>
      <c r="CM274" s="2"/>
      <c r="CN274" s="2"/>
      <c r="CO274" s="2"/>
      <c r="CP274" s="2"/>
      <c r="CQ274" s="2"/>
      <c r="CR274" s="2"/>
      <c r="CS274" s="2"/>
      <c r="CT274" s="2"/>
      <c r="CU274" s="2"/>
      <c r="CV274" s="2"/>
      <c r="CW274" s="2"/>
      <c r="CX274" s="2"/>
      <c r="CY274" s="2"/>
      <c r="CZ274" s="2"/>
    </row>
    <row r="275" spans="43:104" ht="15" hidden="1" customHeight="1" x14ac:dyDescent="0.2">
      <c r="AQ275" s="12"/>
      <c r="AR275" s="12">
        <v>1645000</v>
      </c>
      <c r="AS275" s="12">
        <v>2100000</v>
      </c>
      <c r="AT275" s="2"/>
      <c r="AU275" s="2"/>
      <c r="AV275" s="2"/>
      <c r="AW275" s="2"/>
      <c r="AX275" s="2"/>
      <c r="AY275" s="2"/>
      <c r="AZ275" s="2"/>
      <c r="BA275" s="2"/>
      <c r="BB275" s="2"/>
      <c r="BC275" s="2"/>
      <c r="BD275" s="2"/>
      <c r="BE275" s="2"/>
      <c r="BK275" s="2"/>
      <c r="BM275" s="2"/>
      <c r="BN275" s="2"/>
      <c r="BO275" s="2"/>
      <c r="BS275" s="11"/>
      <c r="BT275" s="2"/>
      <c r="BU275" s="3"/>
      <c r="BV275" s="3"/>
      <c r="BW275" s="2"/>
      <c r="BX275" s="2"/>
      <c r="BY275" s="2"/>
      <c r="BZ275" s="2"/>
      <c r="CA275" s="46"/>
      <c r="CB275" s="1"/>
      <c r="CC275" s="1"/>
      <c r="CD275" s="1"/>
      <c r="CE275" s="1"/>
      <c r="CF275" s="1"/>
      <c r="CG275" s="1"/>
      <c r="CH275" s="1"/>
      <c r="CI275" s="2"/>
      <c r="CJ275" s="2"/>
      <c r="CK275" s="2"/>
      <c r="CL275" s="2"/>
      <c r="CM275" s="2"/>
      <c r="CN275" s="2"/>
      <c r="CO275" s="2"/>
      <c r="CP275" s="2"/>
      <c r="CQ275" s="2"/>
      <c r="CR275" s="2"/>
      <c r="CS275" s="2"/>
      <c r="CT275" s="2"/>
      <c r="CU275" s="2"/>
      <c r="CV275" s="2"/>
      <c r="CW275" s="2"/>
      <c r="CX275" s="2"/>
      <c r="CY275" s="2"/>
      <c r="CZ275" s="2"/>
    </row>
    <row r="276" spans="43:104" ht="15" hidden="1" customHeight="1" x14ac:dyDescent="0.2">
      <c r="AQ276" s="12"/>
      <c r="AR276" s="12">
        <v>1650000</v>
      </c>
      <c r="AS276" s="12">
        <v>2110000</v>
      </c>
      <c r="AT276" s="2"/>
      <c r="AU276" s="2"/>
      <c r="AV276" s="2"/>
      <c r="AW276" s="2"/>
      <c r="AX276" s="2"/>
      <c r="AY276" s="2"/>
      <c r="AZ276" s="2"/>
      <c r="BA276" s="2"/>
      <c r="BB276" s="2"/>
      <c r="BC276" s="2"/>
      <c r="BD276" s="2"/>
      <c r="BE276" s="2"/>
      <c r="BK276" s="2"/>
      <c r="BM276" s="2"/>
      <c r="BN276" s="2"/>
      <c r="BO276" s="2"/>
      <c r="BS276" s="11"/>
      <c r="BT276" s="2"/>
      <c r="BU276" s="3"/>
      <c r="BV276" s="3"/>
      <c r="BW276" s="2"/>
      <c r="BX276" s="2"/>
      <c r="BY276" s="2"/>
      <c r="BZ276" s="2"/>
      <c r="CA276" s="46"/>
      <c r="CB276" s="1"/>
      <c r="CC276" s="1"/>
      <c r="CD276" s="1"/>
      <c r="CE276" s="1"/>
      <c r="CF276" s="1"/>
      <c r="CG276" s="1"/>
      <c r="CH276" s="1"/>
      <c r="CI276" s="2"/>
      <c r="CJ276" s="2"/>
      <c r="CK276" s="2"/>
      <c r="CL276" s="2"/>
      <c r="CM276" s="2"/>
      <c r="CN276" s="2"/>
      <c r="CO276" s="2"/>
      <c r="CP276" s="2"/>
      <c r="CQ276" s="2"/>
      <c r="CR276" s="2"/>
      <c r="CS276" s="2"/>
      <c r="CT276" s="2"/>
      <c r="CU276" s="2"/>
      <c r="CV276" s="2"/>
      <c r="CW276" s="2"/>
      <c r="CX276" s="2"/>
      <c r="CY276" s="2"/>
      <c r="CZ276" s="2"/>
    </row>
    <row r="277" spans="43:104" ht="15" hidden="1" customHeight="1" x14ac:dyDescent="0.2">
      <c r="AQ277" s="13"/>
      <c r="AR277" s="12">
        <v>1655000</v>
      </c>
      <c r="AS277" s="12">
        <v>2120000</v>
      </c>
      <c r="AT277" s="2"/>
      <c r="AU277" s="2"/>
      <c r="AV277" s="2"/>
      <c r="AW277" s="2"/>
      <c r="AX277" s="2"/>
      <c r="AY277" s="2"/>
      <c r="AZ277" s="2"/>
      <c r="BA277" s="2"/>
      <c r="BB277" s="2"/>
      <c r="BC277" s="2"/>
      <c r="BD277" s="2"/>
      <c r="BE277" s="2"/>
      <c r="BK277" s="2"/>
      <c r="BM277" s="2"/>
      <c r="BN277" s="2"/>
      <c r="BO277" s="2"/>
      <c r="BS277" s="11"/>
      <c r="BT277" s="2"/>
      <c r="BU277" s="3"/>
      <c r="BV277" s="3"/>
      <c r="BW277" s="2"/>
      <c r="BX277" s="2"/>
      <c r="BY277" s="2"/>
      <c r="BZ277" s="46"/>
      <c r="CA277" s="1"/>
      <c r="CB277" s="1"/>
      <c r="CC277" s="1"/>
      <c r="CD277" s="1"/>
      <c r="CE277" s="1"/>
      <c r="CF277" s="1"/>
      <c r="CG277" s="1"/>
      <c r="CH277" s="1"/>
      <c r="CI277" s="2"/>
      <c r="CJ277" s="2"/>
      <c r="CK277" s="2"/>
      <c r="CL277" s="2"/>
      <c r="CM277" s="2"/>
      <c r="CN277" s="2"/>
      <c r="CO277" s="2"/>
      <c r="CP277" s="2"/>
      <c r="CQ277" s="2"/>
      <c r="CR277" s="2"/>
      <c r="CS277" s="2"/>
      <c r="CT277" s="2"/>
      <c r="CU277" s="2"/>
      <c r="CV277" s="2"/>
      <c r="CW277" s="2"/>
      <c r="CX277" s="2"/>
      <c r="CY277" s="2"/>
      <c r="CZ277" s="2"/>
    </row>
    <row r="278" spans="43:104" ht="15" hidden="1" customHeight="1" x14ac:dyDescent="0.2">
      <c r="AQ278" s="13"/>
      <c r="AR278" s="12">
        <v>1660000</v>
      </c>
      <c r="AS278" s="12">
        <v>2130000</v>
      </c>
      <c r="AT278" s="2"/>
      <c r="AU278" s="2"/>
      <c r="AV278" s="2"/>
      <c r="AW278" s="2"/>
      <c r="AX278" s="2"/>
      <c r="AY278" s="2"/>
      <c r="AZ278" s="2"/>
      <c r="BA278" s="2"/>
      <c r="BB278" s="2"/>
      <c r="BC278" s="2"/>
      <c r="BD278" s="2"/>
      <c r="BE278" s="2"/>
      <c r="BK278" s="2"/>
      <c r="BM278" s="2"/>
      <c r="BN278" s="2"/>
      <c r="BO278" s="2"/>
      <c r="BS278" s="11"/>
      <c r="BT278" s="2"/>
      <c r="BU278" s="3"/>
      <c r="BV278" s="3"/>
      <c r="BW278" s="2"/>
      <c r="BX278" s="2"/>
      <c r="BY278" s="2"/>
      <c r="BZ278" s="2"/>
      <c r="CA278" s="46"/>
      <c r="CB278" s="1"/>
      <c r="CC278" s="1"/>
      <c r="CD278" s="1"/>
      <c r="CE278" s="1"/>
      <c r="CF278" s="1"/>
      <c r="CG278" s="1"/>
      <c r="CH278" s="1"/>
      <c r="CI278" s="2"/>
      <c r="CJ278" s="2"/>
      <c r="CK278" s="2"/>
      <c r="CL278" s="2"/>
      <c r="CM278" s="2"/>
      <c r="CN278" s="2"/>
      <c r="CO278" s="2"/>
      <c r="CP278" s="2"/>
      <c r="CQ278" s="2"/>
      <c r="CR278" s="2"/>
      <c r="CS278" s="2"/>
      <c r="CT278" s="2"/>
      <c r="CU278" s="2"/>
      <c r="CV278" s="2"/>
      <c r="CW278" s="2"/>
      <c r="CX278" s="2"/>
      <c r="CY278" s="2"/>
      <c r="CZ278" s="2"/>
    </row>
    <row r="279" spans="43:104" ht="15" hidden="1" customHeight="1" x14ac:dyDescent="0.2">
      <c r="AQ279" s="85"/>
      <c r="AR279" s="12">
        <v>1665000</v>
      </c>
      <c r="AS279" s="12">
        <v>2140000</v>
      </c>
      <c r="AT279" s="2"/>
      <c r="AU279" s="2"/>
      <c r="AV279" s="2"/>
      <c r="AW279" s="2"/>
      <c r="AX279" s="2"/>
      <c r="AY279" s="2"/>
      <c r="AZ279" s="2"/>
      <c r="BA279" s="2"/>
      <c r="BB279" s="2"/>
      <c r="BC279" s="2"/>
      <c r="BD279" s="2"/>
      <c r="BE279" s="2"/>
      <c r="BK279" s="2"/>
      <c r="BM279" s="2"/>
      <c r="BN279" s="2"/>
      <c r="BO279" s="2"/>
      <c r="BS279" s="11"/>
      <c r="BT279" s="2"/>
      <c r="BU279" s="3"/>
      <c r="BV279" s="3"/>
      <c r="BW279" s="2"/>
      <c r="BX279" s="2"/>
      <c r="BY279" s="2"/>
      <c r="BZ279" s="2"/>
      <c r="CA279" s="2"/>
      <c r="CB279" s="2"/>
      <c r="CC279" s="2"/>
      <c r="CD279" s="1"/>
      <c r="CE279" s="1"/>
      <c r="CF279" s="1"/>
      <c r="CG279" s="1"/>
      <c r="CH279" s="1"/>
      <c r="CI279" s="2"/>
      <c r="CJ279" s="2"/>
      <c r="CK279" s="2"/>
      <c r="CL279" s="2"/>
      <c r="CM279" s="2"/>
      <c r="CN279" s="2"/>
      <c r="CO279" s="2"/>
      <c r="CP279" s="2"/>
      <c r="CQ279" s="2"/>
      <c r="CR279" s="2"/>
      <c r="CS279" s="2"/>
      <c r="CT279" s="2"/>
      <c r="CU279" s="2"/>
      <c r="CV279" s="2"/>
      <c r="CW279" s="2"/>
      <c r="CX279" s="2"/>
      <c r="CY279" s="2"/>
      <c r="CZ279" s="2"/>
    </row>
    <row r="280" spans="43:104" ht="15" hidden="1" customHeight="1" x14ac:dyDescent="0.2">
      <c r="AQ280" s="12"/>
      <c r="AR280" s="12">
        <v>1670000</v>
      </c>
      <c r="AS280" s="12">
        <v>2150000</v>
      </c>
      <c r="AT280" s="2"/>
      <c r="AU280" s="2"/>
      <c r="AV280" s="2"/>
      <c r="AW280" s="2"/>
      <c r="AX280" s="2"/>
      <c r="AY280" s="2"/>
      <c r="AZ280" s="2"/>
      <c r="BA280" s="2"/>
      <c r="BB280" s="2"/>
      <c r="BC280" s="2"/>
      <c r="BD280" s="2"/>
      <c r="BE280" s="2"/>
      <c r="BK280" s="2"/>
      <c r="BM280" s="2"/>
      <c r="BN280" s="2"/>
      <c r="BO280" s="2"/>
      <c r="BS280" s="11"/>
      <c r="BT280" s="2"/>
      <c r="BU280" s="3"/>
      <c r="BV280" s="3"/>
      <c r="BW280" s="2"/>
      <c r="BX280" s="2"/>
      <c r="BY280" s="2"/>
      <c r="BZ280" s="2"/>
      <c r="CA280" s="2"/>
      <c r="CB280" s="2"/>
      <c r="CC280" s="2"/>
      <c r="CD280" s="1"/>
      <c r="CE280" s="1"/>
      <c r="CF280" s="1"/>
      <c r="CG280" s="1"/>
      <c r="CH280" s="1"/>
      <c r="CI280" s="2"/>
      <c r="CJ280" s="2"/>
      <c r="CK280" s="2"/>
      <c r="CL280" s="2"/>
      <c r="CM280" s="2"/>
      <c r="CN280" s="2"/>
      <c r="CO280" s="2"/>
      <c r="CP280" s="2"/>
      <c r="CQ280" s="2"/>
      <c r="CR280" s="2"/>
      <c r="CS280" s="2"/>
      <c r="CT280" s="2"/>
      <c r="CU280" s="2"/>
      <c r="CV280" s="2"/>
      <c r="CW280" s="2"/>
      <c r="CX280" s="2"/>
      <c r="CY280" s="2"/>
      <c r="CZ280" s="2"/>
    </row>
    <row r="281" spans="43:104" ht="15" hidden="1" customHeight="1" x14ac:dyDescent="0.2">
      <c r="AQ281" s="12"/>
      <c r="AR281" s="12">
        <v>1675000</v>
      </c>
      <c r="AS281" s="12">
        <v>2160000</v>
      </c>
      <c r="AT281" s="2"/>
      <c r="AU281" s="2"/>
      <c r="AV281" s="2"/>
      <c r="AW281" s="2"/>
      <c r="AX281" s="2"/>
      <c r="AY281" s="2"/>
      <c r="AZ281" s="2"/>
      <c r="BA281" s="2"/>
      <c r="BB281" s="2"/>
      <c r="BC281" s="2"/>
      <c r="BD281" s="2"/>
      <c r="BE281" s="2"/>
      <c r="BK281" s="2"/>
      <c r="BM281" s="2"/>
      <c r="BN281" s="2"/>
      <c r="BO281" s="2"/>
      <c r="BS281" s="11"/>
      <c r="BT281" s="2"/>
      <c r="BU281" s="3"/>
      <c r="BV281" s="3"/>
      <c r="BW281" s="2"/>
      <c r="BX281" s="2"/>
      <c r="BY281" s="2"/>
      <c r="BZ281" s="2"/>
      <c r="CA281" s="2"/>
      <c r="CB281" s="2"/>
      <c r="CC281" s="2"/>
      <c r="CD281" s="1"/>
      <c r="CE281" s="1"/>
      <c r="CF281" s="1"/>
      <c r="CG281" s="1"/>
      <c r="CH281" s="1"/>
      <c r="CI281" s="2"/>
      <c r="CJ281" s="2"/>
      <c r="CK281" s="2"/>
      <c r="CL281" s="2"/>
      <c r="CM281" s="2"/>
      <c r="CN281" s="2"/>
      <c r="CO281" s="2"/>
      <c r="CP281" s="2"/>
      <c r="CQ281" s="2"/>
      <c r="CR281" s="2"/>
      <c r="CS281" s="2"/>
      <c r="CT281" s="2"/>
      <c r="CU281" s="2"/>
      <c r="CV281" s="2"/>
      <c r="CW281" s="2"/>
      <c r="CX281" s="2"/>
      <c r="CY281" s="2"/>
      <c r="CZ281" s="2"/>
    </row>
    <row r="282" spans="43:104" ht="15" hidden="1" customHeight="1" x14ac:dyDescent="0.2">
      <c r="AQ282" s="13"/>
      <c r="AR282" s="12">
        <v>1680000</v>
      </c>
      <c r="AS282" s="12">
        <v>2170000</v>
      </c>
      <c r="AT282" s="2"/>
      <c r="AU282" s="2"/>
      <c r="AV282" s="2"/>
      <c r="AW282" s="2"/>
      <c r="AX282" s="2"/>
      <c r="AY282" s="2"/>
      <c r="AZ282" s="2"/>
      <c r="BA282" s="2"/>
      <c r="BB282" s="2"/>
      <c r="BC282" s="2"/>
      <c r="BD282" s="2"/>
      <c r="BE282" s="2"/>
      <c r="BK282" s="2"/>
      <c r="BM282" s="2"/>
      <c r="BN282" s="2"/>
      <c r="BO282" s="2"/>
      <c r="BS282" s="11"/>
      <c r="BT282" s="2"/>
      <c r="BU282" s="3"/>
      <c r="BV282" s="3"/>
      <c r="BW282" s="2"/>
      <c r="BX282" s="2"/>
      <c r="BY282" s="2"/>
      <c r="BZ282" s="2"/>
      <c r="CA282" s="2"/>
      <c r="CB282" s="2"/>
      <c r="CC282" s="2"/>
      <c r="CD282" s="1"/>
      <c r="CE282" s="1"/>
      <c r="CF282" s="1"/>
      <c r="CG282" s="1"/>
      <c r="CH282" s="1"/>
      <c r="CI282" s="2"/>
      <c r="CJ282" s="2"/>
      <c r="CK282" s="2"/>
      <c r="CL282" s="2"/>
      <c r="CM282" s="2"/>
      <c r="CN282" s="2"/>
      <c r="CO282" s="2"/>
      <c r="CP282" s="2"/>
      <c r="CQ282" s="2"/>
      <c r="CR282" s="2"/>
      <c r="CS282" s="2"/>
      <c r="CT282" s="2"/>
      <c r="CU282" s="2"/>
      <c r="CV282" s="2"/>
      <c r="CW282" s="2"/>
      <c r="CX282" s="2"/>
      <c r="CY282" s="2"/>
      <c r="CZ282" s="2"/>
    </row>
    <row r="283" spans="43:104" ht="15" hidden="1" customHeight="1" x14ac:dyDescent="0.2">
      <c r="AQ283" s="13"/>
      <c r="AR283" s="12">
        <v>1685000</v>
      </c>
      <c r="AS283" s="12">
        <v>2180000</v>
      </c>
      <c r="AT283" s="2"/>
      <c r="AU283" s="2"/>
      <c r="AV283" s="2"/>
      <c r="AW283" s="2"/>
      <c r="AX283" s="2"/>
      <c r="AY283" s="2"/>
      <c r="AZ283" s="2"/>
      <c r="BA283" s="2"/>
      <c r="BB283" s="2"/>
      <c r="BC283" s="2"/>
      <c r="BD283" s="2"/>
      <c r="BE283" s="2"/>
      <c r="BK283" s="2"/>
      <c r="BM283" s="2"/>
      <c r="BN283" s="2"/>
      <c r="BO283" s="2"/>
      <c r="BS283" s="11"/>
      <c r="BT283" s="2"/>
      <c r="BU283" s="3"/>
      <c r="BV283" s="3"/>
      <c r="BW283" s="2"/>
      <c r="BX283" s="2"/>
      <c r="BY283" s="2"/>
      <c r="BZ283" s="2"/>
      <c r="CA283" s="2"/>
      <c r="CB283" s="2"/>
      <c r="CC283" s="2"/>
      <c r="CD283" s="1"/>
      <c r="CE283" s="1"/>
      <c r="CF283" s="1"/>
      <c r="CG283" s="1"/>
      <c r="CH283" s="1"/>
      <c r="CI283" s="2"/>
      <c r="CJ283" s="2"/>
      <c r="CK283" s="2"/>
      <c r="CL283" s="2"/>
      <c r="CM283" s="2"/>
      <c r="CN283" s="2"/>
      <c r="CO283" s="2"/>
      <c r="CP283" s="2"/>
      <c r="CQ283" s="2"/>
      <c r="CR283" s="2"/>
      <c r="CS283" s="2"/>
      <c r="CT283" s="2"/>
      <c r="CU283" s="2"/>
      <c r="CV283" s="2"/>
      <c r="CW283" s="2"/>
      <c r="CX283" s="2"/>
      <c r="CY283" s="2"/>
      <c r="CZ283" s="2"/>
    </row>
    <row r="284" spans="43:104" ht="15" hidden="1" customHeight="1" x14ac:dyDescent="0.2">
      <c r="AQ284" s="85"/>
      <c r="AR284" s="12">
        <v>1690000</v>
      </c>
      <c r="AS284" s="12">
        <v>2190000</v>
      </c>
      <c r="AT284" s="2"/>
      <c r="AU284" s="2"/>
      <c r="AV284" s="2"/>
      <c r="AW284" s="2"/>
      <c r="AX284" s="2"/>
      <c r="AY284" s="2"/>
      <c r="AZ284" s="2"/>
      <c r="BA284" s="2"/>
      <c r="BB284" s="2"/>
      <c r="BC284" s="2"/>
      <c r="BD284" s="2"/>
      <c r="BE284" s="2"/>
      <c r="BK284" s="2"/>
      <c r="BM284" s="2"/>
      <c r="BN284" s="2"/>
      <c r="BO284" s="2"/>
      <c r="BS284" s="11"/>
      <c r="BT284" s="2"/>
      <c r="BU284" s="3"/>
      <c r="BV284" s="3"/>
      <c r="BW284" s="2"/>
      <c r="BX284" s="2"/>
      <c r="BY284" s="2"/>
      <c r="BZ284" s="2"/>
      <c r="CA284" s="46"/>
      <c r="CB284" s="1"/>
      <c r="CC284" s="1"/>
      <c r="CD284" s="1"/>
      <c r="CE284" s="1"/>
      <c r="CF284" s="1"/>
      <c r="CG284" s="1"/>
      <c r="CH284" s="1"/>
      <c r="CI284" s="2"/>
      <c r="CJ284" s="2"/>
      <c r="CK284" s="2"/>
      <c r="CL284" s="2"/>
      <c r="CM284" s="2"/>
      <c r="CN284" s="2"/>
      <c r="CO284" s="2"/>
      <c r="CP284" s="2"/>
      <c r="CQ284" s="2"/>
      <c r="CR284" s="2"/>
      <c r="CS284" s="2"/>
      <c r="CT284" s="2"/>
      <c r="CU284" s="2"/>
      <c r="CV284" s="2"/>
      <c r="CW284" s="2"/>
      <c r="CX284" s="2"/>
      <c r="CY284" s="2"/>
      <c r="CZ284" s="2"/>
    </row>
    <row r="285" spans="43:104" ht="15" hidden="1" customHeight="1" x14ac:dyDescent="0.2">
      <c r="AQ285" s="12"/>
      <c r="AR285" s="12">
        <v>1695000</v>
      </c>
      <c r="AS285" s="12">
        <v>2200000</v>
      </c>
      <c r="AT285" s="2"/>
      <c r="AU285" s="2"/>
      <c r="AV285" s="2"/>
      <c r="AW285" s="2"/>
      <c r="AX285" s="2"/>
      <c r="AY285" s="2"/>
      <c r="AZ285" s="2"/>
      <c r="BA285" s="2"/>
      <c r="BB285" s="2"/>
      <c r="BC285" s="2"/>
      <c r="BD285" s="2"/>
      <c r="BE285" s="2"/>
      <c r="BK285" s="2"/>
      <c r="BM285" s="2"/>
      <c r="BN285" s="2"/>
      <c r="BO285" s="2"/>
      <c r="BS285" s="11"/>
      <c r="BT285" s="2"/>
      <c r="BU285" s="3"/>
      <c r="BV285" s="3"/>
      <c r="BW285" s="2"/>
      <c r="BX285" s="2"/>
      <c r="BY285" s="2"/>
      <c r="BZ285" s="2"/>
      <c r="CA285" s="46"/>
      <c r="CB285" s="1"/>
      <c r="CC285" s="1"/>
      <c r="CD285" s="1"/>
      <c r="CE285" s="1"/>
      <c r="CF285" s="1"/>
      <c r="CG285" s="1"/>
      <c r="CH285" s="1"/>
      <c r="CI285" s="2"/>
      <c r="CJ285" s="2"/>
      <c r="CK285" s="2"/>
      <c r="CL285" s="2"/>
      <c r="CM285" s="2"/>
      <c r="CN285" s="2"/>
      <c r="CO285" s="2"/>
      <c r="CP285" s="2"/>
      <c r="CQ285" s="2"/>
      <c r="CR285" s="2"/>
      <c r="CS285" s="2"/>
      <c r="CT285" s="2"/>
      <c r="CU285" s="2"/>
      <c r="CV285" s="2"/>
      <c r="CW285" s="2"/>
      <c r="CX285" s="2"/>
      <c r="CY285" s="2"/>
      <c r="CZ285" s="2"/>
    </row>
    <row r="286" spans="43:104" ht="15" hidden="1" customHeight="1" x14ac:dyDescent="0.2">
      <c r="AQ286" s="12"/>
      <c r="AR286" s="12">
        <v>1700000</v>
      </c>
      <c r="AS286" s="12">
        <v>2210000</v>
      </c>
      <c r="AT286" s="2"/>
      <c r="AU286" s="2"/>
      <c r="AV286" s="2"/>
      <c r="AW286" s="2"/>
      <c r="AX286" s="2"/>
      <c r="AY286" s="2"/>
      <c r="AZ286" s="2"/>
      <c r="BA286" s="2"/>
      <c r="BB286" s="2"/>
      <c r="BC286" s="2"/>
      <c r="BD286" s="2"/>
      <c r="BE286" s="2"/>
      <c r="BK286" s="2"/>
      <c r="BM286" s="2"/>
      <c r="BN286" s="2"/>
      <c r="BO286" s="2"/>
      <c r="BS286" s="11"/>
      <c r="BT286" s="2"/>
      <c r="BU286" s="3"/>
      <c r="BV286" s="3"/>
      <c r="BW286" s="2"/>
      <c r="BX286" s="2"/>
      <c r="BY286" s="2"/>
      <c r="BZ286" s="2"/>
      <c r="CA286" s="46"/>
      <c r="CB286" s="1"/>
      <c r="CC286" s="1"/>
      <c r="CD286" s="1"/>
      <c r="CE286" s="1"/>
      <c r="CF286" s="1"/>
      <c r="CG286" s="1"/>
      <c r="CH286" s="1"/>
      <c r="CI286" s="2"/>
      <c r="CJ286" s="2"/>
      <c r="CK286" s="2"/>
      <c r="CL286" s="2"/>
      <c r="CM286" s="2"/>
      <c r="CN286" s="2"/>
      <c r="CO286" s="2"/>
      <c r="CP286" s="2"/>
      <c r="CQ286" s="2"/>
      <c r="CR286" s="2"/>
      <c r="CS286" s="2"/>
      <c r="CT286" s="2"/>
      <c r="CU286" s="2"/>
      <c r="CV286" s="2"/>
      <c r="CW286" s="2"/>
      <c r="CX286" s="2"/>
      <c r="CY286" s="2"/>
      <c r="CZ286" s="2"/>
    </row>
    <row r="287" spans="43:104" ht="15" hidden="1" customHeight="1" x14ac:dyDescent="0.2">
      <c r="AQ287" s="13"/>
      <c r="AR287" s="12">
        <v>1705000</v>
      </c>
      <c r="AS287" s="12">
        <v>2220000</v>
      </c>
      <c r="AT287" s="2"/>
      <c r="AU287" s="2"/>
      <c r="AV287" s="2"/>
      <c r="AW287" s="2"/>
      <c r="AX287" s="2"/>
      <c r="AY287" s="2"/>
      <c r="AZ287" s="2"/>
      <c r="BA287" s="2"/>
      <c r="BB287" s="2"/>
      <c r="BC287" s="2"/>
      <c r="BD287" s="2"/>
      <c r="BE287" s="2"/>
      <c r="BK287" s="2"/>
      <c r="BM287" s="2"/>
      <c r="BN287" s="2"/>
      <c r="BO287" s="2"/>
      <c r="BS287" s="11"/>
      <c r="BT287" s="2"/>
      <c r="BU287" s="3"/>
      <c r="BV287" s="3"/>
      <c r="BW287" s="2"/>
      <c r="BX287" s="2"/>
      <c r="BY287" s="2"/>
      <c r="BZ287" s="2"/>
      <c r="CA287" s="46"/>
      <c r="CB287" s="1"/>
      <c r="CC287" s="1"/>
      <c r="CD287" s="1"/>
      <c r="CE287" s="1"/>
      <c r="CF287" s="1"/>
      <c r="CG287" s="1"/>
      <c r="CH287" s="1"/>
      <c r="CI287" s="2"/>
      <c r="CJ287" s="2"/>
      <c r="CK287" s="2"/>
      <c r="CL287" s="2"/>
      <c r="CM287" s="2"/>
      <c r="CN287" s="2"/>
      <c r="CO287" s="2"/>
      <c r="CP287" s="2"/>
      <c r="CQ287" s="2"/>
      <c r="CR287" s="2"/>
      <c r="CS287" s="2"/>
      <c r="CT287" s="2"/>
      <c r="CU287" s="2"/>
      <c r="CV287" s="2"/>
      <c r="CW287" s="2"/>
      <c r="CX287" s="2"/>
      <c r="CY287" s="2"/>
      <c r="CZ287" s="2"/>
    </row>
    <row r="288" spans="43:104" ht="15" hidden="1" customHeight="1" x14ac:dyDescent="0.2">
      <c r="AQ288" s="13"/>
      <c r="AR288" s="12">
        <v>1710000</v>
      </c>
      <c r="AS288" s="12">
        <v>2230000</v>
      </c>
      <c r="AT288" s="2"/>
      <c r="AU288" s="2"/>
      <c r="AV288" s="2"/>
      <c r="AW288" s="2"/>
      <c r="AX288" s="2"/>
      <c r="AY288" s="2"/>
      <c r="AZ288" s="2"/>
      <c r="BA288" s="2"/>
      <c r="BB288" s="2"/>
      <c r="BC288" s="2"/>
      <c r="BD288" s="2"/>
      <c r="BE288" s="2"/>
      <c r="BK288" s="2"/>
      <c r="BM288" s="2"/>
      <c r="BN288" s="2"/>
      <c r="BO288" s="2"/>
      <c r="BS288" s="11"/>
      <c r="BT288" s="2"/>
      <c r="BU288" s="3"/>
      <c r="BV288" s="3"/>
      <c r="BW288" s="2"/>
      <c r="BX288" s="2"/>
      <c r="BY288" s="2"/>
      <c r="BZ288" s="2"/>
      <c r="CA288" s="46"/>
      <c r="CB288" s="1"/>
      <c r="CC288" s="1"/>
      <c r="CD288" s="1"/>
      <c r="CE288" s="1"/>
      <c r="CF288" s="1"/>
      <c r="CG288" s="1"/>
      <c r="CH288" s="1"/>
      <c r="CI288" s="2"/>
      <c r="CJ288" s="2"/>
      <c r="CK288" s="2"/>
      <c r="CL288" s="2"/>
      <c r="CM288" s="2"/>
      <c r="CN288" s="2"/>
      <c r="CO288" s="2"/>
      <c r="CP288" s="2"/>
      <c r="CQ288" s="2"/>
      <c r="CR288" s="2"/>
      <c r="CS288" s="2"/>
      <c r="CT288" s="2"/>
      <c r="CU288" s="2"/>
      <c r="CV288" s="2"/>
      <c r="CW288" s="2"/>
      <c r="CX288" s="2"/>
      <c r="CY288" s="2"/>
      <c r="CZ288" s="2"/>
    </row>
    <row r="289" spans="43:104" ht="15" hidden="1" customHeight="1" x14ac:dyDescent="0.2">
      <c r="AQ289" s="85"/>
      <c r="AR289" s="12">
        <v>1715000</v>
      </c>
      <c r="AS289" s="12">
        <v>2240000</v>
      </c>
      <c r="AT289" s="2"/>
      <c r="AU289" s="2"/>
      <c r="AV289" s="2"/>
      <c r="AW289" s="2"/>
      <c r="AX289" s="2"/>
      <c r="AY289" s="2"/>
      <c r="AZ289" s="2"/>
      <c r="BA289" s="2"/>
      <c r="BB289" s="2"/>
      <c r="BC289" s="2"/>
      <c r="BD289" s="2"/>
      <c r="BE289" s="2"/>
      <c r="BK289" s="2"/>
      <c r="BM289" s="2"/>
      <c r="BN289" s="2"/>
      <c r="BO289" s="2"/>
      <c r="BS289" s="11"/>
      <c r="BT289" s="2"/>
      <c r="BU289" s="3"/>
      <c r="BV289" s="3"/>
      <c r="BW289" s="2"/>
      <c r="BX289" s="2"/>
      <c r="BY289" s="2"/>
      <c r="BZ289" s="2"/>
      <c r="CA289" s="46"/>
      <c r="CB289" s="1"/>
      <c r="CC289" s="1"/>
      <c r="CD289" s="1"/>
      <c r="CE289" s="1"/>
      <c r="CF289" s="1"/>
      <c r="CG289" s="1"/>
      <c r="CH289" s="1"/>
      <c r="CI289" s="2"/>
      <c r="CJ289" s="2"/>
      <c r="CK289" s="2"/>
      <c r="CL289" s="2"/>
      <c r="CM289" s="2"/>
      <c r="CN289" s="2"/>
      <c r="CO289" s="2"/>
      <c r="CP289" s="2"/>
      <c r="CQ289" s="2"/>
      <c r="CR289" s="2"/>
      <c r="CS289" s="2"/>
      <c r="CT289" s="2"/>
      <c r="CU289" s="2"/>
      <c r="CV289" s="2"/>
      <c r="CW289" s="2"/>
      <c r="CX289" s="2"/>
      <c r="CY289" s="2"/>
      <c r="CZ289" s="2"/>
    </row>
    <row r="290" spans="43:104" ht="15" hidden="1" customHeight="1" x14ac:dyDescent="0.2">
      <c r="AQ290" s="12"/>
      <c r="AR290" s="12">
        <v>1720000</v>
      </c>
      <c r="AS290" s="12">
        <v>2250000</v>
      </c>
      <c r="AT290" s="2"/>
      <c r="AU290" s="2"/>
      <c r="AV290" s="2"/>
      <c r="AW290" s="2"/>
      <c r="AX290" s="2"/>
      <c r="AY290" s="2"/>
      <c r="AZ290" s="2"/>
      <c r="BA290" s="2"/>
      <c r="BB290" s="2"/>
      <c r="BC290" s="2"/>
      <c r="BD290" s="2"/>
      <c r="BE290" s="2"/>
      <c r="BK290" s="2"/>
      <c r="BM290" s="2"/>
      <c r="BN290" s="2"/>
      <c r="BO290" s="2"/>
      <c r="BS290" s="11"/>
      <c r="BT290" s="2"/>
      <c r="BU290" s="3"/>
      <c r="BV290" s="3"/>
      <c r="BW290" s="2"/>
      <c r="BX290" s="2"/>
      <c r="BY290" s="2"/>
      <c r="BZ290" s="2"/>
      <c r="CA290" s="46"/>
      <c r="CB290" s="1"/>
      <c r="CC290" s="1"/>
      <c r="CD290" s="1"/>
      <c r="CE290" s="1"/>
      <c r="CF290" s="1"/>
      <c r="CG290" s="1"/>
      <c r="CH290" s="1"/>
      <c r="CI290" s="2"/>
      <c r="CJ290" s="2"/>
      <c r="CK290" s="2"/>
      <c r="CL290" s="2"/>
      <c r="CM290" s="2"/>
      <c r="CN290" s="2"/>
      <c r="CO290" s="2"/>
      <c r="CP290" s="2"/>
      <c r="CQ290" s="2"/>
      <c r="CR290" s="2"/>
      <c r="CS290" s="2"/>
      <c r="CT290" s="2"/>
      <c r="CU290" s="2"/>
      <c r="CV290" s="2"/>
      <c r="CW290" s="2"/>
      <c r="CX290" s="2"/>
      <c r="CY290" s="2"/>
      <c r="CZ290" s="2"/>
    </row>
    <row r="291" spans="43:104" ht="15" hidden="1" customHeight="1" x14ac:dyDescent="0.2">
      <c r="AQ291" s="12"/>
      <c r="AR291" s="12">
        <v>1725000</v>
      </c>
      <c r="AS291" s="12">
        <v>2260000</v>
      </c>
      <c r="AT291" s="2"/>
      <c r="AU291" s="2"/>
      <c r="AV291" s="2"/>
      <c r="AW291" s="2"/>
      <c r="AX291" s="2"/>
      <c r="AY291" s="2"/>
      <c r="AZ291" s="2"/>
      <c r="BA291" s="2"/>
      <c r="BB291" s="2"/>
      <c r="BC291" s="2"/>
      <c r="BD291" s="2"/>
      <c r="BE291" s="2"/>
      <c r="BK291" s="2"/>
      <c r="BM291" s="2"/>
      <c r="BN291" s="2"/>
      <c r="BO291" s="2"/>
      <c r="BS291" s="11"/>
      <c r="BT291" s="2"/>
      <c r="BU291" s="3"/>
      <c r="BV291" s="3"/>
      <c r="BW291" s="2"/>
      <c r="BX291" s="2"/>
      <c r="BY291" s="2"/>
      <c r="BZ291" s="46"/>
      <c r="CA291" s="1"/>
      <c r="CB291" s="1"/>
      <c r="CC291" s="1"/>
      <c r="CD291" s="1"/>
      <c r="CE291" s="1"/>
      <c r="CF291" s="1"/>
      <c r="CG291" s="1"/>
      <c r="CH291" s="1"/>
      <c r="CI291" s="2"/>
      <c r="CJ291" s="2"/>
      <c r="CK291" s="2"/>
      <c r="CL291" s="2"/>
      <c r="CM291" s="2"/>
      <c r="CN291" s="2"/>
      <c r="CO291" s="2"/>
      <c r="CP291" s="2"/>
      <c r="CQ291" s="2"/>
      <c r="CR291" s="2"/>
      <c r="CS291" s="2"/>
      <c r="CT291" s="2"/>
      <c r="CU291" s="2"/>
      <c r="CV291" s="2"/>
      <c r="CW291" s="2"/>
      <c r="CX291" s="2"/>
      <c r="CY291" s="2"/>
      <c r="CZ291" s="2"/>
    </row>
    <row r="292" spans="43:104" ht="15" hidden="1" customHeight="1" x14ac:dyDescent="0.2">
      <c r="AQ292" s="13"/>
      <c r="AR292" s="12">
        <v>1730000</v>
      </c>
      <c r="AS292" s="12">
        <v>2270000</v>
      </c>
      <c r="AT292" s="2"/>
      <c r="AU292" s="2"/>
      <c r="AV292" s="2"/>
      <c r="AW292" s="2"/>
      <c r="AX292" s="2"/>
      <c r="AY292" s="2"/>
      <c r="AZ292" s="2"/>
      <c r="BA292" s="2"/>
      <c r="BB292" s="2"/>
      <c r="BC292" s="2"/>
      <c r="BD292" s="2"/>
      <c r="BE292" s="2"/>
      <c r="BK292" s="2"/>
      <c r="BM292" s="2"/>
      <c r="BN292" s="2"/>
      <c r="BO292" s="2"/>
      <c r="BS292" s="11"/>
      <c r="BT292" s="2"/>
      <c r="BU292" s="3"/>
      <c r="BV292" s="3"/>
      <c r="BW292" s="2"/>
      <c r="BX292" s="2"/>
      <c r="BY292" s="2"/>
      <c r="BZ292" s="2"/>
      <c r="CA292" s="46"/>
      <c r="CB292" s="1"/>
      <c r="CC292" s="1"/>
      <c r="CD292" s="1"/>
      <c r="CE292" s="1"/>
      <c r="CF292" s="1"/>
      <c r="CG292" s="1"/>
      <c r="CH292" s="1"/>
      <c r="CI292" s="2"/>
      <c r="CJ292" s="2"/>
      <c r="CK292" s="2"/>
      <c r="CL292" s="2"/>
      <c r="CM292" s="2"/>
      <c r="CN292" s="2"/>
      <c r="CO292" s="2"/>
      <c r="CP292" s="2"/>
      <c r="CQ292" s="2"/>
      <c r="CR292" s="2"/>
      <c r="CS292" s="2"/>
      <c r="CT292" s="2"/>
      <c r="CU292" s="2"/>
      <c r="CV292" s="2"/>
      <c r="CW292" s="2"/>
      <c r="CX292" s="2"/>
      <c r="CY292" s="2"/>
      <c r="CZ292" s="2"/>
    </row>
    <row r="293" spans="43:104" ht="15" hidden="1" customHeight="1" x14ac:dyDescent="0.2">
      <c r="AQ293" s="13"/>
      <c r="AR293" s="12">
        <v>1735000</v>
      </c>
      <c r="AS293" s="12">
        <v>2280000</v>
      </c>
      <c r="AT293" s="2"/>
      <c r="AU293" s="2"/>
      <c r="AV293" s="2"/>
      <c r="AW293" s="2"/>
      <c r="AX293" s="2"/>
      <c r="AY293" s="2"/>
      <c r="AZ293" s="2"/>
      <c r="BA293" s="2"/>
      <c r="BB293" s="2"/>
      <c r="BC293" s="2"/>
      <c r="BD293" s="2"/>
      <c r="BE293" s="2"/>
      <c r="BK293" s="2"/>
      <c r="BM293" s="2"/>
      <c r="BN293" s="2"/>
      <c r="BO293" s="2"/>
      <c r="BS293" s="11"/>
      <c r="BT293" s="2"/>
      <c r="BU293" s="3"/>
      <c r="BV293" s="3"/>
      <c r="BW293" s="2"/>
      <c r="BX293" s="2"/>
      <c r="BY293" s="2"/>
      <c r="BZ293" s="2"/>
      <c r="CA293" s="2"/>
      <c r="CB293" s="2"/>
      <c r="CC293" s="2"/>
      <c r="CD293" s="1"/>
      <c r="CE293" s="1"/>
      <c r="CF293" s="1"/>
      <c r="CG293" s="1"/>
      <c r="CH293" s="1"/>
      <c r="CI293" s="2"/>
      <c r="CJ293" s="2"/>
      <c r="CK293" s="2"/>
      <c r="CL293" s="2"/>
      <c r="CM293" s="2"/>
      <c r="CN293" s="2"/>
      <c r="CO293" s="2"/>
      <c r="CP293" s="2"/>
      <c r="CQ293" s="2"/>
      <c r="CR293" s="2"/>
      <c r="CS293" s="2"/>
      <c r="CT293" s="2"/>
      <c r="CU293" s="2"/>
      <c r="CV293" s="2"/>
      <c r="CW293" s="2"/>
      <c r="CX293" s="2"/>
      <c r="CY293" s="2"/>
      <c r="CZ293" s="2"/>
    </row>
    <row r="294" spans="43:104" ht="15" hidden="1" customHeight="1" x14ac:dyDescent="0.2">
      <c r="AQ294" s="85"/>
      <c r="AR294" s="12">
        <v>1740000</v>
      </c>
      <c r="AS294" s="12">
        <v>2290000</v>
      </c>
      <c r="AT294" s="2"/>
      <c r="AU294" s="2"/>
      <c r="AV294" s="2"/>
      <c r="AW294" s="2"/>
      <c r="AX294" s="2"/>
      <c r="AY294" s="2"/>
      <c r="AZ294" s="2"/>
      <c r="BA294" s="2"/>
      <c r="BB294" s="2"/>
      <c r="BC294" s="2"/>
      <c r="BD294" s="2"/>
      <c r="BE294" s="2"/>
      <c r="BK294" s="2"/>
      <c r="BM294" s="2"/>
      <c r="BN294" s="2"/>
      <c r="BO294" s="2"/>
      <c r="BS294" s="11"/>
      <c r="BT294" s="2"/>
      <c r="BU294" s="3"/>
      <c r="BV294" s="3"/>
      <c r="BW294" s="2"/>
      <c r="BX294" s="2"/>
      <c r="BY294" s="2"/>
      <c r="BZ294" s="2"/>
      <c r="CA294" s="2"/>
      <c r="CB294" s="2"/>
      <c r="CC294" s="2"/>
      <c r="CD294" s="1"/>
      <c r="CE294" s="1"/>
      <c r="CF294" s="1"/>
      <c r="CG294" s="1"/>
      <c r="CH294" s="1"/>
      <c r="CI294" s="2"/>
      <c r="CJ294" s="2"/>
      <c r="CK294" s="2"/>
      <c r="CL294" s="2"/>
      <c r="CM294" s="2"/>
      <c r="CN294" s="2"/>
      <c r="CO294" s="2"/>
      <c r="CP294" s="2"/>
      <c r="CQ294" s="2"/>
      <c r="CR294" s="2"/>
      <c r="CS294" s="2"/>
      <c r="CT294" s="2"/>
      <c r="CU294" s="2"/>
      <c r="CV294" s="2"/>
      <c r="CW294" s="2"/>
      <c r="CX294" s="2"/>
      <c r="CY294" s="2"/>
      <c r="CZ294" s="2"/>
    </row>
    <row r="295" spans="43:104" ht="15" hidden="1" customHeight="1" x14ac:dyDescent="0.2">
      <c r="AQ295" s="12"/>
      <c r="AR295" s="12">
        <v>1745000</v>
      </c>
      <c r="AS295" s="12">
        <v>2300000</v>
      </c>
      <c r="AT295" s="2"/>
      <c r="AU295" s="2"/>
      <c r="AV295" s="2"/>
      <c r="AW295" s="2"/>
      <c r="AX295" s="2"/>
      <c r="AY295" s="2"/>
      <c r="AZ295" s="2"/>
      <c r="BA295" s="2"/>
      <c r="BB295" s="2"/>
      <c r="BC295" s="2"/>
      <c r="BD295" s="2"/>
      <c r="BE295" s="2"/>
      <c r="BK295" s="2"/>
      <c r="BM295" s="2"/>
      <c r="BN295" s="2"/>
      <c r="BO295" s="2"/>
      <c r="BS295" s="11"/>
      <c r="BT295" s="2"/>
      <c r="BU295" s="3"/>
      <c r="BV295" s="3"/>
      <c r="BW295" s="2"/>
      <c r="BX295" s="2"/>
      <c r="BY295" s="2"/>
      <c r="BZ295" s="2"/>
      <c r="CA295" s="2"/>
      <c r="CB295" s="2"/>
      <c r="CC295" s="2"/>
      <c r="CD295" s="1"/>
      <c r="CE295" s="1"/>
      <c r="CF295" s="1"/>
      <c r="CG295" s="1"/>
      <c r="CH295" s="1"/>
      <c r="CI295" s="2"/>
      <c r="CJ295" s="2"/>
      <c r="CK295" s="2"/>
      <c r="CL295" s="2"/>
      <c r="CM295" s="2"/>
      <c r="CN295" s="2"/>
      <c r="CO295" s="2"/>
      <c r="CP295" s="2"/>
      <c r="CQ295" s="2"/>
      <c r="CR295" s="2"/>
      <c r="CS295" s="2"/>
      <c r="CT295" s="2"/>
      <c r="CU295" s="2"/>
      <c r="CV295" s="2"/>
      <c r="CW295" s="2"/>
      <c r="CX295" s="2"/>
      <c r="CY295" s="2"/>
      <c r="CZ295" s="2"/>
    </row>
    <row r="296" spans="43:104" ht="15" hidden="1" customHeight="1" x14ac:dyDescent="0.2">
      <c r="AQ296" s="12"/>
      <c r="AR296" s="12">
        <v>1750000</v>
      </c>
      <c r="AS296" s="12">
        <v>2310000</v>
      </c>
      <c r="AT296" s="2"/>
      <c r="AU296" s="2"/>
      <c r="AV296" s="2"/>
      <c r="AW296" s="2"/>
      <c r="AX296" s="2"/>
      <c r="AY296" s="2"/>
      <c r="AZ296" s="2"/>
      <c r="BA296" s="2"/>
      <c r="BB296" s="2"/>
      <c r="BC296" s="2"/>
      <c r="BD296" s="2"/>
      <c r="BE296" s="2"/>
      <c r="BK296" s="2"/>
      <c r="BM296" s="2"/>
      <c r="BN296" s="2"/>
      <c r="BO296" s="2"/>
      <c r="BS296" s="11"/>
      <c r="BT296" s="2"/>
      <c r="BU296" s="3"/>
      <c r="BV296" s="3"/>
      <c r="BW296" s="2"/>
      <c r="BX296" s="2"/>
      <c r="BY296" s="2"/>
      <c r="BZ296" s="2"/>
      <c r="CA296" s="2"/>
      <c r="CB296" s="2"/>
      <c r="CC296" s="2"/>
      <c r="CD296" s="1"/>
      <c r="CE296" s="1"/>
      <c r="CF296" s="1"/>
      <c r="CG296" s="1"/>
      <c r="CH296" s="1"/>
      <c r="CI296" s="2"/>
      <c r="CJ296" s="2"/>
      <c r="CK296" s="2"/>
      <c r="CL296" s="2"/>
      <c r="CM296" s="2"/>
      <c r="CN296" s="2"/>
      <c r="CO296" s="2"/>
      <c r="CP296" s="2"/>
      <c r="CQ296" s="2"/>
      <c r="CR296" s="2"/>
      <c r="CS296" s="2"/>
      <c r="CT296" s="2"/>
      <c r="CU296" s="2"/>
      <c r="CV296" s="2"/>
      <c r="CW296" s="2"/>
      <c r="CX296" s="2"/>
      <c r="CY296" s="2"/>
      <c r="CZ296" s="2"/>
    </row>
    <row r="297" spans="43:104" ht="15" hidden="1" customHeight="1" x14ac:dyDescent="0.2">
      <c r="AQ297" s="13"/>
      <c r="AR297" s="12">
        <v>1755000</v>
      </c>
      <c r="AS297" s="12">
        <v>2320000</v>
      </c>
      <c r="AT297" s="2"/>
      <c r="AU297" s="2"/>
      <c r="AV297" s="2"/>
      <c r="AW297" s="2"/>
      <c r="AX297" s="2"/>
      <c r="AY297" s="2"/>
      <c r="AZ297" s="2"/>
      <c r="BA297" s="2"/>
      <c r="BB297" s="2"/>
      <c r="BC297" s="2"/>
      <c r="BD297" s="2"/>
      <c r="BE297" s="2"/>
      <c r="BK297" s="2"/>
      <c r="BM297" s="2"/>
      <c r="BN297" s="2"/>
      <c r="BO297" s="2"/>
      <c r="BS297" s="11"/>
      <c r="BT297" s="2"/>
      <c r="BU297" s="3"/>
      <c r="BV297" s="3"/>
      <c r="BW297" s="2"/>
      <c r="BX297" s="2"/>
      <c r="BY297" s="2"/>
      <c r="BZ297" s="2"/>
      <c r="CA297" s="2"/>
      <c r="CB297" s="2"/>
      <c r="CC297" s="2"/>
      <c r="CD297" s="1"/>
      <c r="CE297" s="1"/>
      <c r="CF297" s="1"/>
      <c r="CG297" s="1"/>
      <c r="CH297" s="1"/>
      <c r="CI297" s="2"/>
      <c r="CJ297" s="2"/>
      <c r="CK297" s="2"/>
      <c r="CL297" s="2"/>
      <c r="CM297" s="2"/>
      <c r="CN297" s="2"/>
      <c r="CO297" s="2"/>
      <c r="CP297" s="2"/>
      <c r="CQ297" s="2"/>
      <c r="CR297" s="2"/>
      <c r="CS297" s="2"/>
      <c r="CT297" s="2"/>
      <c r="CU297" s="2"/>
      <c r="CV297" s="2"/>
      <c r="CW297" s="2"/>
      <c r="CX297" s="2"/>
      <c r="CY297" s="2"/>
      <c r="CZ297" s="2"/>
    </row>
    <row r="298" spans="43:104" ht="15" hidden="1" customHeight="1" x14ac:dyDescent="0.2">
      <c r="AQ298" s="13"/>
      <c r="AR298" s="12">
        <v>1760000</v>
      </c>
      <c r="AS298" s="12">
        <v>2330000</v>
      </c>
      <c r="AT298" s="2"/>
      <c r="AU298" s="2"/>
      <c r="AV298" s="2"/>
      <c r="AW298" s="2"/>
      <c r="AX298" s="2"/>
      <c r="AY298" s="2"/>
      <c r="AZ298" s="2"/>
      <c r="BA298" s="2"/>
      <c r="BB298" s="2"/>
      <c r="BC298" s="2"/>
      <c r="BD298" s="2"/>
      <c r="BE298" s="2"/>
      <c r="BK298" s="2"/>
      <c r="BM298" s="2"/>
      <c r="BN298" s="2"/>
      <c r="BO298" s="2"/>
      <c r="BS298" s="11"/>
      <c r="BT298" s="2"/>
      <c r="BU298" s="3"/>
      <c r="BV298" s="3"/>
      <c r="BW298" s="2"/>
      <c r="BX298" s="2"/>
      <c r="BY298" s="2"/>
      <c r="BZ298" s="2"/>
      <c r="CA298" s="2"/>
      <c r="CB298" s="2"/>
      <c r="CC298" s="2"/>
      <c r="CD298" s="1"/>
      <c r="CE298" s="1"/>
      <c r="CF298" s="1"/>
      <c r="CG298" s="1"/>
      <c r="CH298" s="1"/>
      <c r="CI298" s="2"/>
      <c r="CJ298" s="2"/>
      <c r="CK298" s="2"/>
      <c r="CL298" s="2"/>
      <c r="CM298" s="2"/>
      <c r="CN298" s="2"/>
      <c r="CO298" s="2"/>
      <c r="CP298" s="2"/>
      <c r="CQ298" s="2"/>
      <c r="CR298" s="2"/>
      <c r="CS298" s="2"/>
      <c r="CT298" s="2"/>
      <c r="CU298" s="2"/>
      <c r="CV298" s="2"/>
      <c r="CW298" s="2"/>
      <c r="CX298" s="2"/>
      <c r="CY298" s="2"/>
      <c r="CZ298" s="2"/>
    </row>
    <row r="299" spans="43:104" ht="15" hidden="1" customHeight="1" x14ac:dyDescent="0.2">
      <c r="AQ299" s="85"/>
      <c r="AR299" s="12">
        <v>1765000</v>
      </c>
      <c r="AS299" s="12">
        <v>2340000</v>
      </c>
      <c r="AT299" s="2"/>
      <c r="AU299" s="2"/>
      <c r="AV299" s="2"/>
      <c r="AW299" s="2"/>
      <c r="AX299" s="2"/>
      <c r="AY299" s="2"/>
      <c r="AZ299" s="2"/>
      <c r="BA299" s="2"/>
      <c r="BB299" s="2"/>
      <c r="BC299" s="2"/>
      <c r="BD299" s="2"/>
      <c r="BE299" s="2"/>
      <c r="BK299" s="2"/>
      <c r="BM299" s="2"/>
      <c r="BN299" s="2"/>
      <c r="BO299" s="2"/>
      <c r="BS299" s="11"/>
      <c r="BT299" s="2"/>
      <c r="BU299" s="3"/>
      <c r="BV299" s="3"/>
      <c r="BW299" s="2"/>
      <c r="BX299" s="2"/>
      <c r="BY299" s="2"/>
      <c r="BZ299" s="2"/>
      <c r="CA299" s="2"/>
      <c r="CB299" s="2"/>
      <c r="CC299" s="2"/>
      <c r="CD299" s="1"/>
      <c r="CE299" s="1"/>
      <c r="CF299" s="1"/>
      <c r="CG299" s="1"/>
      <c r="CH299" s="1"/>
      <c r="CI299" s="2"/>
      <c r="CJ299" s="2"/>
      <c r="CK299" s="2"/>
      <c r="CL299" s="2"/>
      <c r="CM299" s="2"/>
      <c r="CN299" s="2"/>
      <c r="CO299" s="2"/>
      <c r="CP299" s="2"/>
      <c r="CQ299" s="2"/>
      <c r="CR299" s="2"/>
      <c r="CS299" s="2"/>
      <c r="CT299" s="2"/>
      <c r="CU299" s="2"/>
      <c r="CV299" s="2"/>
      <c r="CW299" s="2"/>
      <c r="CX299" s="2"/>
      <c r="CY299" s="2"/>
      <c r="CZ299" s="2"/>
    </row>
    <row r="300" spans="43:104" ht="15" hidden="1" customHeight="1" x14ac:dyDescent="0.2">
      <c r="AQ300" s="12"/>
      <c r="AR300" s="12">
        <v>1770000</v>
      </c>
      <c r="AS300" s="12">
        <v>2350000</v>
      </c>
      <c r="AT300" s="2"/>
      <c r="AU300" s="2"/>
      <c r="AV300" s="2"/>
      <c r="AW300" s="2"/>
      <c r="AX300" s="2"/>
      <c r="AY300" s="2"/>
      <c r="AZ300" s="2"/>
      <c r="BA300" s="2"/>
      <c r="BB300" s="2"/>
      <c r="BC300" s="2"/>
      <c r="BD300" s="2"/>
      <c r="BE300" s="2"/>
      <c r="BK300" s="2"/>
      <c r="BM300" s="2"/>
      <c r="BN300" s="2"/>
      <c r="BO300" s="2"/>
      <c r="BS300" s="11"/>
      <c r="BT300" s="2"/>
      <c r="BU300" s="3"/>
      <c r="BV300" s="3"/>
      <c r="BW300" s="2"/>
      <c r="BX300" s="2"/>
      <c r="BY300" s="2"/>
      <c r="BZ300" s="2"/>
      <c r="CA300" s="2"/>
      <c r="CB300" s="2"/>
      <c r="CC300" s="2"/>
      <c r="CD300" s="1"/>
      <c r="CE300" s="1"/>
      <c r="CF300" s="1"/>
      <c r="CG300" s="1"/>
      <c r="CH300" s="1"/>
      <c r="CI300" s="2"/>
      <c r="CJ300" s="2"/>
      <c r="CK300" s="2"/>
      <c r="CL300" s="2"/>
      <c r="CM300" s="2"/>
      <c r="CN300" s="2"/>
      <c r="CO300" s="2"/>
      <c r="CP300" s="2"/>
      <c r="CQ300" s="2"/>
      <c r="CR300" s="2"/>
      <c r="CS300" s="2"/>
      <c r="CT300" s="2"/>
      <c r="CU300" s="2"/>
      <c r="CV300" s="2"/>
      <c r="CW300" s="2"/>
      <c r="CX300" s="2"/>
      <c r="CY300" s="2"/>
      <c r="CZ300" s="2"/>
    </row>
    <row r="301" spans="43:104" ht="15" hidden="1" customHeight="1" x14ac:dyDescent="0.2">
      <c r="AQ301" s="12"/>
      <c r="AR301" s="12">
        <v>1775000</v>
      </c>
      <c r="AS301" s="12">
        <v>2360000</v>
      </c>
      <c r="AT301" s="2"/>
      <c r="AU301" s="2"/>
      <c r="AV301" s="2"/>
      <c r="AW301" s="2"/>
      <c r="AX301" s="2"/>
      <c r="AY301" s="2"/>
      <c r="AZ301" s="2"/>
      <c r="BA301" s="2"/>
      <c r="BB301" s="2"/>
      <c r="BC301" s="2"/>
      <c r="BD301" s="2"/>
      <c r="BE301" s="2"/>
      <c r="BK301" s="2"/>
      <c r="BM301" s="2"/>
      <c r="BN301" s="2"/>
      <c r="BO301" s="2"/>
      <c r="BS301" s="11"/>
      <c r="BT301" s="2"/>
      <c r="BU301" s="3"/>
      <c r="BV301" s="3"/>
      <c r="BW301" s="2"/>
      <c r="BX301" s="2"/>
      <c r="BY301" s="2"/>
      <c r="BZ301" s="2"/>
      <c r="CA301" s="2"/>
      <c r="CB301" s="2"/>
      <c r="CC301" s="2"/>
      <c r="CD301" s="1"/>
      <c r="CE301" s="1"/>
      <c r="CF301" s="1"/>
      <c r="CG301" s="1"/>
      <c r="CH301" s="1"/>
      <c r="CI301" s="2"/>
      <c r="CJ301" s="2"/>
      <c r="CK301" s="2"/>
      <c r="CL301" s="2"/>
      <c r="CM301" s="2"/>
      <c r="CN301" s="2"/>
      <c r="CO301" s="2"/>
      <c r="CP301" s="2"/>
      <c r="CQ301" s="2"/>
      <c r="CR301" s="2"/>
      <c r="CS301" s="2"/>
      <c r="CT301" s="2"/>
      <c r="CU301" s="2"/>
      <c r="CV301" s="2"/>
      <c r="CW301" s="2"/>
      <c r="CX301" s="2"/>
      <c r="CY301" s="2"/>
      <c r="CZ301" s="2"/>
    </row>
    <row r="302" spans="43:104" ht="15" hidden="1" customHeight="1" x14ac:dyDescent="0.2">
      <c r="AQ302" s="13"/>
      <c r="AR302" s="12">
        <v>1780000</v>
      </c>
      <c r="AS302" s="12">
        <v>2370000</v>
      </c>
      <c r="AT302" s="2"/>
      <c r="AU302" s="2"/>
      <c r="AV302" s="2"/>
      <c r="AW302" s="2"/>
      <c r="AX302" s="2"/>
      <c r="AY302" s="2"/>
      <c r="AZ302" s="2"/>
      <c r="BA302" s="2"/>
      <c r="BB302" s="2"/>
      <c r="BC302" s="2"/>
      <c r="BD302" s="2"/>
      <c r="BE302" s="2"/>
      <c r="BK302" s="2"/>
      <c r="BM302" s="2"/>
      <c r="BN302" s="2"/>
      <c r="BO302" s="2"/>
      <c r="BS302" s="11"/>
      <c r="BT302" s="2"/>
      <c r="BU302" s="3"/>
      <c r="BV302" s="3"/>
      <c r="BW302" s="2"/>
      <c r="BX302" s="2"/>
      <c r="BY302" s="2"/>
      <c r="BZ302" s="46"/>
      <c r="CA302" s="1"/>
      <c r="CB302" s="1"/>
      <c r="CC302" s="1"/>
      <c r="CD302" s="1"/>
      <c r="CE302" s="1"/>
      <c r="CF302" s="1"/>
      <c r="CG302" s="1"/>
      <c r="CH302" s="1"/>
      <c r="CI302" s="2"/>
      <c r="CJ302" s="2"/>
      <c r="CK302" s="2"/>
      <c r="CL302" s="2"/>
      <c r="CM302" s="2"/>
      <c r="CN302" s="2"/>
      <c r="CO302" s="2"/>
      <c r="CP302" s="2"/>
      <c r="CQ302" s="2"/>
      <c r="CR302" s="2"/>
      <c r="CS302" s="2"/>
      <c r="CT302" s="2"/>
      <c r="CU302" s="2"/>
      <c r="CV302" s="2"/>
      <c r="CW302" s="2"/>
      <c r="CX302" s="2"/>
      <c r="CY302" s="2"/>
      <c r="CZ302" s="2"/>
    </row>
    <row r="303" spans="43:104" ht="15" hidden="1" customHeight="1" x14ac:dyDescent="0.2">
      <c r="AQ303" s="13"/>
      <c r="AR303" s="12">
        <v>1785000</v>
      </c>
      <c r="AS303" s="12">
        <v>2380000</v>
      </c>
      <c r="AT303" s="2"/>
      <c r="AU303" s="2"/>
      <c r="AV303" s="2"/>
      <c r="AW303" s="2"/>
      <c r="AX303" s="2"/>
      <c r="AY303" s="2"/>
      <c r="AZ303" s="2"/>
      <c r="BA303" s="2"/>
      <c r="BB303" s="2"/>
      <c r="BC303" s="2"/>
      <c r="BD303" s="2"/>
      <c r="BE303" s="2"/>
      <c r="BK303" s="2"/>
      <c r="BM303" s="2"/>
      <c r="BN303" s="2"/>
      <c r="BO303" s="2"/>
      <c r="BS303" s="11"/>
      <c r="BT303" s="2"/>
      <c r="BU303" s="3"/>
      <c r="BV303" s="3"/>
      <c r="BW303" s="2"/>
      <c r="BX303" s="2"/>
      <c r="BY303" s="2"/>
      <c r="BZ303" s="2"/>
      <c r="CA303" s="2"/>
      <c r="CB303" s="2"/>
      <c r="CC303" s="2"/>
      <c r="CD303" s="1"/>
      <c r="CE303" s="1"/>
      <c r="CF303" s="1"/>
      <c r="CG303" s="1"/>
      <c r="CH303" s="1"/>
      <c r="CI303" s="2"/>
      <c r="CJ303" s="2"/>
      <c r="CK303" s="2"/>
      <c r="CL303" s="2"/>
      <c r="CM303" s="2"/>
      <c r="CN303" s="2"/>
      <c r="CO303" s="2"/>
      <c r="CP303" s="2"/>
      <c r="CQ303" s="2"/>
      <c r="CR303" s="2"/>
      <c r="CS303" s="2"/>
      <c r="CT303" s="2"/>
      <c r="CU303" s="2"/>
      <c r="CV303" s="2"/>
      <c r="CW303" s="2"/>
      <c r="CX303" s="2"/>
      <c r="CY303" s="2"/>
      <c r="CZ303" s="2"/>
    </row>
    <row r="304" spans="43:104" ht="15" hidden="1" customHeight="1" x14ac:dyDescent="0.2">
      <c r="AQ304" s="85"/>
      <c r="AR304" s="12">
        <v>1790000</v>
      </c>
      <c r="AS304" s="12">
        <v>2390000</v>
      </c>
      <c r="AT304" s="2"/>
      <c r="AU304" s="2"/>
      <c r="AV304" s="2"/>
      <c r="AW304" s="2"/>
      <c r="AX304" s="2"/>
      <c r="AY304" s="2"/>
      <c r="AZ304" s="2"/>
      <c r="BA304" s="2"/>
      <c r="BB304" s="2"/>
      <c r="BC304" s="2"/>
      <c r="BD304" s="2"/>
      <c r="BE304" s="2"/>
      <c r="BK304" s="2"/>
      <c r="BM304" s="2"/>
      <c r="BN304" s="2"/>
      <c r="BO304" s="2"/>
      <c r="BS304" s="11"/>
      <c r="BT304" s="2"/>
      <c r="BU304" s="3"/>
      <c r="BV304" s="3"/>
      <c r="BW304" s="2"/>
      <c r="BX304" s="2"/>
      <c r="BY304" s="2"/>
      <c r="BZ304" s="2"/>
      <c r="CA304" s="2"/>
      <c r="CB304" s="2"/>
      <c r="CC304" s="2"/>
      <c r="CD304" s="1"/>
      <c r="CE304" s="1"/>
      <c r="CF304" s="1"/>
      <c r="CG304" s="1"/>
      <c r="CH304" s="1"/>
      <c r="CI304" s="2"/>
      <c r="CJ304" s="2"/>
      <c r="CK304" s="2"/>
      <c r="CL304" s="2"/>
      <c r="CM304" s="2"/>
      <c r="CN304" s="2"/>
      <c r="CO304" s="2"/>
      <c r="CP304" s="2"/>
      <c r="CQ304" s="2"/>
      <c r="CR304" s="2"/>
      <c r="CS304" s="2"/>
      <c r="CT304" s="2"/>
      <c r="CU304" s="2"/>
      <c r="CV304" s="2"/>
      <c r="CW304" s="2"/>
      <c r="CX304" s="2"/>
      <c r="CY304" s="2"/>
      <c r="CZ304" s="2"/>
    </row>
    <row r="305" spans="43:104" ht="15" hidden="1" customHeight="1" x14ac:dyDescent="0.2">
      <c r="AQ305" s="12"/>
      <c r="AR305" s="12">
        <v>1795000</v>
      </c>
      <c r="AS305" s="12">
        <v>2400000</v>
      </c>
      <c r="AT305" s="2"/>
      <c r="AU305" s="2"/>
      <c r="AV305" s="2"/>
      <c r="AW305" s="2"/>
      <c r="AX305" s="2"/>
      <c r="AY305" s="2"/>
      <c r="AZ305" s="2"/>
      <c r="BA305" s="2"/>
      <c r="BB305" s="2"/>
      <c r="BC305" s="2"/>
      <c r="BD305" s="2"/>
      <c r="BE305" s="2"/>
      <c r="BK305" s="2"/>
      <c r="BM305" s="2"/>
      <c r="BN305" s="2"/>
      <c r="BO305" s="2"/>
      <c r="BS305" s="11"/>
      <c r="BT305" s="2"/>
      <c r="BU305" s="3"/>
      <c r="BV305" s="3"/>
      <c r="BW305" s="2"/>
      <c r="BX305" s="2"/>
      <c r="BY305" s="2"/>
      <c r="BZ305" s="2"/>
      <c r="CA305" s="2"/>
      <c r="CB305" s="2"/>
      <c r="CC305" s="2"/>
      <c r="CD305" s="1"/>
      <c r="CE305" s="1"/>
      <c r="CF305" s="1"/>
      <c r="CG305" s="1"/>
      <c r="CH305" s="1"/>
      <c r="CI305" s="2"/>
      <c r="CJ305" s="2"/>
      <c r="CK305" s="2"/>
      <c r="CL305" s="2"/>
      <c r="CM305" s="2"/>
      <c r="CN305" s="2"/>
      <c r="CO305" s="2"/>
      <c r="CP305" s="2"/>
      <c r="CQ305" s="2"/>
      <c r="CR305" s="2"/>
      <c r="CS305" s="2"/>
      <c r="CT305" s="2"/>
      <c r="CU305" s="2"/>
      <c r="CV305" s="2"/>
      <c r="CW305" s="2"/>
      <c r="CX305" s="2"/>
      <c r="CY305" s="2"/>
      <c r="CZ305" s="2"/>
    </row>
    <row r="306" spans="43:104" ht="15" hidden="1" customHeight="1" x14ac:dyDescent="0.2">
      <c r="AQ306" s="12"/>
      <c r="AR306" s="12">
        <v>1800000</v>
      </c>
      <c r="AS306" s="12">
        <v>2410000</v>
      </c>
      <c r="AT306" s="2"/>
      <c r="AU306" s="2"/>
      <c r="AV306" s="2"/>
      <c r="AW306" s="2"/>
      <c r="AX306" s="2"/>
      <c r="AY306" s="2"/>
      <c r="AZ306" s="2"/>
      <c r="BA306" s="2"/>
      <c r="BB306" s="2"/>
      <c r="BC306" s="2"/>
      <c r="BD306" s="2"/>
      <c r="BE306" s="2"/>
      <c r="BK306" s="2"/>
      <c r="BM306" s="2"/>
      <c r="BN306" s="2"/>
      <c r="BO306" s="2"/>
      <c r="BS306" s="11"/>
      <c r="BT306" s="2"/>
      <c r="BU306" s="3"/>
      <c r="BV306" s="3"/>
      <c r="BW306" s="2"/>
      <c r="BX306" s="2"/>
      <c r="BY306" s="2"/>
      <c r="BZ306" s="2"/>
      <c r="CA306" s="2"/>
      <c r="CB306" s="2"/>
      <c r="CC306" s="2"/>
      <c r="CD306" s="1"/>
      <c r="CE306" s="1"/>
      <c r="CF306" s="1"/>
      <c r="CG306" s="1"/>
      <c r="CH306" s="1"/>
      <c r="CI306" s="2"/>
      <c r="CJ306" s="2"/>
      <c r="CK306" s="2"/>
      <c r="CL306" s="2"/>
      <c r="CM306" s="2"/>
      <c r="CN306" s="2"/>
      <c r="CO306" s="2"/>
      <c r="CP306" s="2"/>
      <c r="CQ306" s="2"/>
      <c r="CR306" s="2"/>
      <c r="CS306" s="2"/>
      <c r="CT306" s="2"/>
      <c r="CU306" s="2"/>
      <c r="CV306" s="2"/>
      <c r="CW306" s="2"/>
      <c r="CX306" s="2"/>
      <c r="CY306" s="2"/>
      <c r="CZ306" s="2"/>
    </row>
    <row r="307" spans="43:104" ht="15" hidden="1" customHeight="1" x14ac:dyDescent="0.2">
      <c r="AQ307" s="13"/>
      <c r="AR307" s="12">
        <v>1805000</v>
      </c>
      <c r="AS307" s="12">
        <v>2420000</v>
      </c>
      <c r="AT307" s="2"/>
      <c r="AU307" s="2"/>
      <c r="AV307" s="2"/>
      <c r="AW307" s="2"/>
      <c r="AX307" s="2"/>
      <c r="AY307" s="2"/>
      <c r="AZ307" s="2"/>
      <c r="BA307" s="2"/>
      <c r="BB307" s="2"/>
      <c r="BC307" s="2"/>
      <c r="BD307" s="2"/>
      <c r="BE307" s="2"/>
      <c r="BK307" s="2"/>
      <c r="BM307" s="2"/>
      <c r="BN307" s="2"/>
      <c r="BO307" s="2"/>
      <c r="BS307" s="11"/>
      <c r="BT307" s="2"/>
      <c r="BU307" s="3"/>
      <c r="BV307" s="3"/>
      <c r="BW307" s="2"/>
      <c r="BX307" s="2"/>
      <c r="BY307" s="2"/>
      <c r="BZ307" s="2"/>
      <c r="CA307" s="2"/>
      <c r="CB307" s="2"/>
      <c r="CC307" s="2"/>
      <c r="CD307" s="1"/>
      <c r="CE307" s="1"/>
      <c r="CF307" s="1"/>
      <c r="CG307" s="1"/>
      <c r="CH307" s="1"/>
      <c r="CI307" s="2"/>
      <c r="CJ307" s="2"/>
      <c r="CK307" s="2"/>
      <c r="CL307" s="2"/>
      <c r="CM307" s="2"/>
      <c r="CN307" s="2"/>
      <c r="CO307" s="2"/>
      <c r="CP307" s="2"/>
      <c r="CQ307" s="2"/>
      <c r="CR307" s="2"/>
      <c r="CS307" s="2"/>
      <c r="CT307" s="2"/>
      <c r="CU307" s="2"/>
      <c r="CV307" s="2"/>
      <c r="CW307" s="2"/>
      <c r="CX307" s="2"/>
      <c r="CY307" s="2"/>
      <c r="CZ307" s="2"/>
    </row>
    <row r="308" spans="43:104" ht="15" hidden="1" customHeight="1" x14ac:dyDescent="0.2">
      <c r="AQ308" s="13"/>
      <c r="AR308" s="12">
        <v>1810000</v>
      </c>
      <c r="AS308" s="12">
        <v>2430000</v>
      </c>
      <c r="AT308" s="2"/>
      <c r="AU308" s="2"/>
      <c r="AV308" s="2"/>
      <c r="AW308" s="2"/>
      <c r="AX308" s="2"/>
      <c r="AY308" s="2"/>
      <c r="AZ308" s="2"/>
      <c r="BA308" s="2"/>
      <c r="BB308" s="2"/>
      <c r="BC308" s="2"/>
      <c r="BD308" s="2"/>
      <c r="BE308" s="2"/>
      <c r="BK308" s="2"/>
      <c r="BM308" s="2"/>
      <c r="BN308" s="2"/>
      <c r="BO308" s="2"/>
      <c r="BS308" s="11"/>
      <c r="BT308" s="2"/>
      <c r="BU308" s="3"/>
      <c r="BV308" s="3"/>
      <c r="BW308" s="2"/>
      <c r="BX308" s="2"/>
      <c r="BY308" s="2"/>
      <c r="BZ308" s="2"/>
      <c r="CA308" s="2"/>
      <c r="CB308" s="2"/>
      <c r="CC308" s="2"/>
      <c r="CD308" s="1"/>
      <c r="CE308" s="1"/>
      <c r="CF308" s="1"/>
      <c r="CG308" s="1"/>
      <c r="CH308" s="1"/>
      <c r="CI308" s="2"/>
      <c r="CJ308" s="2"/>
      <c r="CK308" s="2"/>
      <c r="CL308" s="2"/>
      <c r="CM308" s="2"/>
      <c r="CN308" s="2"/>
      <c r="CO308" s="2"/>
      <c r="CP308" s="2"/>
      <c r="CQ308" s="2"/>
      <c r="CR308" s="2"/>
      <c r="CS308" s="2"/>
      <c r="CT308" s="2"/>
      <c r="CU308" s="2"/>
      <c r="CV308" s="2"/>
      <c r="CW308" s="2"/>
      <c r="CX308" s="2"/>
      <c r="CY308" s="2"/>
      <c r="CZ308" s="2"/>
    </row>
    <row r="309" spans="43:104" ht="15" hidden="1" customHeight="1" x14ac:dyDescent="0.2">
      <c r="AQ309" s="85"/>
      <c r="AR309" s="12">
        <v>1815000</v>
      </c>
      <c r="AS309" s="12">
        <v>2440000</v>
      </c>
      <c r="AT309" s="2"/>
      <c r="AU309" s="2"/>
      <c r="AV309" s="2"/>
      <c r="AW309" s="2"/>
      <c r="AX309" s="2"/>
      <c r="AY309" s="2"/>
      <c r="AZ309" s="2"/>
      <c r="BA309" s="2"/>
      <c r="BB309" s="2"/>
      <c r="BC309" s="2"/>
      <c r="BD309" s="2"/>
      <c r="BE309" s="2"/>
      <c r="BK309" s="2"/>
      <c r="BM309" s="2"/>
      <c r="BN309" s="2"/>
      <c r="BO309" s="2"/>
      <c r="BS309" s="11"/>
      <c r="BT309" s="2"/>
      <c r="BU309" s="3"/>
      <c r="BV309" s="3"/>
      <c r="BW309" s="2"/>
      <c r="BX309" s="2"/>
      <c r="BY309" s="2"/>
      <c r="BZ309" s="2"/>
      <c r="CA309" s="2"/>
      <c r="CB309" s="2"/>
      <c r="CC309" s="2"/>
      <c r="CD309" s="1"/>
      <c r="CE309" s="1"/>
      <c r="CF309" s="1"/>
      <c r="CG309" s="1"/>
      <c r="CH309" s="1"/>
      <c r="CI309" s="2"/>
      <c r="CJ309" s="2"/>
      <c r="CK309" s="2"/>
      <c r="CL309" s="2"/>
      <c r="CM309" s="2"/>
      <c r="CN309" s="2"/>
      <c r="CO309" s="2"/>
      <c r="CP309" s="2"/>
      <c r="CQ309" s="2"/>
      <c r="CR309" s="2"/>
      <c r="CS309" s="2"/>
      <c r="CT309" s="2"/>
      <c r="CU309" s="2"/>
      <c r="CV309" s="2"/>
      <c r="CW309" s="2"/>
      <c r="CX309" s="2"/>
      <c r="CY309" s="2"/>
      <c r="CZ309" s="2"/>
    </row>
    <row r="310" spans="43:104" ht="15" hidden="1" customHeight="1" x14ac:dyDescent="0.2">
      <c r="AQ310" s="12"/>
      <c r="AR310" s="12">
        <v>1820000</v>
      </c>
      <c r="AS310" s="12">
        <v>2450000</v>
      </c>
      <c r="AT310" s="2"/>
      <c r="AU310" s="2"/>
      <c r="AV310" s="2"/>
      <c r="AW310" s="2"/>
      <c r="AX310" s="2"/>
      <c r="AY310" s="2"/>
      <c r="AZ310" s="2"/>
      <c r="BA310" s="2"/>
      <c r="BB310" s="2"/>
      <c r="BC310" s="2"/>
      <c r="BD310" s="2"/>
      <c r="BE310" s="2"/>
      <c r="BK310" s="2"/>
      <c r="BM310" s="2"/>
      <c r="BN310" s="2"/>
      <c r="BO310" s="2"/>
      <c r="BS310" s="11"/>
      <c r="BT310" s="2"/>
      <c r="BU310" s="3"/>
      <c r="BV310" s="3"/>
      <c r="BW310" s="2"/>
      <c r="BX310" s="2"/>
      <c r="BY310" s="2"/>
      <c r="BZ310" s="2"/>
      <c r="CA310" s="2"/>
      <c r="CB310" s="2"/>
      <c r="CC310" s="2"/>
      <c r="CD310" s="1"/>
      <c r="CE310" s="1"/>
      <c r="CF310" s="1"/>
      <c r="CG310" s="1"/>
      <c r="CH310" s="1"/>
      <c r="CI310" s="2"/>
      <c r="CJ310" s="2"/>
      <c r="CK310" s="2"/>
      <c r="CL310" s="2"/>
      <c r="CM310" s="2"/>
      <c r="CN310" s="2"/>
      <c r="CO310" s="2"/>
      <c r="CP310" s="2"/>
      <c r="CQ310" s="2"/>
      <c r="CR310" s="2"/>
      <c r="CS310" s="2"/>
      <c r="CT310" s="2"/>
      <c r="CU310" s="2"/>
      <c r="CV310" s="2"/>
      <c r="CW310" s="2"/>
      <c r="CX310" s="2"/>
      <c r="CY310" s="2"/>
      <c r="CZ310" s="2"/>
    </row>
    <row r="311" spans="43:104" ht="15" hidden="1" customHeight="1" x14ac:dyDescent="0.2">
      <c r="AQ311" s="12"/>
      <c r="AR311" s="12">
        <v>1825000</v>
      </c>
      <c r="AS311" s="12">
        <v>2460000</v>
      </c>
      <c r="AT311" s="2"/>
      <c r="AU311" s="2"/>
      <c r="AV311" s="2"/>
      <c r="AW311" s="2"/>
      <c r="AX311" s="2"/>
      <c r="AY311" s="2"/>
      <c r="AZ311" s="2"/>
      <c r="BA311" s="2"/>
      <c r="BB311" s="2"/>
      <c r="BC311" s="2"/>
      <c r="BD311" s="2"/>
      <c r="BE311" s="2"/>
      <c r="BK311" s="2"/>
      <c r="BM311" s="2"/>
      <c r="BN311" s="2"/>
      <c r="BO311" s="2"/>
      <c r="BS311" s="11"/>
      <c r="BT311" s="2"/>
      <c r="BU311" s="3"/>
      <c r="BV311" s="3"/>
      <c r="BW311" s="2"/>
      <c r="BX311" s="2"/>
      <c r="BY311" s="2"/>
      <c r="BZ311" s="2"/>
      <c r="CA311" s="2"/>
      <c r="CB311" s="2"/>
      <c r="CC311" s="2"/>
      <c r="CD311" s="1"/>
      <c r="CE311" s="1"/>
      <c r="CF311" s="1"/>
      <c r="CG311" s="1"/>
      <c r="CH311" s="1"/>
      <c r="CI311" s="2"/>
      <c r="CJ311" s="2"/>
      <c r="CK311" s="2"/>
      <c r="CL311" s="2"/>
      <c r="CM311" s="2"/>
      <c r="CN311" s="2"/>
      <c r="CO311" s="2"/>
      <c r="CP311" s="2"/>
      <c r="CQ311" s="2"/>
      <c r="CR311" s="2"/>
      <c r="CS311" s="2"/>
      <c r="CT311" s="2"/>
      <c r="CU311" s="2"/>
      <c r="CV311" s="2"/>
      <c r="CW311" s="2"/>
      <c r="CX311" s="2"/>
      <c r="CY311" s="2"/>
      <c r="CZ311" s="2"/>
    </row>
    <row r="312" spans="43:104" ht="15" hidden="1" customHeight="1" x14ac:dyDescent="0.2">
      <c r="AQ312" s="13"/>
      <c r="AR312" s="12">
        <v>1830000</v>
      </c>
      <c r="AS312" s="12">
        <v>2470000</v>
      </c>
      <c r="AT312" s="2"/>
      <c r="AU312" s="2"/>
      <c r="AV312" s="2"/>
      <c r="AW312" s="2"/>
      <c r="AX312" s="2"/>
      <c r="AY312" s="2"/>
      <c r="AZ312" s="2"/>
      <c r="BA312" s="2"/>
      <c r="BB312" s="2"/>
      <c r="BC312" s="2"/>
      <c r="BD312" s="2"/>
      <c r="BE312" s="2"/>
      <c r="BK312" s="2"/>
      <c r="BM312" s="2"/>
      <c r="BN312" s="2"/>
      <c r="BO312" s="2"/>
      <c r="BS312" s="11"/>
      <c r="BT312" s="2"/>
      <c r="BU312" s="3"/>
      <c r="BV312" s="3"/>
      <c r="BW312" s="2"/>
      <c r="BX312" s="2"/>
      <c r="BY312" s="2"/>
      <c r="BZ312" s="2"/>
      <c r="CA312" s="2"/>
      <c r="CB312" s="2"/>
      <c r="CC312" s="2"/>
      <c r="CD312" s="1"/>
      <c r="CE312" s="1"/>
      <c r="CF312" s="1"/>
      <c r="CG312" s="1"/>
      <c r="CH312" s="1"/>
      <c r="CI312" s="2"/>
      <c r="CJ312" s="2"/>
      <c r="CK312" s="2"/>
      <c r="CL312" s="2"/>
      <c r="CM312" s="2"/>
      <c r="CN312" s="2"/>
      <c r="CO312" s="2"/>
      <c r="CP312" s="2"/>
      <c r="CQ312" s="2"/>
      <c r="CR312" s="2"/>
      <c r="CS312" s="2"/>
      <c r="CT312" s="2"/>
      <c r="CU312" s="2"/>
      <c r="CV312" s="2"/>
      <c r="CW312" s="2"/>
      <c r="CX312" s="2"/>
      <c r="CY312" s="2"/>
      <c r="CZ312" s="2"/>
    </row>
    <row r="313" spans="43:104" ht="15" hidden="1" customHeight="1" x14ac:dyDescent="0.2">
      <c r="AQ313" s="13"/>
      <c r="AR313" s="12">
        <v>1835000</v>
      </c>
      <c r="AS313" s="12">
        <v>2480000</v>
      </c>
      <c r="AT313" s="2"/>
      <c r="AU313" s="2"/>
      <c r="AV313" s="2"/>
      <c r="AW313" s="2"/>
      <c r="AX313" s="2"/>
      <c r="AY313" s="2"/>
      <c r="AZ313" s="2"/>
      <c r="BA313" s="2"/>
      <c r="BB313" s="2"/>
      <c r="BC313" s="2"/>
      <c r="BD313" s="2"/>
      <c r="BE313" s="2"/>
      <c r="BK313" s="2"/>
      <c r="BM313" s="2"/>
      <c r="BN313" s="2"/>
      <c r="BO313" s="2"/>
      <c r="BS313" s="11"/>
      <c r="BT313" s="2"/>
      <c r="BU313" s="3"/>
      <c r="BV313" s="3"/>
      <c r="BW313" s="2"/>
      <c r="BX313" s="2"/>
      <c r="BY313" s="2"/>
      <c r="BZ313" s="2"/>
      <c r="CA313" s="2"/>
      <c r="CB313" s="2"/>
      <c r="CC313" s="2"/>
      <c r="CD313" s="1"/>
      <c r="CE313" s="1"/>
      <c r="CF313" s="1"/>
      <c r="CG313" s="1"/>
      <c r="CH313" s="1"/>
      <c r="CI313" s="2"/>
      <c r="CJ313" s="2"/>
      <c r="CK313" s="2"/>
      <c r="CL313" s="2"/>
      <c r="CM313" s="2"/>
      <c r="CN313" s="2"/>
      <c r="CO313" s="2"/>
      <c r="CP313" s="2"/>
      <c r="CQ313" s="2"/>
      <c r="CR313" s="2"/>
      <c r="CS313" s="2"/>
      <c r="CT313" s="2"/>
      <c r="CU313" s="2"/>
      <c r="CV313" s="2"/>
      <c r="CW313" s="2"/>
      <c r="CX313" s="2"/>
      <c r="CY313" s="2"/>
      <c r="CZ313" s="2"/>
    </row>
    <row r="314" spans="43:104" ht="15" hidden="1" customHeight="1" x14ac:dyDescent="0.2">
      <c r="AQ314" s="85"/>
      <c r="AR314" s="12">
        <v>1840000</v>
      </c>
      <c r="AS314" s="12">
        <v>2490000</v>
      </c>
      <c r="AT314" s="2"/>
      <c r="AU314" s="2"/>
      <c r="AV314" s="2"/>
      <c r="AW314" s="2"/>
      <c r="AX314" s="2"/>
      <c r="AY314" s="2"/>
      <c r="AZ314" s="2"/>
      <c r="BA314" s="2"/>
      <c r="BB314" s="2"/>
      <c r="BC314" s="2"/>
      <c r="BD314" s="2"/>
      <c r="BE314" s="2"/>
      <c r="BK314" s="2"/>
      <c r="BM314" s="2"/>
      <c r="BN314" s="2"/>
      <c r="BO314" s="2"/>
      <c r="BS314" s="11"/>
      <c r="BT314" s="2"/>
      <c r="BU314" s="3"/>
      <c r="BV314" s="3"/>
      <c r="BW314" s="2"/>
      <c r="BX314" s="2"/>
      <c r="BY314" s="2"/>
      <c r="BZ314" s="46"/>
      <c r="CA314" s="1"/>
      <c r="CB314" s="1"/>
      <c r="CC314" s="1"/>
      <c r="CD314" s="1"/>
      <c r="CE314" s="1"/>
      <c r="CF314" s="1"/>
      <c r="CG314" s="1"/>
      <c r="CH314" s="1"/>
      <c r="CI314" s="2"/>
      <c r="CJ314" s="2"/>
      <c r="CK314" s="2"/>
      <c r="CL314" s="2"/>
      <c r="CM314" s="2"/>
      <c r="CN314" s="2"/>
      <c r="CO314" s="2"/>
      <c r="CP314" s="2"/>
      <c r="CQ314" s="2"/>
      <c r="CR314" s="2"/>
      <c r="CS314" s="2"/>
      <c r="CT314" s="2"/>
      <c r="CU314" s="2"/>
      <c r="CV314" s="2"/>
      <c r="CW314" s="2"/>
      <c r="CX314" s="2"/>
      <c r="CY314" s="2"/>
      <c r="CZ314" s="2"/>
    </row>
    <row r="315" spans="43:104" ht="15" hidden="1" customHeight="1" x14ac:dyDescent="0.2">
      <c r="AQ315" s="12"/>
      <c r="AR315" s="12">
        <v>1845000</v>
      </c>
      <c r="AS315" s="12">
        <v>2500000</v>
      </c>
      <c r="AT315" s="2"/>
      <c r="AU315" s="2"/>
      <c r="AV315" s="2"/>
      <c r="AW315" s="2"/>
      <c r="AX315" s="2"/>
      <c r="AY315" s="2"/>
      <c r="AZ315" s="2"/>
      <c r="BA315" s="2"/>
      <c r="BB315" s="2"/>
      <c r="BC315" s="2"/>
      <c r="BD315" s="2"/>
      <c r="BE315" s="2"/>
      <c r="BK315" s="2"/>
      <c r="BM315" s="2"/>
      <c r="BN315" s="2"/>
      <c r="BO315" s="2"/>
      <c r="BS315" s="11"/>
      <c r="BT315" s="2"/>
      <c r="BU315" s="3"/>
      <c r="BV315" s="3"/>
      <c r="BW315" s="2"/>
      <c r="BX315" s="2"/>
      <c r="BY315" s="2"/>
      <c r="BZ315" s="2"/>
      <c r="CA315" s="2"/>
      <c r="CB315" s="2"/>
      <c r="CC315" s="2"/>
      <c r="CD315" s="1"/>
      <c r="CE315" s="1"/>
      <c r="CF315" s="1"/>
      <c r="CG315" s="1"/>
      <c r="CH315" s="1"/>
      <c r="CI315" s="2"/>
      <c r="CJ315" s="2"/>
      <c r="CK315" s="2"/>
      <c r="CL315" s="2"/>
      <c r="CM315" s="2"/>
      <c r="CN315" s="2"/>
      <c r="CO315" s="2"/>
      <c r="CP315" s="2"/>
      <c r="CQ315" s="2"/>
      <c r="CR315" s="2"/>
      <c r="CS315" s="2"/>
      <c r="CT315" s="2"/>
      <c r="CU315" s="2"/>
      <c r="CV315" s="2"/>
      <c r="CW315" s="2"/>
      <c r="CX315" s="2"/>
      <c r="CY315" s="2"/>
      <c r="CZ315" s="2"/>
    </row>
    <row r="316" spans="43:104" ht="15" hidden="1" customHeight="1" x14ac:dyDescent="0.2">
      <c r="AQ316" s="12"/>
      <c r="AR316" s="12">
        <v>1850000</v>
      </c>
      <c r="AS316" s="12">
        <v>2510000</v>
      </c>
      <c r="AT316" s="2"/>
      <c r="AU316" s="2"/>
      <c r="AV316" s="2"/>
      <c r="AW316" s="2"/>
      <c r="AX316" s="2"/>
      <c r="AY316" s="2"/>
      <c r="AZ316" s="2"/>
      <c r="BA316" s="2"/>
      <c r="BB316" s="2"/>
      <c r="BC316" s="2"/>
      <c r="BD316" s="2"/>
      <c r="BE316" s="2"/>
      <c r="BK316" s="2"/>
      <c r="BM316" s="2"/>
      <c r="BN316" s="2"/>
      <c r="BO316" s="2"/>
      <c r="BS316" s="11"/>
      <c r="BT316" s="2"/>
      <c r="BU316" s="3"/>
      <c r="BV316" s="3"/>
      <c r="BW316" s="2"/>
      <c r="BX316" s="2"/>
      <c r="BY316" s="2"/>
      <c r="BZ316" s="2"/>
      <c r="CA316" s="2"/>
      <c r="CB316" s="2"/>
      <c r="CC316" s="2"/>
      <c r="CD316" s="1"/>
      <c r="CE316" s="1"/>
      <c r="CF316" s="1"/>
      <c r="CG316" s="1"/>
      <c r="CH316" s="1"/>
      <c r="CI316" s="2"/>
      <c r="CJ316" s="2"/>
      <c r="CK316" s="2"/>
      <c r="CL316" s="2"/>
      <c r="CM316" s="2"/>
      <c r="CN316" s="2"/>
      <c r="CO316" s="2"/>
      <c r="CP316" s="2"/>
      <c r="CQ316" s="2"/>
      <c r="CR316" s="2"/>
      <c r="CS316" s="2"/>
      <c r="CT316" s="2"/>
      <c r="CU316" s="2"/>
      <c r="CV316" s="2"/>
      <c r="CW316" s="2"/>
      <c r="CX316" s="2"/>
      <c r="CY316" s="2"/>
      <c r="CZ316" s="2"/>
    </row>
    <row r="317" spans="43:104" ht="15" hidden="1" customHeight="1" x14ac:dyDescent="0.2">
      <c r="AQ317" s="13"/>
      <c r="AR317" s="12">
        <v>1855000</v>
      </c>
      <c r="AS317" s="12">
        <v>2520000</v>
      </c>
      <c r="AT317" s="2"/>
      <c r="AU317" s="2"/>
      <c r="AV317" s="2"/>
      <c r="AW317" s="2"/>
      <c r="AX317" s="2"/>
      <c r="AY317" s="2"/>
      <c r="AZ317" s="2"/>
      <c r="BA317" s="2"/>
      <c r="BB317" s="2"/>
      <c r="BC317" s="2"/>
      <c r="BD317" s="2"/>
      <c r="BE317" s="2"/>
      <c r="BK317" s="2"/>
      <c r="BM317" s="2"/>
      <c r="BN317" s="2"/>
      <c r="BO317" s="2"/>
      <c r="BS317" s="11"/>
      <c r="BT317" s="2"/>
      <c r="BU317" s="3"/>
      <c r="BV317" s="3"/>
      <c r="BW317" s="2"/>
      <c r="BX317" s="2"/>
      <c r="BY317" s="2"/>
      <c r="BZ317" s="2"/>
      <c r="CA317" s="2"/>
      <c r="CB317" s="2"/>
      <c r="CC317" s="2"/>
      <c r="CD317" s="1"/>
      <c r="CE317" s="1"/>
      <c r="CF317" s="1"/>
      <c r="CG317" s="1"/>
      <c r="CH317" s="1"/>
      <c r="CI317" s="2"/>
      <c r="CJ317" s="2"/>
      <c r="CK317" s="2"/>
      <c r="CL317" s="2"/>
      <c r="CM317" s="2"/>
      <c r="CN317" s="2"/>
      <c r="CO317" s="2"/>
      <c r="CP317" s="2"/>
      <c r="CQ317" s="2"/>
      <c r="CR317" s="2"/>
      <c r="CS317" s="2"/>
      <c r="CT317" s="2"/>
      <c r="CU317" s="2"/>
      <c r="CV317" s="2"/>
      <c r="CW317" s="2"/>
      <c r="CX317" s="2"/>
      <c r="CY317" s="2"/>
      <c r="CZ317" s="2"/>
    </row>
    <row r="318" spans="43:104" ht="15" hidden="1" customHeight="1" x14ac:dyDescent="0.2">
      <c r="AQ318" s="13"/>
      <c r="AR318" s="12">
        <v>1860000</v>
      </c>
      <c r="AS318" s="12">
        <v>2530000</v>
      </c>
      <c r="AT318" s="2"/>
      <c r="AU318" s="2"/>
      <c r="AV318" s="2"/>
      <c r="AW318" s="2"/>
      <c r="AX318" s="2"/>
      <c r="AY318" s="2"/>
      <c r="AZ318" s="2"/>
      <c r="BA318" s="2"/>
      <c r="BB318" s="2"/>
      <c r="BC318" s="2"/>
      <c r="BD318" s="2"/>
      <c r="BE318" s="2"/>
      <c r="BK318" s="2"/>
      <c r="BM318" s="2"/>
      <c r="BN318" s="2"/>
      <c r="BO318" s="2"/>
      <c r="BS318" s="11"/>
      <c r="BT318" s="2"/>
      <c r="BU318" s="3"/>
      <c r="BV318" s="3"/>
      <c r="BW318" s="2"/>
      <c r="BX318" s="2"/>
      <c r="BY318" s="2"/>
      <c r="BZ318" s="2"/>
      <c r="CA318" s="2"/>
      <c r="CB318" s="2"/>
      <c r="CC318" s="2"/>
      <c r="CD318" s="1"/>
      <c r="CE318" s="1"/>
      <c r="CF318" s="1"/>
      <c r="CG318" s="1"/>
      <c r="CH318" s="1"/>
      <c r="CI318" s="2"/>
      <c r="CJ318" s="2"/>
      <c r="CK318" s="2"/>
      <c r="CL318" s="2"/>
      <c r="CM318" s="2"/>
      <c r="CN318" s="2"/>
      <c r="CO318" s="2"/>
      <c r="CP318" s="2"/>
      <c r="CQ318" s="2"/>
      <c r="CR318" s="2"/>
      <c r="CS318" s="2"/>
      <c r="CT318" s="2"/>
      <c r="CU318" s="2"/>
      <c r="CV318" s="2"/>
      <c r="CW318" s="2"/>
      <c r="CX318" s="2"/>
      <c r="CY318" s="2"/>
      <c r="CZ318" s="2"/>
    </row>
    <row r="319" spans="43:104" ht="15" hidden="1" customHeight="1" x14ac:dyDescent="0.2">
      <c r="AQ319" s="85"/>
      <c r="AR319" s="12">
        <v>1865000</v>
      </c>
      <c r="AS319" s="12">
        <v>2540000</v>
      </c>
      <c r="AT319" s="2"/>
      <c r="AU319" s="2"/>
      <c r="AV319" s="2"/>
      <c r="AW319" s="2"/>
      <c r="AX319" s="2"/>
      <c r="AY319" s="2"/>
      <c r="AZ319" s="2"/>
      <c r="BA319" s="2"/>
      <c r="BB319" s="2"/>
      <c r="BC319" s="2"/>
      <c r="BD319" s="2"/>
      <c r="BE319" s="2"/>
      <c r="BK319" s="2"/>
      <c r="BM319" s="2"/>
      <c r="BN319" s="2"/>
      <c r="BO319" s="2"/>
      <c r="BS319" s="11"/>
      <c r="BT319" s="2"/>
      <c r="BU319" s="3"/>
      <c r="BV319" s="3"/>
      <c r="BW319" s="2"/>
      <c r="BX319" s="2"/>
      <c r="BY319" s="2"/>
      <c r="BZ319" s="2"/>
      <c r="CA319" s="2"/>
      <c r="CB319" s="2"/>
      <c r="CC319" s="2"/>
      <c r="CD319" s="1"/>
      <c r="CE319" s="1"/>
      <c r="CF319" s="1"/>
      <c r="CG319" s="1"/>
      <c r="CH319" s="1"/>
      <c r="CI319" s="2"/>
      <c r="CJ319" s="2"/>
      <c r="CK319" s="2"/>
      <c r="CL319" s="2"/>
      <c r="CM319" s="2"/>
      <c r="CN319" s="2"/>
      <c r="CO319" s="2"/>
      <c r="CP319" s="2"/>
      <c r="CQ319" s="2"/>
      <c r="CR319" s="2"/>
      <c r="CS319" s="2"/>
      <c r="CT319" s="2"/>
      <c r="CU319" s="2"/>
      <c r="CV319" s="2"/>
      <c r="CW319" s="2"/>
      <c r="CX319" s="2"/>
      <c r="CY319" s="2"/>
      <c r="CZ319" s="2"/>
    </row>
    <row r="320" spans="43:104" ht="15" hidden="1" customHeight="1" x14ac:dyDescent="0.2">
      <c r="AQ320" s="12"/>
      <c r="AR320" s="12">
        <v>1870000</v>
      </c>
      <c r="AS320" s="12">
        <v>2550000</v>
      </c>
      <c r="AT320" s="2"/>
      <c r="AU320" s="2"/>
      <c r="AV320" s="2"/>
      <c r="AW320" s="2"/>
      <c r="AX320" s="2"/>
      <c r="AY320" s="2"/>
      <c r="AZ320" s="2"/>
      <c r="BA320" s="2"/>
      <c r="BB320" s="2"/>
      <c r="BC320" s="2"/>
      <c r="BD320" s="2"/>
      <c r="BE320" s="2"/>
      <c r="BK320" s="2"/>
      <c r="BM320" s="2"/>
      <c r="BN320" s="2"/>
      <c r="BO320" s="2"/>
      <c r="BS320" s="11"/>
      <c r="BT320" s="2"/>
      <c r="BU320" s="3"/>
      <c r="BV320" s="3"/>
      <c r="BW320" s="2"/>
      <c r="BX320" s="2"/>
      <c r="BY320" s="2"/>
      <c r="BZ320" s="2"/>
      <c r="CA320" s="2"/>
      <c r="CB320" s="2"/>
      <c r="CC320" s="2"/>
      <c r="CD320" s="1"/>
      <c r="CE320" s="1"/>
      <c r="CF320" s="1"/>
      <c r="CG320" s="1"/>
      <c r="CH320" s="1"/>
      <c r="CI320" s="2"/>
      <c r="CJ320" s="2"/>
      <c r="CK320" s="2"/>
      <c r="CL320" s="2"/>
      <c r="CM320" s="2"/>
      <c r="CN320" s="2"/>
      <c r="CO320" s="2"/>
      <c r="CP320" s="2"/>
      <c r="CQ320" s="2"/>
      <c r="CR320" s="2"/>
      <c r="CS320" s="2"/>
      <c r="CT320" s="2"/>
      <c r="CU320" s="2"/>
      <c r="CV320" s="2"/>
      <c r="CW320" s="2"/>
      <c r="CX320" s="2"/>
      <c r="CY320" s="2"/>
      <c r="CZ320" s="2"/>
    </row>
    <row r="321" spans="43:104" ht="15" hidden="1" customHeight="1" x14ac:dyDescent="0.2">
      <c r="AQ321" s="12"/>
      <c r="AR321" s="12">
        <v>1875000</v>
      </c>
      <c r="AS321" s="12">
        <v>2560000</v>
      </c>
      <c r="AT321" s="2"/>
      <c r="AU321" s="2"/>
      <c r="AV321" s="2"/>
      <c r="AW321" s="2"/>
      <c r="AX321" s="2"/>
      <c r="AY321" s="2"/>
      <c r="AZ321" s="2"/>
      <c r="BA321" s="2"/>
      <c r="BB321" s="2"/>
      <c r="BC321" s="2"/>
      <c r="BD321" s="2"/>
      <c r="BE321" s="2"/>
      <c r="BK321" s="2"/>
      <c r="BM321" s="2"/>
      <c r="BN321" s="2"/>
      <c r="BO321" s="2"/>
      <c r="BS321" s="11"/>
      <c r="BT321" s="2"/>
      <c r="BU321" s="3"/>
      <c r="BV321" s="3"/>
      <c r="BW321" s="2"/>
      <c r="BX321" s="2"/>
      <c r="BY321" s="2"/>
      <c r="BZ321" s="2"/>
      <c r="CA321" s="2"/>
      <c r="CB321" s="2"/>
      <c r="CC321" s="2"/>
      <c r="CD321" s="1"/>
      <c r="CE321" s="1"/>
      <c r="CF321" s="1"/>
      <c r="CG321" s="1"/>
      <c r="CH321" s="1"/>
      <c r="CI321" s="2"/>
      <c r="CJ321" s="2"/>
      <c r="CK321" s="2"/>
      <c r="CL321" s="2"/>
      <c r="CM321" s="2"/>
      <c r="CN321" s="2"/>
      <c r="CO321" s="2"/>
      <c r="CP321" s="2"/>
      <c r="CQ321" s="2"/>
      <c r="CR321" s="2"/>
      <c r="CS321" s="2"/>
      <c r="CT321" s="2"/>
      <c r="CU321" s="2"/>
      <c r="CV321" s="2"/>
      <c r="CW321" s="2"/>
      <c r="CX321" s="2"/>
      <c r="CY321" s="2"/>
      <c r="CZ321" s="2"/>
    </row>
    <row r="322" spans="43:104" ht="15" hidden="1" customHeight="1" x14ac:dyDescent="0.2">
      <c r="AQ322" s="13"/>
      <c r="AR322" s="12">
        <v>1880000</v>
      </c>
      <c r="AS322" s="12">
        <v>2570000</v>
      </c>
      <c r="AT322" s="2"/>
      <c r="AU322" s="2"/>
      <c r="AV322" s="2"/>
      <c r="AW322" s="2"/>
      <c r="AX322" s="2"/>
      <c r="AY322" s="2"/>
      <c r="AZ322" s="2"/>
      <c r="BA322" s="2"/>
      <c r="BB322" s="2"/>
      <c r="BC322" s="2"/>
      <c r="BD322" s="2"/>
      <c r="BE322" s="2"/>
      <c r="BK322" s="2"/>
      <c r="BM322" s="2"/>
      <c r="BN322" s="2"/>
      <c r="BO322" s="2"/>
      <c r="BS322" s="11"/>
      <c r="BT322" s="2"/>
      <c r="BU322" s="3"/>
      <c r="BV322" s="3"/>
      <c r="BW322" s="2"/>
      <c r="BX322" s="2"/>
      <c r="BY322" s="2"/>
      <c r="BZ322" s="2"/>
      <c r="CA322" s="2"/>
      <c r="CB322" s="2"/>
      <c r="CC322" s="2"/>
      <c r="CD322" s="1"/>
      <c r="CE322" s="1"/>
      <c r="CF322" s="1"/>
      <c r="CG322" s="1"/>
      <c r="CH322" s="1"/>
      <c r="CI322" s="2"/>
      <c r="CJ322" s="2"/>
      <c r="CK322" s="2"/>
      <c r="CL322" s="2"/>
      <c r="CM322" s="2"/>
      <c r="CN322" s="2"/>
      <c r="CO322" s="2"/>
      <c r="CP322" s="2"/>
      <c r="CQ322" s="2"/>
      <c r="CR322" s="2"/>
      <c r="CS322" s="2"/>
      <c r="CT322" s="2"/>
      <c r="CU322" s="2"/>
      <c r="CV322" s="2"/>
      <c r="CW322" s="2"/>
      <c r="CX322" s="2"/>
      <c r="CY322" s="2"/>
      <c r="CZ322" s="2"/>
    </row>
    <row r="323" spans="43:104" ht="15" hidden="1" customHeight="1" x14ac:dyDescent="0.2">
      <c r="AQ323" s="13"/>
      <c r="AR323" s="12">
        <v>1885000</v>
      </c>
      <c r="AS323" s="12">
        <v>2580000</v>
      </c>
      <c r="AT323" s="2"/>
      <c r="AU323" s="2"/>
      <c r="AV323" s="2"/>
      <c r="AW323" s="2"/>
      <c r="AX323" s="2"/>
      <c r="AY323" s="2"/>
      <c r="AZ323" s="2"/>
      <c r="BA323" s="2"/>
      <c r="BB323" s="2"/>
      <c r="BC323" s="2"/>
      <c r="BD323" s="2"/>
      <c r="BE323" s="2"/>
      <c r="BK323" s="2"/>
      <c r="BM323" s="2"/>
      <c r="BN323" s="2"/>
      <c r="BO323" s="2"/>
      <c r="BS323" s="11"/>
      <c r="BT323" s="2"/>
      <c r="BU323" s="3"/>
      <c r="BV323" s="3"/>
      <c r="BW323" s="2"/>
      <c r="BX323" s="2"/>
      <c r="BY323" s="2"/>
      <c r="BZ323" s="2"/>
      <c r="CA323" s="2"/>
      <c r="CB323" s="2"/>
      <c r="CC323" s="2"/>
      <c r="CD323" s="1"/>
      <c r="CE323" s="1"/>
      <c r="CF323" s="1"/>
      <c r="CG323" s="1"/>
      <c r="CH323" s="1"/>
      <c r="CI323" s="2"/>
      <c r="CJ323" s="2"/>
      <c r="CK323" s="2"/>
      <c r="CL323" s="2"/>
      <c r="CM323" s="2"/>
      <c r="CN323" s="2"/>
      <c r="CO323" s="2"/>
      <c r="CP323" s="2"/>
      <c r="CQ323" s="2"/>
      <c r="CR323" s="2"/>
      <c r="CS323" s="2"/>
      <c r="CT323" s="2"/>
      <c r="CU323" s="2"/>
      <c r="CV323" s="2"/>
      <c r="CW323" s="2"/>
      <c r="CX323" s="2"/>
      <c r="CY323" s="2"/>
      <c r="CZ323" s="2"/>
    </row>
    <row r="324" spans="43:104" ht="15" hidden="1" customHeight="1" x14ac:dyDescent="0.2">
      <c r="AQ324" s="85"/>
      <c r="AR324" s="12">
        <v>1890000</v>
      </c>
      <c r="AS324" s="12">
        <v>2590000</v>
      </c>
      <c r="AT324" s="2"/>
      <c r="AU324" s="2"/>
      <c r="AV324" s="2"/>
      <c r="AW324" s="2"/>
      <c r="AX324" s="2"/>
      <c r="AY324" s="2"/>
      <c r="AZ324" s="2"/>
      <c r="BA324" s="2"/>
      <c r="BB324" s="2"/>
      <c r="BC324" s="2"/>
      <c r="BD324" s="2"/>
      <c r="BE324" s="2"/>
      <c r="BK324" s="2"/>
      <c r="BM324" s="2"/>
      <c r="BN324" s="2"/>
      <c r="BO324" s="2"/>
      <c r="BS324" s="11"/>
      <c r="BT324" s="2"/>
      <c r="BU324" s="3"/>
      <c r="BV324" s="3"/>
      <c r="BW324" s="2"/>
      <c r="BX324" s="2"/>
      <c r="BY324" s="2"/>
      <c r="BZ324" s="2"/>
      <c r="CA324" s="2"/>
      <c r="CB324" s="2"/>
      <c r="CC324" s="2"/>
      <c r="CD324" s="1"/>
      <c r="CE324" s="1"/>
      <c r="CF324" s="1"/>
      <c r="CG324" s="1"/>
      <c r="CH324" s="1"/>
      <c r="CI324" s="2"/>
      <c r="CJ324" s="2"/>
      <c r="CK324" s="2"/>
      <c r="CL324" s="2"/>
      <c r="CM324" s="2"/>
      <c r="CN324" s="2"/>
      <c r="CO324" s="2"/>
      <c r="CP324" s="2"/>
      <c r="CQ324" s="2"/>
      <c r="CR324" s="2"/>
      <c r="CS324" s="2"/>
      <c r="CT324" s="2"/>
      <c r="CU324" s="2"/>
      <c r="CV324" s="2"/>
      <c r="CW324" s="2"/>
      <c r="CX324" s="2"/>
      <c r="CY324" s="2"/>
      <c r="CZ324" s="2"/>
    </row>
    <row r="325" spans="43:104" ht="15" hidden="1" customHeight="1" x14ac:dyDescent="0.2">
      <c r="AQ325" s="12"/>
      <c r="AR325" s="12">
        <v>1895000</v>
      </c>
      <c r="AS325" s="12">
        <v>2600000</v>
      </c>
      <c r="AT325" s="2"/>
      <c r="AU325" s="2"/>
      <c r="AV325" s="2"/>
      <c r="AW325" s="2"/>
      <c r="AX325" s="2"/>
      <c r="AY325" s="2"/>
      <c r="AZ325" s="2"/>
      <c r="BA325" s="2"/>
      <c r="BB325" s="2"/>
      <c r="BC325" s="2"/>
      <c r="BD325" s="2"/>
      <c r="BE325" s="2"/>
      <c r="BK325" s="2"/>
      <c r="BM325" s="2"/>
      <c r="BN325" s="2"/>
      <c r="BO325" s="2"/>
      <c r="BS325" s="11"/>
      <c r="BT325" s="2"/>
      <c r="BU325" s="3"/>
      <c r="BV325" s="3"/>
      <c r="BW325" s="2"/>
      <c r="BX325" s="2"/>
      <c r="BY325" s="2"/>
      <c r="BZ325" s="2"/>
      <c r="CA325" s="2"/>
      <c r="CB325" s="2"/>
      <c r="CC325" s="2"/>
      <c r="CD325" s="1"/>
      <c r="CE325" s="1"/>
      <c r="CF325" s="1"/>
      <c r="CG325" s="1"/>
      <c r="CH325" s="1"/>
      <c r="CI325" s="2"/>
      <c r="CJ325" s="2"/>
      <c r="CK325" s="2"/>
      <c r="CL325" s="2"/>
      <c r="CM325" s="2"/>
      <c r="CN325" s="2"/>
      <c r="CO325" s="2"/>
      <c r="CP325" s="2"/>
      <c r="CQ325" s="2"/>
      <c r="CR325" s="2"/>
      <c r="CS325" s="2"/>
      <c r="CT325" s="2"/>
      <c r="CU325" s="2"/>
      <c r="CV325" s="2"/>
      <c r="CW325" s="2"/>
      <c r="CX325" s="2"/>
      <c r="CY325" s="2"/>
      <c r="CZ325" s="2"/>
    </row>
    <row r="326" spans="43:104" ht="15" hidden="1" customHeight="1" x14ac:dyDescent="0.2">
      <c r="AQ326" s="12"/>
      <c r="AR326" s="12">
        <v>1900000</v>
      </c>
      <c r="AS326" s="12">
        <v>2610000</v>
      </c>
      <c r="AT326" s="2"/>
      <c r="AU326" s="2"/>
      <c r="AV326" s="2"/>
      <c r="AW326" s="2"/>
      <c r="AX326" s="2"/>
      <c r="AY326" s="2"/>
      <c r="AZ326" s="2"/>
      <c r="BA326" s="2"/>
      <c r="BB326" s="2"/>
      <c r="BC326" s="2"/>
      <c r="BD326" s="2"/>
      <c r="BE326" s="2"/>
      <c r="BK326" s="2"/>
      <c r="BM326" s="2"/>
      <c r="BN326" s="2"/>
      <c r="BO326" s="2"/>
      <c r="BS326" s="11"/>
      <c r="BT326" s="2"/>
      <c r="BU326" s="3"/>
      <c r="BV326" s="3"/>
      <c r="BW326" s="2"/>
      <c r="BX326" s="2"/>
      <c r="BY326" s="2"/>
      <c r="BZ326" s="2"/>
      <c r="CA326" s="2"/>
      <c r="CB326" s="2"/>
      <c r="CC326" s="2"/>
      <c r="CD326" s="1"/>
      <c r="CE326" s="1"/>
      <c r="CF326" s="1"/>
      <c r="CG326" s="1"/>
      <c r="CH326" s="1"/>
      <c r="CI326" s="2"/>
      <c r="CJ326" s="2"/>
      <c r="CK326" s="2"/>
      <c r="CL326" s="2"/>
      <c r="CM326" s="2"/>
      <c r="CN326" s="2"/>
      <c r="CO326" s="2"/>
      <c r="CP326" s="2"/>
      <c r="CQ326" s="2"/>
      <c r="CR326" s="2"/>
      <c r="CS326" s="2"/>
      <c r="CT326" s="2"/>
      <c r="CU326" s="2"/>
      <c r="CV326" s="2"/>
      <c r="CW326" s="2"/>
      <c r="CX326" s="2"/>
      <c r="CY326" s="2"/>
      <c r="CZ326" s="2"/>
    </row>
    <row r="327" spans="43:104" ht="15" hidden="1" customHeight="1" x14ac:dyDescent="0.2">
      <c r="AQ327" s="13"/>
      <c r="AR327" s="12">
        <v>1905000</v>
      </c>
      <c r="AS327" s="12">
        <v>2620000</v>
      </c>
      <c r="AT327" s="2"/>
      <c r="AU327" s="2"/>
      <c r="AV327" s="2"/>
      <c r="AW327" s="2"/>
      <c r="AX327" s="2"/>
      <c r="AY327" s="2"/>
      <c r="AZ327" s="2"/>
      <c r="BA327" s="2"/>
      <c r="BB327" s="2"/>
      <c r="BC327" s="2"/>
      <c r="BD327" s="2"/>
      <c r="BE327" s="2"/>
      <c r="BK327" s="2"/>
      <c r="BM327" s="2"/>
      <c r="BN327" s="2"/>
      <c r="BO327" s="2"/>
      <c r="BS327" s="11"/>
      <c r="BT327" s="2"/>
      <c r="BU327" s="3"/>
      <c r="BV327" s="3"/>
      <c r="BW327" s="2"/>
      <c r="BX327" s="2"/>
      <c r="BY327" s="2"/>
      <c r="BZ327" s="2"/>
      <c r="CA327" s="2"/>
      <c r="CB327" s="2"/>
      <c r="CC327" s="2"/>
      <c r="CD327" s="1"/>
      <c r="CE327" s="1"/>
      <c r="CF327" s="1"/>
      <c r="CG327" s="1"/>
      <c r="CH327" s="1"/>
      <c r="CI327" s="2"/>
      <c r="CJ327" s="2"/>
      <c r="CK327" s="2"/>
      <c r="CL327" s="2"/>
      <c r="CM327" s="2"/>
      <c r="CN327" s="2"/>
      <c r="CO327" s="2"/>
      <c r="CP327" s="2"/>
      <c r="CQ327" s="2"/>
      <c r="CR327" s="2"/>
      <c r="CS327" s="2"/>
      <c r="CT327" s="2"/>
      <c r="CU327" s="2"/>
      <c r="CV327" s="2"/>
      <c r="CW327" s="2"/>
      <c r="CX327" s="2"/>
      <c r="CY327" s="2"/>
      <c r="CZ327" s="2"/>
    </row>
    <row r="328" spans="43:104" ht="15" hidden="1" customHeight="1" x14ac:dyDescent="0.2">
      <c r="AQ328" s="13"/>
      <c r="AR328" s="12">
        <v>1910000</v>
      </c>
      <c r="AS328" s="12">
        <v>2630000</v>
      </c>
      <c r="AT328" s="2"/>
      <c r="AU328" s="2"/>
      <c r="AV328" s="2"/>
      <c r="AW328" s="2"/>
      <c r="AX328" s="2"/>
      <c r="AY328" s="2"/>
      <c r="AZ328" s="2"/>
      <c r="BA328" s="2"/>
      <c r="BB328" s="2"/>
      <c r="BC328" s="2"/>
      <c r="BD328" s="2"/>
      <c r="BE328" s="2"/>
      <c r="BK328" s="2"/>
      <c r="BM328" s="2"/>
      <c r="BN328" s="2"/>
      <c r="BO328" s="2"/>
      <c r="BS328" s="11"/>
      <c r="BT328" s="2"/>
      <c r="BU328" s="3"/>
      <c r="BV328" s="3"/>
      <c r="BW328" s="2"/>
      <c r="BX328" s="2"/>
      <c r="BY328" s="2"/>
      <c r="BZ328" s="2"/>
      <c r="CA328" s="2"/>
      <c r="CB328" s="2"/>
      <c r="CC328" s="2"/>
      <c r="CD328" s="1"/>
      <c r="CE328" s="1"/>
      <c r="CF328" s="1"/>
      <c r="CG328" s="1"/>
      <c r="CH328" s="1"/>
      <c r="CI328" s="2"/>
      <c r="CJ328" s="2"/>
      <c r="CK328" s="2"/>
      <c r="CL328" s="2"/>
      <c r="CM328" s="2"/>
      <c r="CN328" s="2"/>
      <c r="CO328" s="2"/>
      <c r="CP328" s="2"/>
      <c r="CQ328" s="2"/>
      <c r="CR328" s="2"/>
      <c r="CS328" s="2"/>
      <c r="CT328" s="2"/>
      <c r="CU328" s="2"/>
      <c r="CV328" s="2"/>
      <c r="CW328" s="2"/>
      <c r="CX328" s="2"/>
      <c r="CY328" s="2"/>
      <c r="CZ328" s="2"/>
    </row>
    <row r="329" spans="43:104" ht="15" hidden="1" customHeight="1" x14ac:dyDescent="0.2">
      <c r="AQ329" s="85"/>
      <c r="AR329" s="12">
        <v>1915000</v>
      </c>
      <c r="AS329" s="12">
        <v>2640000</v>
      </c>
      <c r="AT329" s="2"/>
      <c r="AU329" s="2"/>
      <c r="AV329" s="2"/>
      <c r="AW329" s="2"/>
      <c r="AX329" s="2"/>
      <c r="AY329" s="2"/>
      <c r="AZ329" s="2"/>
      <c r="BA329" s="2"/>
      <c r="BB329" s="2"/>
      <c r="BC329" s="2"/>
      <c r="BD329" s="2"/>
      <c r="BE329" s="2"/>
      <c r="BK329" s="2"/>
      <c r="BM329" s="2"/>
      <c r="BN329" s="2"/>
      <c r="BO329" s="2"/>
      <c r="BS329" s="11"/>
      <c r="BT329" s="2"/>
      <c r="BU329" s="3"/>
      <c r="BV329" s="3"/>
      <c r="BW329" s="2"/>
      <c r="BX329" s="2"/>
      <c r="BY329" s="2"/>
      <c r="BZ329" s="2"/>
      <c r="CA329" s="2"/>
      <c r="CB329" s="2"/>
      <c r="CC329" s="2"/>
      <c r="CD329" s="1"/>
      <c r="CE329" s="1"/>
      <c r="CF329" s="1"/>
      <c r="CG329" s="1"/>
      <c r="CH329" s="1"/>
      <c r="CI329" s="2"/>
      <c r="CJ329" s="2"/>
      <c r="CK329" s="2"/>
      <c r="CL329" s="2"/>
      <c r="CM329" s="2"/>
      <c r="CN329" s="2"/>
      <c r="CO329" s="2"/>
      <c r="CP329" s="2"/>
      <c r="CQ329" s="2"/>
      <c r="CR329" s="2"/>
      <c r="CS329" s="2"/>
      <c r="CT329" s="2"/>
      <c r="CU329" s="2"/>
      <c r="CV329" s="2"/>
      <c r="CW329" s="2"/>
      <c r="CX329" s="2"/>
      <c r="CY329" s="2"/>
      <c r="CZ329" s="2"/>
    </row>
    <row r="330" spans="43:104" ht="15" hidden="1" customHeight="1" x14ac:dyDescent="0.2">
      <c r="AQ330" s="12"/>
      <c r="AR330" s="12">
        <v>1920000</v>
      </c>
      <c r="AS330" s="12">
        <v>2650000</v>
      </c>
      <c r="AT330" s="2"/>
      <c r="AU330" s="2"/>
      <c r="AV330" s="2"/>
      <c r="AW330" s="2"/>
      <c r="AX330" s="2"/>
      <c r="AY330" s="2"/>
      <c r="AZ330" s="2"/>
      <c r="BA330" s="2"/>
      <c r="BB330" s="2"/>
      <c r="BC330" s="2"/>
      <c r="BD330" s="2"/>
      <c r="BE330" s="2"/>
      <c r="BK330" s="2"/>
      <c r="BM330" s="2"/>
      <c r="BN330" s="2"/>
      <c r="BO330" s="2"/>
      <c r="BS330" s="11"/>
      <c r="BT330" s="2"/>
      <c r="BU330" s="3"/>
      <c r="BV330" s="3"/>
      <c r="BW330" s="2"/>
      <c r="BX330" s="2"/>
      <c r="BY330" s="2"/>
      <c r="BZ330" s="46"/>
      <c r="CA330" s="1"/>
      <c r="CB330" s="1"/>
      <c r="CC330" s="1"/>
      <c r="CD330" s="1"/>
      <c r="CE330" s="1"/>
      <c r="CF330" s="1"/>
      <c r="CG330" s="1"/>
      <c r="CH330" s="1"/>
      <c r="CI330" s="2"/>
      <c r="CJ330" s="2"/>
      <c r="CK330" s="2"/>
      <c r="CL330" s="2"/>
      <c r="CM330" s="2"/>
      <c r="CN330" s="2"/>
      <c r="CO330" s="2"/>
      <c r="CP330" s="2"/>
      <c r="CQ330" s="2"/>
      <c r="CR330" s="2"/>
      <c r="CS330" s="2"/>
      <c r="CT330" s="2"/>
      <c r="CU330" s="2"/>
      <c r="CV330" s="2"/>
      <c r="CW330" s="2"/>
      <c r="CX330" s="2"/>
      <c r="CY330" s="2"/>
      <c r="CZ330" s="2"/>
    </row>
    <row r="331" spans="43:104" ht="15" hidden="1" customHeight="1" x14ac:dyDescent="0.2">
      <c r="AQ331" s="12"/>
      <c r="AR331" s="12">
        <v>1925000</v>
      </c>
      <c r="AS331" s="12">
        <v>2660000</v>
      </c>
      <c r="AT331" s="2"/>
      <c r="AU331" s="2"/>
      <c r="AV331" s="2"/>
      <c r="AW331" s="2"/>
      <c r="AX331" s="2"/>
      <c r="AY331" s="2"/>
      <c r="AZ331" s="2"/>
      <c r="BA331" s="2"/>
      <c r="BB331" s="2"/>
      <c r="BC331" s="2"/>
      <c r="BD331" s="2"/>
      <c r="BE331" s="2"/>
      <c r="BK331" s="2"/>
      <c r="BM331" s="2"/>
      <c r="BN331" s="2"/>
      <c r="BO331" s="2"/>
      <c r="BS331" s="11"/>
      <c r="BT331" s="2"/>
      <c r="BU331" s="3"/>
      <c r="BV331" s="3"/>
      <c r="BW331" s="2"/>
      <c r="BX331" s="2"/>
      <c r="BY331" s="2"/>
      <c r="BZ331" s="2"/>
      <c r="CA331" s="2"/>
      <c r="CB331" s="2"/>
      <c r="CC331" s="2"/>
      <c r="CD331" s="1"/>
      <c r="CE331" s="1"/>
      <c r="CF331" s="1"/>
      <c r="CG331" s="1"/>
      <c r="CH331" s="1"/>
      <c r="CI331" s="2"/>
      <c r="CJ331" s="2"/>
      <c r="CK331" s="2"/>
      <c r="CL331" s="2"/>
      <c r="CM331" s="2"/>
      <c r="CN331" s="2"/>
      <c r="CO331" s="2"/>
      <c r="CP331" s="2"/>
      <c r="CQ331" s="2"/>
      <c r="CR331" s="2"/>
      <c r="CS331" s="2"/>
      <c r="CT331" s="2"/>
      <c r="CU331" s="2"/>
      <c r="CV331" s="2"/>
      <c r="CW331" s="2"/>
      <c r="CX331" s="2"/>
      <c r="CY331" s="2"/>
      <c r="CZ331" s="2"/>
    </row>
    <row r="332" spans="43:104" ht="15" hidden="1" customHeight="1" x14ac:dyDescent="0.2">
      <c r="AQ332" s="13"/>
      <c r="AR332" s="12">
        <v>1930000</v>
      </c>
      <c r="AS332" s="12">
        <v>2670000</v>
      </c>
      <c r="AT332" s="2"/>
      <c r="AU332" s="2"/>
      <c r="AV332" s="2"/>
      <c r="AW332" s="2"/>
      <c r="AX332" s="2"/>
      <c r="AY332" s="2"/>
      <c r="AZ332" s="2"/>
      <c r="BA332" s="2"/>
      <c r="BB332" s="2"/>
      <c r="BC332" s="2"/>
      <c r="BD332" s="2"/>
      <c r="BE332" s="2"/>
      <c r="BK332" s="2"/>
      <c r="BM332" s="2"/>
      <c r="BN332" s="2"/>
      <c r="BO332" s="2"/>
      <c r="BS332" s="11"/>
      <c r="BT332" s="2"/>
      <c r="BU332" s="3"/>
      <c r="BV332" s="3"/>
      <c r="BW332" s="2"/>
      <c r="BX332" s="2"/>
      <c r="BY332" s="2"/>
      <c r="BZ332" s="2"/>
      <c r="CA332" s="2"/>
      <c r="CB332" s="2"/>
      <c r="CC332" s="2"/>
      <c r="CD332" s="1"/>
      <c r="CE332" s="1"/>
      <c r="CF332" s="1"/>
      <c r="CG332" s="1"/>
      <c r="CH332" s="1"/>
      <c r="CI332" s="2"/>
      <c r="CJ332" s="2"/>
      <c r="CK332" s="2"/>
      <c r="CL332" s="2"/>
      <c r="CM332" s="2"/>
      <c r="CN332" s="2"/>
      <c r="CO332" s="2"/>
      <c r="CP332" s="2"/>
      <c r="CQ332" s="2"/>
      <c r="CR332" s="2"/>
      <c r="CS332" s="2"/>
      <c r="CT332" s="2"/>
      <c r="CU332" s="2"/>
      <c r="CV332" s="2"/>
      <c r="CW332" s="2"/>
      <c r="CX332" s="2"/>
      <c r="CY332" s="2"/>
      <c r="CZ332" s="2"/>
    </row>
    <row r="333" spans="43:104" ht="15" hidden="1" customHeight="1" x14ac:dyDescent="0.2">
      <c r="AQ333" s="13"/>
      <c r="AR333" s="12">
        <v>1935000</v>
      </c>
      <c r="AS333" s="12">
        <v>2680000</v>
      </c>
      <c r="AT333" s="2"/>
      <c r="AU333" s="2"/>
      <c r="AV333" s="2"/>
      <c r="AW333" s="2"/>
      <c r="AX333" s="2"/>
      <c r="AY333" s="2"/>
      <c r="AZ333" s="2"/>
      <c r="BA333" s="2"/>
      <c r="BB333" s="2"/>
      <c r="BC333" s="2"/>
      <c r="BD333" s="2"/>
      <c r="BE333" s="2"/>
      <c r="BK333" s="2"/>
      <c r="BM333" s="2"/>
      <c r="BN333" s="2"/>
      <c r="BO333" s="2"/>
      <c r="BS333" s="11"/>
      <c r="BT333" s="2"/>
      <c r="BU333" s="3"/>
      <c r="BV333" s="3"/>
      <c r="BW333" s="2"/>
      <c r="BX333" s="2"/>
      <c r="BY333" s="2"/>
      <c r="BZ333" s="2"/>
      <c r="CA333" s="2"/>
      <c r="CB333" s="2"/>
      <c r="CC333" s="2"/>
      <c r="CD333" s="1"/>
      <c r="CE333" s="1"/>
      <c r="CF333" s="1"/>
      <c r="CG333" s="1"/>
      <c r="CH333" s="1"/>
      <c r="CI333" s="2"/>
      <c r="CJ333" s="2"/>
      <c r="CK333" s="2"/>
      <c r="CL333" s="2"/>
      <c r="CM333" s="2"/>
      <c r="CN333" s="2"/>
      <c r="CO333" s="2"/>
      <c r="CP333" s="2"/>
      <c r="CQ333" s="2"/>
      <c r="CR333" s="2"/>
      <c r="CS333" s="2"/>
      <c r="CT333" s="2"/>
      <c r="CU333" s="2"/>
      <c r="CV333" s="2"/>
      <c r="CW333" s="2"/>
      <c r="CX333" s="2"/>
      <c r="CY333" s="2"/>
      <c r="CZ333" s="2"/>
    </row>
    <row r="334" spans="43:104" ht="15" hidden="1" customHeight="1" x14ac:dyDescent="0.2">
      <c r="AQ334" s="85"/>
      <c r="AR334" s="12">
        <v>1940000</v>
      </c>
      <c r="AS334" s="12">
        <v>2690000</v>
      </c>
      <c r="AT334" s="2"/>
      <c r="AU334" s="2"/>
      <c r="AV334" s="2"/>
      <c r="AW334" s="2"/>
      <c r="AX334" s="2"/>
      <c r="AY334" s="2"/>
      <c r="AZ334" s="2"/>
      <c r="BA334" s="2"/>
      <c r="BB334" s="2"/>
      <c r="BC334" s="2"/>
      <c r="BD334" s="2"/>
      <c r="BE334" s="2"/>
      <c r="BK334" s="2"/>
      <c r="BM334" s="2"/>
      <c r="BN334" s="2"/>
      <c r="BO334" s="2"/>
      <c r="BS334" s="11"/>
      <c r="BT334" s="2"/>
      <c r="BU334" s="3"/>
      <c r="BV334" s="3"/>
      <c r="BW334" s="2"/>
      <c r="BX334" s="2"/>
      <c r="BY334" s="2"/>
      <c r="BZ334" s="2"/>
      <c r="CA334" s="2"/>
      <c r="CB334" s="2"/>
      <c r="CC334" s="2"/>
      <c r="CD334" s="1"/>
      <c r="CE334" s="1"/>
      <c r="CF334" s="1"/>
      <c r="CG334" s="1"/>
      <c r="CH334" s="1"/>
      <c r="CI334" s="2"/>
      <c r="CJ334" s="2"/>
      <c r="CK334" s="2"/>
      <c r="CL334" s="2"/>
      <c r="CM334" s="2"/>
      <c r="CN334" s="2"/>
      <c r="CO334" s="2"/>
      <c r="CP334" s="2"/>
      <c r="CQ334" s="2"/>
      <c r="CR334" s="2"/>
      <c r="CS334" s="2"/>
      <c r="CT334" s="2"/>
      <c r="CU334" s="2"/>
      <c r="CV334" s="2"/>
      <c r="CW334" s="2"/>
      <c r="CX334" s="2"/>
      <c r="CY334" s="2"/>
      <c r="CZ334" s="2"/>
    </row>
    <row r="335" spans="43:104" ht="15" hidden="1" customHeight="1" x14ac:dyDescent="0.2">
      <c r="AQ335" s="12"/>
      <c r="AR335" s="12">
        <v>1945000</v>
      </c>
      <c r="AS335" s="12">
        <v>2700000</v>
      </c>
      <c r="AT335" s="2"/>
      <c r="AU335" s="2"/>
      <c r="AV335" s="2"/>
      <c r="AW335" s="2"/>
      <c r="AX335" s="2"/>
      <c r="AY335" s="2"/>
      <c r="AZ335" s="2"/>
      <c r="BA335" s="2"/>
      <c r="BB335" s="2"/>
      <c r="BC335" s="2"/>
      <c r="BD335" s="2"/>
      <c r="BE335" s="2"/>
      <c r="BK335" s="2"/>
      <c r="BM335" s="2"/>
      <c r="BN335" s="2"/>
      <c r="BO335" s="2"/>
      <c r="BS335" s="11"/>
      <c r="BT335" s="2"/>
      <c r="BU335" s="3"/>
      <c r="BV335" s="3"/>
      <c r="BW335" s="2"/>
      <c r="BX335" s="2"/>
      <c r="BY335" s="2"/>
      <c r="BZ335" s="2"/>
      <c r="CA335" s="2"/>
      <c r="CB335" s="2"/>
      <c r="CC335" s="2"/>
      <c r="CD335" s="1"/>
      <c r="CE335" s="1"/>
      <c r="CF335" s="1"/>
      <c r="CG335" s="1"/>
      <c r="CH335" s="1"/>
      <c r="CI335" s="2"/>
      <c r="CJ335" s="2"/>
      <c r="CK335" s="2"/>
      <c r="CL335" s="2"/>
      <c r="CM335" s="2"/>
      <c r="CN335" s="2"/>
      <c r="CO335" s="2"/>
      <c r="CP335" s="2"/>
      <c r="CQ335" s="2"/>
      <c r="CR335" s="2"/>
      <c r="CS335" s="2"/>
      <c r="CT335" s="2"/>
      <c r="CU335" s="2"/>
      <c r="CV335" s="2"/>
      <c r="CW335" s="2"/>
      <c r="CX335" s="2"/>
      <c r="CY335" s="2"/>
      <c r="CZ335" s="2"/>
    </row>
    <row r="336" spans="43:104" ht="15" hidden="1" customHeight="1" x14ac:dyDescent="0.2">
      <c r="AQ336" s="12"/>
      <c r="AR336" s="12">
        <v>1950000</v>
      </c>
      <c r="AS336" s="12">
        <v>2710000</v>
      </c>
      <c r="AT336" s="2"/>
      <c r="AU336" s="2"/>
      <c r="AV336" s="2"/>
      <c r="AW336" s="2"/>
      <c r="AX336" s="2"/>
      <c r="AY336" s="2"/>
      <c r="AZ336" s="2"/>
      <c r="BA336" s="2"/>
      <c r="BB336" s="2"/>
      <c r="BC336" s="2"/>
      <c r="BD336" s="2"/>
      <c r="BE336" s="2"/>
      <c r="BK336" s="2"/>
      <c r="BM336" s="2"/>
      <c r="BN336" s="2"/>
      <c r="BO336" s="2"/>
      <c r="BS336" s="11"/>
      <c r="BT336" s="2"/>
      <c r="BU336" s="3"/>
      <c r="BV336" s="3"/>
      <c r="BW336" s="2"/>
      <c r="BX336" s="2"/>
      <c r="BY336" s="2"/>
      <c r="BZ336" s="2"/>
      <c r="CA336" s="2"/>
      <c r="CB336" s="2"/>
      <c r="CC336" s="2"/>
      <c r="CD336" s="1"/>
      <c r="CE336" s="1"/>
      <c r="CF336" s="1"/>
      <c r="CG336" s="1"/>
      <c r="CH336" s="1"/>
      <c r="CI336" s="2"/>
      <c r="CJ336" s="2"/>
      <c r="CK336" s="2"/>
      <c r="CL336" s="2"/>
      <c r="CM336" s="2"/>
      <c r="CN336" s="2"/>
      <c r="CO336" s="2"/>
      <c r="CP336" s="2"/>
      <c r="CQ336" s="2"/>
      <c r="CR336" s="2"/>
      <c r="CS336" s="2"/>
      <c r="CT336" s="2"/>
      <c r="CU336" s="2"/>
      <c r="CV336" s="2"/>
      <c r="CW336" s="2"/>
      <c r="CX336" s="2"/>
      <c r="CY336" s="2"/>
      <c r="CZ336" s="2"/>
    </row>
    <row r="337" spans="43:104" ht="15" hidden="1" customHeight="1" x14ac:dyDescent="0.2">
      <c r="AQ337" s="13"/>
      <c r="AR337" s="12">
        <v>1955000</v>
      </c>
      <c r="AS337" s="12">
        <v>2720000</v>
      </c>
      <c r="AT337" s="2"/>
      <c r="AU337" s="2"/>
      <c r="AV337" s="2"/>
      <c r="AW337" s="2"/>
      <c r="AX337" s="2"/>
      <c r="AY337" s="2"/>
      <c r="AZ337" s="2"/>
      <c r="BA337" s="2"/>
      <c r="BB337" s="2"/>
      <c r="BC337" s="2"/>
      <c r="BD337" s="2"/>
      <c r="BE337" s="2"/>
      <c r="BK337" s="2"/>
      <c r="BM337" s="2"/>
      <c r="BN337" s="2"/>
      <c r="BO337" s="2"/>
      <c r="BS337" s="11"/>
      <c r="BT337" s="2"/>
      <c r="BU337" s="3"/>
      <c r="BV337" s="3"/>
      <c r="BW337" s="2"/>
      <c r="BX337" s="2"/>
      <c r="BY337" s="2"/>
      <c r="BZ337" s="2"/>
      <c r="CA337" s="2"/>
      <c r="CB337" s="2"/>
      <c r="CC337" s="2"/>
      <c r="CD337" s="1"/>
      <c r="CE337" s="1"/>
      <c r="CF337" s="1"/>
      <c r="CG337" s="1"/>
      <c r="CH337" s="1"/>
      <c r="CI337" s="2"/>
      <c r="CJ337" s="2"/>
      <c r="CK337" s="2"/>
      <c r="CL337" s="2"/>
      <c r="CM337" s="2"/>
      <c r="CN337" s="2"/>
      <c r="CO337" s="2"/>
      <c r="CP337" s="2"/>
      <c r="CQ337" s="2"/>
      <c r="CR337" s="2"/>
      <c r="CS337" s="2"/>
      <c r="CT337" s="2"/>
      <c r="CU337" s="2"/>
      <c r="CV337" s="2"/>
      <c r="CW337" s="2"/>
      <c r="CX337" s="2"/>
      <c r="CY337" s="2"/>
      <c r="CZ337" s="2"/>
    </row>
    <row r="338" spans="43:104" ht="15" hidden="1" customHeight="1" x14ac:dyDescent="0.2">
      <c r="AQ338" s="13"/>
      <c r="AR338" s="12">
        <v>1960000</v>
      </c>
      <c r="AS338" s="12">
        <v>2730000</v>
      </c>
      <c r="AT338" s="2"/>
      <c r="AU338" s="2"/>
      <c r="AV338" s="2"/>
      <c r="AW338" s="2"/>
      <c r="AX338" s="2"/>
      <c r="AY338" s="2"/>
      <c r="AZ338" s="2"/>
      <c r="BA338" s="2"/>
      <c r="BB338" s="2"/>
      <c r="BC338" s="2"/>
      <c r="BD338" s="2"/>
      <c r="BE338" s="2"/>
      <c r="BK338" s="2"/>
      <c r="BM338" s="2"/>
      <c r="BN338" s="2"/>
      <c r="BO338" s="2"/>
      <c r="BS338" s="11"/>
      <c r="BT338" s="2"/>
      <c r="BU338" s="3"/>
      <c r="BV338" s="3"/>
      <c r="BW338" s="2"/>
      <c r="BX338" s="2"/>
      <c r="BY338" s="2"/>
      <c r="BZ338" s="2"/>
      <c r="CA338" s="2"/>
      <c r="CB338" s="2"/>
      <c r="CC338" s="2"/>
      <c r="CD338" s="1"/>
      <c r="CE338" s="1"/>
      <c r="CF338" s="1"/>
      <c r="CG338" s="1"/>
      <c r="CH338" s="1"/>
      <c r="CI338" s="2"/>
      <c r="CJ338" s="2"/>
      <c r="CK338" s="2"/>
      <c r="CL338" s="2"/>
      <c r="CM338" s="2"/>
      <c r="CN338" s="2"/>
      <c r="CO338" s="2"/>
      <c r="CP338" s="2"/>
      <c r="CQ338" s="2"/>
      <c r="CR338" s="2"/>
      <c r="CS338" s="2"/>
      <c r="CT338" s="2"/>
      <c r="CU338" s="2"/>
      <c r="CV338" s="2"/>
      <c r="CW338" s="2"/>
      <c r="CX338" s="2"/>
      <c r="CY338" s="2"/>
      <c r="CZ338" s="2"/>
    </row>
    <row r="339" spans="43:104" ht="15" hidden="1" customHeight="1" x14ac:dyDescent="0.2">
      <c r="AQ339" s="85"/>
      <c r="AR339" s="12">
        <v>1965000</v>
      </c>
      <c r="AS339" s="12">
        <v>2740000</v>
      </c>
      <c r="AT339" s="2"/>
      <c r="AU339" s="2"/>
      <c r="AV339" s="2"/>
      <c r="AW339" s="2"/>
      <c r="AX339" s="2"/>
      <c r="AY339" s="2"/>
      <c r="AZ339" s="2"/>
      <c r="BA339" s="2"/>
      <c r="BB339" s="2"/>
      <c r="BC339" s="2"/>
      <c r="BD339" s="2"/>
      <c r="BE339" s="2"/>
      <c r="BK339" s="2"/>
      <c r="BM339" s="2"/>
      <c r="BN339" s="2"/>
      <c r="BO339" s="2"/>
      <c r="BS339" s="11"/>
      <c r="BT339" s="2"/>
      <c r="BU339" s="3"/>
      <c r="BV339" s="3"/>
      <c r="BW339" s="2"/>
      <c r="BX339" s="2"/>
      <c r="BY339" s="2"/>
      <c r="BZ339" s="2"/>
      <c r="CA339" s="2"/>
      <c r="CB339" s="2"/>
      <c r="CC339" s="2"/>
      <c r="CD339" s="1"/>
      <c r="CE339" s="1"/>
      <c r="CF339" s="1"/>
      <c r="CG339" s="1"/>
      <c r="CH339" s="1"/>
      <c r="CI339" s="2"/>
      <c r="CJ339" s="2"/>
      <c r="CK339" s="2"/>
      <c r="CL339" s="2"/>
      <c r="CM339" s="2"/>
      <c r="CN339" s="2"/>
      <c r="CO339" s="2"/>
      <c r="CP339" s="2"/>
      <c r="CQ339" s="2"/>
      <c r="CR339" s="2"/>
      <c r="CS339" s="2"/>
      <c r="CT339" s="2"/>
      <c r="CU339" s="2"/>
      <c r="CV339" s="2"/>
      <c r="CW339" s="2"/>
      <c r="CX339" s="2"/>
      <c r="CY339" s="2"/>
      <c r="CZ339" s="2"/>
    </row>
    <row r="340" spans="43:104" ht="15" hidden="1" customHeight="1" x14ac:dyDescent="0.2">
      <c r="AQ340" s="12"/>
      <c r="AR340" s="12">
        <v>1970000</v>
      </c>
      <c r="AS340" s="12">
        <v>2750000</v>
      </c>
      <c r="AT340" s="2"/>
      <c r="AU340" s="2"/>
      <c r="AV340" s="2"/>
      <c r="AW340" s="2"/>
      <c r="AX340" s="2"/>
      <c r="AY340" s="2"/>
      <c r="AZ340" s="2"/>
      <c r="BA340" s="2"/>
      <c r="BB340" s="2"/>
      <c r="BC340" s="2"/>
      <c r="BD340" s="2"/>
      <c r="BE340" s="2"/>
      <c r="BK340" s="2"/>
      <c r="BM340" s="2"/>
      <c r="BN340" s="2"/>
      <c r="BO340" s="2"/>
      <c r="BS340" s="11"/>
      <c r="BT340" s="2"/>
      <c r="BU340" s="3"/>
      <c r="BV340" s="3"/>
      <c r="BW340" s="2"/>
      <c r="BX340" s="2"/>
      <c r="BY340" s="2"/>
      <c r="BZ340" s="2"/>
      <c r="CA340" s="2"/>
      <c r="CB340" s="2"/>
      <c r="CC340" s="2"/>
      <c r="CD340" s="1"/>
      <c r="CE340" s="1"/>
      <c r="CF340" s="1"/>
      <c r="CG340" s="1"/>
      <c r="CH340" s="1"/>
      <c r="CI340" s="2"/>
      <c r="CJ340" s="2"/>
      <c r="CK340" s="2"/>
      <c r="CL340" s="2"/>
      <c r="CM340" s="2"/>
      <c r="CN340" s="2"/>
      <c r="CO340" s="2"/>
      <c r="CP340" s="2"/>
      <c r="CQ340" s="2"/>
      <c r="CR340" s="2"/>
      <c r="CS340" s="2"/>
      <c r="CT340" s="2"/>
      <c r="CU340" s="2"/>
      <c r="CV340" s="2"/>
      <c r="CW340" s="2"/>
      <c r="CX340" s="2"/>
      <c r="CY340" s="2"/>
      <c r="CZ340" s="2"/>
    </row>
    <row r="341" spans="43:104" ht="15" hidden="1" customHeight="1" x14ac:dyDescent="0.2">
      <c r="AQ341" s="12"/>
      <c r="AR341" s="12">
        <v>1975000</v>
      </c>
      <c r="AS341" s="12">
        <v>2760000</v>
      </c>
      <c r="AT341" s="2"/>
      <c r="AU341" s="2"/>
      <c r="AV341" s="2"/>
      <c r="AW341" s="2"/>
      <c r="AX341" s="2"/>
      <c r="AY341" s="2"/>
      <c r="AZ341" s="2"/>
      <c r="BA341" s="2"/>
      <c r="BB341" s="2"/>
      <c r="BC341" s="2"/>
      <c r="BD341" s="2"/>
      <c r="BE341" s="2"/>
      <c r="BK341" s="2"/>
      <c r="BM341" s="2"/>
      <c r="BN341" s="2"/>
      <c r="BO341" s="2"/>
      <c r="BS341" s="11"/>
      <c r="BT341" s="2"/>
      <c r="BU341" s="3"/>
      <c r="BV341" s="3"/>
      <c r="BW341" s="2"/>
      <c r="BX341" s="2"/>
      <c r="BY341" s="2"/>
      <c r="BZ341" s="2"/>
      <c r="CA341" s="2"/>
      <c r="CB341" s="2"/>
      <c r="CC341" s="2"/>
      <c r="CD341" s="1"/>
      <c r="CE341" s="1"/>
      <c r="CF341" s="1"/>
      <c r="CG341" s="1"/>
      <c r="CH341" s="1"/>
      <c r="CI341" s="2"/>
      <c r="CJ341" s="2"/>
      <c r="CK341" s="2"/>
      <c r="CL341" s="2"/>
      <c r="CM341" s="2"/>
      <c r="CN341" s="2"/>
      <c r="CO341" s="2"/>
      <c r="CP341" s="2"/>
      <c r="CQ341" s="2"/>
      <c r="CR341" s="2"/>
      <c r="CS341" s="2"/>
      <c r="CT341" s="2"/>
      <c r="CU341" s="2"/>
      <c r="CV341" s="2"/>
      <c r="CW341" s="2"/>
      <c r="CX341" s="2"/>
      <c r="CY341" s="2"/>
      <c r="CZ341" s="2"/>
    </row>
    <row r="342" spans="43:104" ht="15" hidden="1" customHeight="1" x14ac:dyDescent="0.2">
      <c r="AQ342" s="13"/>
      <c r="AR342" s="12">
        <v>1980000</v>
      </c>
      <c r="AS342" s="12">
        <v>2770000</v>
      </c>
      <c r="AT342" s="2"/>
      <c r="AU342" s="2"/>
      <c r="AV342" s="2"/>
      <c r="AW342" s="2"/>
      <c r="AX342" s="2"/>
      <c r="AY342" s="2"/>
      <c r="AZ342" s="2"/>
      <c r="BA342" s="2"/>
      <c r="BB342" s="2"/>
      <c r="BC342" s="2"/>
      <c r="BD342" s="2"/>
      <c r="BE342" s="2"/>
      <c r="BK342" s="2"/>
      <c r="BM342" s="2"/>
      <c r="BN342" s="2"/>
      <c r="BO342" s="2"/>
      <c r="BS342" s="11"/>
      <c r="BT342" s="2"/>
      <c r="BU342" s="3"/>
      <c r="BV342" s="3"/>
      <c r="BW342" s="2"/>
      <c r="BX342" s="2"/>
      <c r="BY342" s="2"/>
      <c r="BZ342" s="2"/>
      <c r="CA342" s="2"/>
      <c r="CB342" s="2"/>
      <c r="CC342" s="2"/>
      <c r="CD342" s="1"/>
      <c r="CE342" s="1"/>
      <c r="CF342" s="1"/>
      <c r="CG342" s="1"/>
      <c r="CH342" s="1"/>
      <c r="CI342" s="2"/>
      <c r="CJ342" s="2"/>
      <c r="CK342" s="2"/>
      <c r="CL342" s="2"/>
      <c r="CM342" s="2"/>
      <c r="CN342" s="2"/>
      <c r="CO342" s="2"/>
      <c r="CP342" s="2"/>
      <c r="CQ342" s="2"/>
      <c r="CR342" s="2"/>
      <c r="CS342" s="2"/>
      <c r="CT342" s="2"/>
      <c r="CU342" s="2"/>
      <c r="CV342" s="2"/>
      <c r="CW342" s="2"/>
      <c r="CX342" s="2"/>
      <c r="CY342" s="2"/>
      <c r="CZ342" s="2"/>
    </row>
    <row r="343" spans="43:104" ht="15" hidden="1" customHeight="1" x14ac:dyDescent="0.2">
      <c r="AQ343" s="13"/>
      <c r="AR343" s="12">
        <v>1985000</v>
      </c>
      <c r="AS343" s="12">
        <v>2780000</v>
      </c>
      <c r="AT343" s="2"/>
      <c r="AU343" s="2"/>
      <c r="AV343" s="2"/>
      <c r="AW343" s="2"/>
      <c r="AX343" s="2"/>
      <c r="AY343" s="2"/>
      <c r="AZ343" s="2"/>
      <c r="BA343" s="2"/>
      <c r="BB343" s="2"/>
      <c r="BC343" s="2"/>
      <c r="BD343" s="2"/>
      <c r="BE343" s="2"/>
      <c r="BK343" s="2"/>
      <c r="BM343" s="2"/>
      <c r="BN343" s="2"/>
      <c r="BO343" s="2"/>
      <c r="BS343" s="11"/>
      <c r="BT343" s="2"/>
      <c r="BU343" s="3"/>
      <c r="BV343" s="3"/>
      <c r="BW343" s="2"/>
      <c r="BX343" s="2"/>
      <c r="BY343" s="2"/>
      <c r="BZ343" s="2"/>
      <c r="CA343" s="2"/>
      <c r="CB343" s="2"/>
      <c r="CC343" s="2"/>
      <c r="CD343" s="1"/>
      <c r="CE343" s="1"/>
      <c r="CF343" s="1"/>
      <c r="CG343" s="1"/>
      <c r="CH343" s="1"/>
      <c r="CI343" s="2"/>
      <c r="CJ343" s="2"/>
      <c r="CK343" s="2"/>
      <c r="CL343" s="2"/>
      <c r="CM343" s="2"/>
      <c r="CN343" s="2"/>
      <c r="CO343" s="2"/>
      <c r="CP343" s="2"/>
      <c r="CQ343" s="2"/>
      <c r="CR343" s="2"/>
      <c r="CS343" s="2"/>
      <c r="CT343" s="2"/>
      <c r="CU343" s="2"/>
      <c r="CV343" s="2"/>
      <c r="CW343" s="2"/>
      <c r="CX343" s="2"/>
      <c r="CY343" s="2"/>
      <c r="CZ343" s="2"/>
    </row>
    <row r="344" spans="43:104" ht="15" hidden="1" customHeight="1" x14ac:dyDescent="0.2">
      <c r="AQ344" s="85"/>
      <c r="AR344" s="12">
        <v>1990000</v>
      </c>
      <c r="AS344" s="12">
        <v>2790000</v>
      </c>
      <c r="AT344" s="2"/>
      <c r="AU344" s="2"/>
      <c r="AV344" s="2"/>
      <c r="AW344" s="2"/>
      <c r="AX344" s="2"/>
      <c r="AY344" s="2"/>
      <c r="AZ344" s="2"/>
      <c r="BA344" s="2"/>
      <c r="BB344" s="2"/>
      <c r="BC344" s="2"/>
      <c r="BD344" s="2"/>
      <c r="BE344" s="2"/>
      <c r="BK344" s="2"/>
      <c r="BM344" s="2"/>
      <c r="BN344" s="2"/>
      <c r="BO344" s="2"/>
      <c r="BS344" s="11"/>
      <c r="BT344" s="2"/>
      <c r="BU344" s="3"/>
      <c r="BV344" s="3"/>
      <c r="BW344" s="2"/>
      <c r="BX344" s="2"/>
      <c r="BY344" s="2"/>
      <c r="BZ344" s="2"/>
      <c r="CA344" s="2"/>
      <c r="CB344" s="2"/>
      <c r="CC344" s="2"/>
      <c r="CD344" s="1"/>
      <c r="CE344" s="1"/>
      <c r="CF344" s="1"/>
      <c r="CG344" s="1"/>
      <c r="CH344" s="1"/>
      <c r="CI344" s="2"/>
      <c r="CJ344" s="2"/>
      <c r="CK344" s="2"/>
      <c r="CL344" s="2"/>
      <c r="CM344" s="2"/>
      <c r="CN344" s="2"/>
      <c r="CO344" s="2"/>
      <c r="CP344" s="2"/>
      <c r="CQ344" s="2"/>
      <c r="CR344" s="2"/>
      <c r="CS344" s="2"/>
      <c r="CT344" s="2"/>
      <c r="CU344" s="2"/>
      <c r="CV344" s="2"/>
      <c r="CW344" s="2"/>
      <c r="CX344" s="2"/>
      <c r="CY344" s="2"/>
      <c r="CZ344" s="2"/>
    </row>
    <row r="345" spans="43:104" ht="15" hidden="1" customHeight="1" x14ac:dyDescent="0.2">
      <c r="AQ345" s="12"/>
      <c r="AR345" s="12">
        <v>1995000</v>
      </c>
      <c r="AS345" s="12">
        <v>2800000</v>
      </c>
      <c r="AT345" s="2"/>
      <c r="AU345" s="2"/>
      <c r="AV345" s="2"/>
      <c r="AW345" s="2"/>
      <c r="AX345" s="2"/>
      <c r="AY345" s="2"/>
      <c r="AZ345" s="2"/>
      <c r="BA345" s="2"/>
      <c r="BB345" s="2"/>
      <c r="BC345" s="2"/>
      <c r="BD345" s="2"/>
      <c r="BE345" s="2"/>
      <c r="BK345" s="2"/>
      <c r="BM345" s="2"/>
      <c r="BN345" s="2"/>
      <c r="BO345" s="2"/>
      <c r="BS345" s="11"/>
      <c r="BT345" s="2"/>
      <c r="BU345" s="3"/>
      <c r="BV345" s="3"/>
      <c r="BW345" s="2"/>
      <c r="BX345" s="2"/>
      <c r="BY345" s="2"/>
      <c r="BZ345" s="46"/>
      <c r="CA345" s="1"/>
      <c r="CB345" s="1"/>
      <c r="CC345" s="1"/>
      <c r="CD345" s="1"/>
      <c r="CE345" s="1"/>
      <c r="CF345" s="1"/>
      <c r="CG345" s="1"/>
      <c r="CH345" s="1"/>
      <c r="CI345" s="2"/>
      <c r="CJ345" s="2"/>
      <c r="CK345" s="2"/>
      <c r="CL345" s="2"/>
      <c r="CM345" s="2"/>
      <c r="CN345" s="2"/>
      <c r="CO345" s="2"/>
      <c r="CP345" s="2"/>
      <c r="CQ345" s="2"/>
      <c r="CR345" s="2"/>
      <c r="CS345" s="2"/>
      <c r="CT345" s="2"/>
      <c r="CU345" s="2"/>
      <c r="CV345" s="2"/>
      <c r="CW345" s="2"/>
      <c r="CX345" s="2"/>
      <c r="CY345" s="2"/>
      <c r="CZ345" s="2"/>
    </row>
    <row r="346" spans="43:104" ht="15" hidden="1" customHeight="1" x14ac:dyDescent="0.2">
      <c r="AQ346" s="12"/>
      <c r="AR346" s="12">
        <v>2000000</v>
      </c>
      <c r="AS346" s="12">
        <v>2810000</v>
      </c>
      <c r="AT346" s="2"/>
      <c r="AU346" s="2"/>
      <c r="AV346" s="2"/>
      <c r="AW346" s="2"/>
      <c r="AX346" s="2"/>
      <c r="AY346" s="2"/>
      <c r="AZ346" s="2"/>
      <c r="BA346" s="2"/>
      <c r="BB346" s="2"/>
      <c r="BC346" s="2"/>
      <c r="BD346" s="2"/>
      <c r="BE346" s="2"/>
      <c r="BK346" s="2"/>
      <c r="BM346" s="2"/>
      <c r="BN346" s="2"/>
      <c r="BO346" s="2"/>
      <c r="BS346" s="11"/>
      <c r="BT346" s="2"/>
      <c r="BU346" s="3"/>
      <c r="BV346" s="3"/>
      <c r="BW346" s="2"/>
      <c r="BX346" s="2"/>
      <c r="BY346" s="2"/>
      <c r="BZ346" s="2"/>
      <c r="CA346" s="2"/>
      <c r="CB346" s="2"/>
      <c r="CC346" s="2"/>
      <c r="CD346" s="1"/>
      <c r="CE346" s="1"/>
      <c r="CF346" s="1"/>
      <c r="CG346" s="1"/>
      <c r="CH346" s="1"/>
      <c r="CI346" s="2"/>
      <c r="CJ346" s="2"/>
      <c r="CK346" s="2"/>
      <c r="CL346" s="2"/>
      <c r="CM346" s="2"/>
      <c r="CN346" s="2"/>
      <c r="CO346" s="2"/>
      <c r="CP346" s="2"/>
      <c r="CQ346" s="2"/>
      <c r="CR346" s="2"/>
      <c r="CS346" s="2"/>
      <c r="CT346" s="2"/>
      <c r="CU346" s="2"/>
      <c r="CV346" s="2"/>
      <c r="CW346" s="2"/>
      <c r="CX346" s="2"/>
      <c r="CY346" s="2"/>
      <c r="CZ346" s="2"/>
    </row>
    <row r="347" spans="43:104" ht="15" hidden="1" customHeight="1" x14ac:dyDescent="0.2">
      <c r="AQ347" s="2"/>
      <c r="AR347" s="12"/>
      <c r="AS347" s="2"/>
      <c r="AT347" s="2"/>
      <c r="AU347" s="2"/>
      <c r="AV347" s="2"/>
      <c r="AW347" s="2"/>
      <c r="AX347" s="2"/>
      <c r="AY347" s="2"/>
      <c r="AZ347" s="2"/>
      <c r="BA347" s="2"/>
      <c r="BB347" s="2"/>
      <c r="BC347" s="2"/>
      <c r="BD347" s="2"/>
      <c r="BE347" s="2"/>
      <c r="BK347" s="2"/>
      <c r="BM347" s="2"/>
      <c r="BN347" s="2"/>
      <c r="BO347" s="2"/>
      <c r="BS347" s="11"/>
      <c r="BT347" s="2"/>
      <c r="BU347" s="3"/>
      <c r="BV347" s="3"/>
      <c r="BW347" s="2"/>
      <c r="BX347" s="2"/>
      <c r="BY347" s="2"/>
      <c r="BZ347" s="2"/>
      <c r="CA347" s="2"/>
      <c r="CB347" s="2"/>
      <c r="CC347" s="2"/>
      <c r="CD347" s="1"/>
      <c r="CE347" s="1"/>
      <c r="CF347" s="1"/>
      <c r="CG347" s="1"/>
      <c r="CH347" s="1"/>
      <c r="CI347" s="2"/>
      <c r="CJ347" s="2"/>
      <c r="CK347" s="2"/>
      <c r="CL347" s="2"/>
      <c r="CM347" s="2"/>
      <c r="CN347" s="2"/>
      <c r="CO347" s="2"/>
      <c r="CP347" s="2"/>
      <c r="CQ347" s="2"/>
      <c r="CR347" s="2"/>
      <c r="CS347" s="2"/>
      <c r="CT347" s="2"/>
      <c r="CU347" s="2"/>
      <c r="CV347" s="2"/>
      <c r="CW347" s="2"/>
      <c r="CX347" s="2"/>
      <c r="CY347" s="2"/>
      <c r="CZ347" s="2"/>
    </row>
    <row r="348" spans="43:104" ht="15" hidden="1" customHeight="1" x14ac:dyDescent="0.2">
      <c r="AQ348" s="2"/>
      <c r="AR348" s="12"/>
      <c r="AS348" s="2"/>
      <c r="AT348" s="2"/>
      <c r="AU348" s="2"/>
      <c r="AV348" s="2"/>
      <c r="AW348" s="2"/>
      <c r="AX348" s="2"/>
      <c r="AY348" s="2"/>
      <c r="AZ348" s="2"/>
      <c r="BA348" s="2"/>
      <c r="BB348" s="2"/>
      <c r="BC348" s="2"/>
      <c r="BD348" s="2"/>
      <c r="BE348" s="2"/>
      <c r="BK348" s="2"/>
      <c r="BM348" s="2"/>
      <c r="BN348" s="2"/>
      <c r="BO348" s="2"/>
      <c r="BS348" s="11"/>
      <c r="BT348" s="2"/>
      <c r="BU348" s="3"/>
      <c r="BV348" s="3"/>
      <c r="BW348" s="2"/>
      <c r="BX348" s="2"/>
      <c r="BY348" s="2"/>
      <c r="BZ348" s="2"/>
      <c r="CA348" s="2"/>
      <c r="CB348" s="2"/>
      <c r="CC348" s="2"/>
      <c r="CD348" s="1"/>
      <c r="CE348" s="1"/>
      <c r="CF348" s="1"/>
      <c r="CG348" s="1"/>
      <c r="CH348" s="1"/>
      <c r="CI348" s="2"/>
      <c r="CJ348" s="2"/>
      <c r="CK348" s="2"/>
      <c r="CL348" s="2"/>
      <c r="CM348" s="2"/>
      <c r="CN348" s="2"/>
      <c r="CO348" s="2"/>
      <c r="CP348" s="2"/>
      <c r="CQ348" s="2"/>
      <c r="CR348" s="2"/>
      <c r="CS348" s="2"/>
      <c r="CT348" s="2"/>
      <c r="CU348" s="2"/>
      <c r="CV348" s="2"/>
      <c r="CW348" s="2"/>
      <c r="CX348" s="2"/>
      <c r="CY348" s="2"/>
      <c r="CZ348" s="2"/>
    </row>
    <row r="349" spans="43:104" ht="15" hidden="1" customHeight="1" x14ac:dyDescent="0.2">
      <c r="AQ349" s="2"/>
      <c r="AR349" s="12"/>
      <c r="AS349" s="2"/>
      <c r="AT349" s="2"/>
      <c r="AU349" s="2"/>
      <c r="AV349" s="2"/>
      <c r="AW349" s="2"/>
      <c r="AX349" s="2"/>
      <c r="AY349" s="2"/>
      <c r="AZ349" s="2"/>
      <c r="BA349" s="2"/>
      <c r="BB349" s="2"/>
      <c r="BC349" s="2"/>
      <c r="BD349" s="2"/>
      <c r="BE349" s="2"/>
      <c r="BK349" s="2"/>
      <c r="BM349" s="2"/>
      <c r="BN349" s="2"/>
      <c r="BO349" s="2"/>
      <c r="BS349" s="11"/>
      <c r="BT349" s="2"/>
      <c r="BU349" s="3"/>
      <c r="BV349" s="3"/>
      <c r="BW349" s="2"/>
      <c r="BX349" s="2"/>
      <c r="BY349" s="2"/>
      <c r="BZ349" s="2"/>
      <c r="CA349" s="2"/>
      <c r="CB349" s="2"/>
      <c r="CC349" s="2"/>
      <c r="CD349" s="1"/>
      <c r="CE349" s="1"/>
      <c r="CF349" s="1"/>
      <c r="CG349" s="1"/>
      <c r="CH349" s="1"/>
      <c r="CI349" s="2"/>
      <c r="CJ349" s="2"/>
      <c r="CK349" s="2"/>
      <c r="CL349" s="2"/>
      <c r="CM349" s="2"/>
      <c r="CN349" s="2"/>
      <c r="CO349" s="2"/>
      <c r="CP349" s="2"/>
      <c r="CQ349" s="2"/>
      <c r="CR349" s="2"/>
      <c r="CS349" s="2"/>
      <c r="CT349" s="2"/>
      <c r="CU349" s="2"/>
      <c r="CV349" s="2"/>
      <c r="CW349" s="2"/>
      <c r="CX349" s="2"/>
      <c r="CY349" s="2"/>
      <c r="CZ349" s="2"/>
    </row>
    <row r="350" spans="43:104" ht="15" hidden="1" customHeight="1" x14ac:dyDescent="0.2">
      <c r="AQ350" s="2"/>
      <c r="AR350" s="12"/>
      <c r="AS350" s="2"/>
      <c r="AT350" s="2"/>
      <c r="AU350" s="2"/>
      <c r="AV350" s="2"/>
      <c r="AW350" s="2"/>
      <c r="AX350" s="2"/>
      <c r="AY350" s="2"/>
      <c r="AZ350" s="2"/>
      <c r="BA350" s="2"/>
      <c r="BB350" s="2"/>
      <c r="BC350" s="2"/>
      <c r="BD350" s="2"/>
      <c r="BE350" s="2"/>
      <c r="BK350" s="2"/>
      <c r="BM350" s="2"/>
      <c r="BN350" s="2"/>
      <c r="BO350" s="2"/>
      <c r="BS350" s="11"/>
      <c r="BT350" s="2"/>
      <c r="BU350" s="3"/>
      <c r="BV350" s="3"/>
      <c r="BW350" s="2"/>
      <c r="BX350" s="2"/>
      <c r="BY350" s="2"/>
      <c r="BZ350" s="2"/>
      <c r="CA350" s="2"/>
      <c r="CB350" s="2"/>
      <c r="CC350" s="2"/>
      <c r="CD350" s="1"/>
      <c r="CE350" s="1"/>
      <c r="CF350" s="1"/>
      <c r="CG350" s="1"/>
      <c r="CH350" s="1"/>
      <c r="CI350" s="2"/>
      <c r="CJ350" s="2"/>
      <c r="CK350" s="2"/>
      <c r="CL350" s="2"/>
      <c r="CM350" s="2"/>
      <c r="CN350" s="2"/>
      <c r="CO350" s="2"/>
      <c r="CP350" s="2"/>
      <c r="CQ350" s="2"/>
      <c r="CR350" s="2"/>
      <c r="CS350" s="2"/>
      <c r="CT350" s="2"/>
      <c r="CU350" s="2"/>
      <c r="CV350" s="2"/>
      <c r="CW350" s="2"/>
      <c r="CX350" s="2"/>
      <c r="CY350" s="2"/>
      <c r="CZ350" s="2"/>
    </row>
    <row r="351" spans="43:104" ht="15" hidden="1" customHeight="1" x14ac:dyDescent="0.2">
      <c r="AQ351" s="2"/>
      <c r="AR351" s="12"/>
      <c r="AS351" s="2"/>
      <c r="AT351" s="2"/>
      <c r="AU351" s="2"/>
      <c r="AV351" s="2"/>
      <c r="AW351" s="2"/>
      <c r="AX351" s="2"/>
      <c r="AY351" s="2"/>
      <c r="AZ351" s="2"/>
      <c r="BA351" s="2"/>
      <c r="BB351" s="2"/>
      <c r="BC351" s="2"/>
      <c r="BD351" s="2"/>
      <c r="BE351" s="2"/>
      <c r="BK351" s="2"/>
      <c r="BM351" s="2"/>
      <c r="BN351" s="2"/>
      <c r="BO351" s="2"/>
      <c r="BS351" s="11"/>
      <c r="BT351" s="2"/>
      <c r="BU351" s="3"/>
      <c r="BV351" s="3"/>
      <c r="BW351" s="2"/>
      <c r="BX351" s="2"/>
      <c r="BY351" s="2"/>
      <c r="BZ351" s="2"/>
      <c r="CA351" s="2"/>
      <c r="CB351" s="2"/>
      <c r="CC351" s="2"/>
      <c r="CD351" s="1"/>
      <c r="CE351" s="1"/>
      <c r="CF351" s="1"/>
      <c r="CG351" s="1"/>
      <c r="CH351" s="1"/>
      <c r="CI351" s="2"/>
      <c r="CJ351" s="2"/>
      <c r="CK351" s="2"/>
      <c r="CL351" s="2"/>
      <c r="CM351" s="2"/>
      <c r="CN351" s="2"/>
      <c r="CO351" s="2"/>
      <c r="CP351" s="2"/>
      <c r="CQ351" s="2"/>
      <c r="CR351" s="2"/>
      <c r="CS351" s="2"/>
      <c r="CT351" s="2"/>
      <c r="CU351" s="2"/>
      <c r="CV351" s="2"/>
      <c r="CW351" s="2"/>
      <c r="CX351" s="2"/>
      <c r="CY351" s="2"/>
      <c r="CZ351" s="2"/>
    </row>
    <row r="352" spans="43:104" ht="15" hidden="1" customHeight="1" x14ac:dyDescent="0.2">
      <c r="AQ352" s="2"/>
      <c r="AR352" s="12"/>
      <c r="AS352" s="2"/>
      <c r="AT352" s="2"/>
      <c r="AU352" s="2"/>
      <c r="AV352" s="2"/>
      <c r="AW352" s="2"/>
      <c r="AX352" s="2"/>
      <c r="AY352" s="2"/>
      <c r="AZ352" s="2"/>
      <c r="BA352" s="2"/>
      <c r="BB352" s="2"/>
      <c r="BC352" s="2"/>
      <c r="BD352" s="2"/>
      <c r="BE352" s="2"/>
      <c r="BK352" s="2"/>
      <c r="BM352" s="2"/>
      <c r="BN352" s="2"/>
      <c r="BO352" s="2"/>
      <c r="BS352" s="11"/>
      <c r="BT352" s="2"/>
      <c r="BU352" s="3"/>
      <c r="BV352" s="3"/>
      <c r="BW352" s="2"/>
      <c r="BX352" s="2"/>
      <c r="BY352" s="2"/>
      <c r="BZ352" s="2"/>
      <c r="CA352" s="2"/>
      <c r="CB352" s="2"/>
      <c r="CC352" s="2"/>
      <c r="CD352" s="1"/>
      <c r="CE352" s="1"/>
      <c r="CF352" s="1"/>
      <c r="CG352" s="1"/>
      <c r="CH352" s="1"/>
      <c r="CI352" s="2"/>
      <c r="CJ352" s="2"/>
      <c r="CK352" s="2"/>
      <c r="CL352" s="2"/>
      <c r="CM352" s="2"/>
      <c r="CN352" s="2"/>
      <c r="CO352" s="2"/>
      <c r="CP352" s="2"/>
      <c r="CQ352" s="2"/>
      <c r="CR352" s="2"/>
      <c r="CS352" s="2"/>
      <c r="CT352" s="2"/>
      <c r="CU352" s="2"/>
      <c r="CV352" s="2"/>
      <c r="CW352" s="2"/>
      <c r="CX352" s="2"/>
      <c r="CY352" s="2"/>
      <c r="CZ352" s="2"/>
    </row>
    <row r="353" spans="44:104" ht="15" hidden="1" customHeight="1" x14ac:dyDescent="0.2">
      <c r="AR353" s="12"/>
      <c r="AS353" s="2"/>
      <c r="AT353" s="2"/>
      <c r="AU353" s="2"/>
      <c r="AV353" s="2"/>
      <c r="AW353" s="2"/>
      <c r="AX353" s="2"/>
      <c r="AY353" s="2"/>
      <c r="AZ353" s="2"/>
      <c r="BA353" s="2"/>
      <c r="BB353" s="2"/>
      <c r="BC353" s="2"/>
      <c r="BD353" s="2"/>
      <c r="BE353" s="2"/>
      <c r="BK353" s="2"/>
      <c r="BM353" s="2"/>
      <c r="BN353" s="2"/>
      <c r="BO353" s="2"/>
      <c r="BS353" s="11"/>
      <c r="BT353" s="2"/>
      <c r="BU353" s="3"/>
      <c r="BV353" s="3"/>
      <c r="BW353" s="2"/>
      <c r="BX353" s="2"/>
      <c r="BY353" s="2"/>
      <c r="BZ353" s="2"/>
      <c r="CA353" s="2"/>
      <c r="CB353" s="2"/>
      <c r="CC353" s="2"/>
      <c r="CD353" s="1"/>
      <c r="CE353" s="1"/>
      <c r="CF353" s="1"/>
      <c r="CG353" s="1"/>
      <c r="CH353" s="1"/>
      <c r="CI353" s="2"/>
      <c r="CJ353" s="2"/>
      <c r="CK353" s="2"/>
      <c r="CL353" s="2"/>
      <c r="CM353" s="2"/>
      <c r="CN353" s="2"/>
      <c r="CO353" s="2"/>
      <c r="CP353" s="2"/>
      <c r="CQ353" s="2"/>
      <c r="CR353" s="2"/>
      <c r="CS353" s="2"/>
      <c r="CT353" s="2"/>
      <c r="CU353" s="2"/>
      <c r="CV353" s="2"/>
      <c r="CW353" s="2"/>
      <c r="CX353" s="2"/>
      <c r="CY353" s="2"/>
      <c r="CZ353" s="2"/>
    </row>
    <row r="354" spans="44:104" ht="15" hidden="1" customHeight="1" x14ac:dyDescent="0.2">
      <c r="AR354" s="12"/>
      <c r="AS354" s="2"/>
      <c r="AT354" s="2"/>
      <c r="AU354" s="2"/>
      <c r="AV354" s="2"/>
      <c r="AW354" s="2"/>
      <c r="AX354" s="2"/>
      <c r="AY354" s="2"/>
      <c r="AZ354" s="2"/>
      <c r="BA354" s="2"/>
      <c r="BB354" s="2"/>
      <c r="BC354" s="2"/>
      <c r="BD354" s="2"/>
      <c r="BE354" s="2"/>
      <c r="BK354" s="2"/>
      <c r="BM354" s="2"/>
      <c r="BN354" s="2"/>
      <c r="BO354" s="2"/>
      <c r="BS354" s="11"/>
      <c r="BT354" s="2"/>
      <c r="BU354" s="3"/>
      <c r="BV354" s="3"/>
      <c r="BW354" s="2"/>
      <c r="BX354" s="2"/>
      <c r="BY354" s="2"/>
      <c r="BZ354" s="2"/>
      <c r="CA354" s="2"/>
      <c r="CB354" s="2"/>
      <c r="CC354" s="2"/>
      <c r="CD354" s="1"/>
      <c r="CE354" s="1"/>
      <c r="CF354" s="1"/>
      <c r="CG354" s="1"/>
      <c r="CH354" s="1"/>
      <c r="CI354" s="2"/>
      <c r="CJ354" s="2"/>
      <c r="CK354" s="2"/>
      <c r="CL354" s="2"/>
      <c r="CM354" s="2"/>
      <c r="CN354" s="2"/>
      <c r="CO354" s="2"/>
      <c r="CP354" s="2"/>
      <c r="CQ354" s="2"/>
      <c r="CR354" s="2"/>
      <c r="CS354" s="2"/>
      <c r="CT354" s="2"/>
      <c r="CU354" s="2"/>
      <c r="CV354" s="2"/>
      <c r="CW354" s="2"/>
      <c r="CX354" s="2"/>
      <c r="CY354" s="2"/>
      <c r="CZ354" s="2"/>
    </row>
    <row r="355" spans="44:104" ht="15" hidden="1" customHeight="1" x14ac:dyDescent="0.2">
      <c r="AR355" s="12"/>
      <c r="AS355" s="2"/>
      <c r="AT355" s="2"/>
      <c r="AU355" s="2"/>
      <c r="AV355" s="2"/>
      <c r="AW355" s="2"/>
      <c r="AX355" s="2"/>
      <c r="AY355" s="2"/>
      <c r="AZ355" s="2"/>
      <c r="BA355" s="2"/>
      <c r="BB355" s="2"/>
      <c r="BC355" s="2"/>
      <c r="BD355" s="2"/>
      <c r="BE355" s="2"/>
      <c r="BK355" s="2"/>
      <c r="BM355" s="2"/>
      <c r="BN355" s="2"/>
      <c r="BO355" s="2"/>
      <c r="BS355" s="11"/>
      <c r="BT355" s="2"/>
      <c r="BU355" s="3"/>
      <c r="BV355" s="3"/>
      <c r="BW355" s="2"/>
      <c r="BX355" s="2"/>
      <c r="BY355" s="2"/>
      <c r="BZ355" s="2"/>
      <c r="CA355" s="2"/>
      <c r="CB355" s="2"/>
      <c r="CC355" s="2"/>
      <c r="CD355" s="1"/>
      <c r="CE355" s="1"/>
      <c r="CF355" s="1"/>
      <c r="CG355" s="1"/>
      <c r="CH355" s="1"/>
      <c r="CI355" s="2"/>
      <c r="CJ355" s="2"/>
      <c r="CK355" s="2"/>
      <c r="CL355" s="2"/>
      <c r="CM355" s="2"/>
      <c r="CN355" s="2"/>
      <c r="CO355" s="2"/>
      <c r="CP355" s="2"/>
      <c r="CQ355" s="2"/>
      <c r="CR355" s="2"/>
      <c r="CS355" s="2"/>
      <c r="CT355" s="2"/>
      <c r="CU355" s="2"/>
      <c r="CV355" s="2"/>
      <c r="CW355" s="2"/>
      <c r="CX355" s="2"/>
      <c r="CY355" s="2"/>
      <c r="CZ355" s="2"/>
    </row>
    <row r="356" spans="44:104" ht="15" hidden="1" customHeight="1" x14ac:dyDescent="0.2">
      <c r="AR356" s="12"/>
      <c r="AS356" s="2"/>
      <c r="AT356" s="2"/>
      <c r="AU356" s="2"/>
      <c r="AV356" s="2"/>
      <c r="AW356" s="2"/>
      <c r="AX356" s="2"/>
      <c r="AY356" s="2"/>
      <c r="AZ356" s="2"/>
      <c r="BA356" s="2"/>
      <c r="BB356" s="2"/>
      <c r="BC356" s="2"/>
      <c r="BD356" s="2"/>
      <c r="BE356" s="2"/>
      <c r="BK356" s="2"/>
      <c r="BM356" s="2"/>
      <c r="BN356" s="2"/>
      <c r="BO356" s="2"/>
      <c r="BS356" s="11"/>
      <c r="BT356" s="2"/>
      <c r="BU356" s="3"/>
      <c r="BV356" s="3"/>
      <c r="BW356" s="2"/>
      <c r="BX356" s="2"/>
      <c r="BY356" s="2"/>
      <c r="BZ356" s="2"/>
      <c r="CA356" s="2"/>
      <c r="CB356" s="2"/>
      <c r="CC356" s="2"/>
      <c r="CD356" s="1"/>
      <c r="CE356" s="1"/>
      <c r="CF356" s="1"/>
      <c r="CG356" s="1"/>
      <c r="CH356" s="1"/>
      <c r="CI356" s="2"/>
      <c r="CJ356" s="2"/>
      <c r="CK356" s="2"/>
      <c r="CL356" s="2"/>
      <c r="CM356" s="2"/>
      <c r="CN356" s="2"/>
      <c r="CO356" s="2"/>
      <c r="CP356" s="2"/>
      <c r="CQ356" s="2"/>
      <c r="CR356" s="2"/>
      <c r="CS356" s="2"/>
      <c r="CT356" s="2"/>
      <c r="CU356" s="2"/>
      <c r="CV356" s="2"/>
      <c r="CW356" s="2"/>
      <c r="CX356" s="2"/>
      <c r="CY356" s="2"/>
      <c r="CZ356" s="2"/>
    </row>
    <row r="357" spans="44:104" ht="15" hidden="1" customHeight="1" x14ac:dyDescent="0.2">
      <c r="AR357" s="12"/>
      <c r="AS357" s="2"/>
      <c r="AT357" s="2"/>
      <c r="AU357" s="2"/>
      <c r="AV357" s="2"/>
      <c r="AW357" s="2"/>
      <c r="AX357" s="2"/>
      <c r="AY357" s="2"/>
      <c r="AZ357" s="2"/>
      <c r="BA357" s="2"/>
      <c r="BB357" s="2"/>
      <c r="BC357" s="2"/>
      <c r="BD357" s="2"/>
      <c r="BE357" s="2"/>
      <c r="BK357" s="2"/>
      <c r="BM357" s="2"/>
      <c r="BN357" s="2"/>
      <c r="BO357" s="2"/>
      <c r="BS357" s="11"/>
      <c r="BT357" s="2"/>
      <c r="BU357" s="3"/>
      <c r="BV357" s="3"/>
      <c r="BW357" s="2"/>
      <c r="BX357" s="2"/>
      <c r="BY357" s="2"/>
      <c r="BZ357" s="2"/>
      <c r="CA357" s="2"/>
      <c r="CB357" s="2"/>
      <c r="CC357" s="2"/>
      <c r="CD357" s="1"/>
      <c r="CE357" s="1"/>
      <c r="CF357" s="1"/>
      <c r="CG357" s="1"/>
      <c r="CH357" s="1"/>
      <c r="CI357" s="2"/>
      <c r="CJ357" s="2"/>
      <c r="CK357" s="2"/>
      <c r="CL357" s="2"/>
      <c r="CM357" s="2"/>
      <c r="CN357" s="2"/>
      <c r="CO357" s="2"/>
      <c r="CP357" s="2"/>
      <c r="CQ357" s="2"/>
      <c r="CR357" s="2"/>
      <c r="CS357" s="2"/>
      <c r="CT357" s="2"/>
      <c r="CU357" s="2"/>
      <c r="CV357" s="2"/>
      <c r="CW357" s="2"/>
      <c r="CX357" s="2"/>
      <c r="CY357" s="2"/>
      <c r="CZ357" s="2"/>
    </row>
    <row r="358" spans="44:104" ht="15" hidden="1" customHeight="1" x14ac:dyDescent="0.2">
      <c r="AR358" s="12"/>
      <c r="AS358" s="2"/>
      <c r="AT358" s="2"/>
      <c r="AU358" s="2"/>
      <c r="AV358" s="2"/>
      <c r="AW358" s="2"/>
      <c r="AX358" s="2"/>
      <c r="AY358" s="2"/>
      <c r="AZ358" s="2"/>
      <c r="BA358" s="2"/>
      <c r="BB358" s="2"/>
      <c r="BC358" s="2"/>
      <c r="BD358" s="2"/>
      <c r="BE358" s="2"/>
      <c r="BK358" s="2"/>
      <c r="BM358" s="2"/>
      <c r="BN358" s="2"/>
      <c r="BO358" s="2"/>
      <c r="BS358" s="11"/>
      <c r="BT358" s="2"/>
      <c r="BU358" s="3"/>
      <c r="BV358" s="3"/>
      <c r="BW358" s="2"/>
      <c r="BX358" s="2"/>
      <c r="BY358" s="2"/>
      <c r="BZ358" s="2"/>
      <c r="CA358" s="2"/>
      <c r="CB358" s="2"/>
      <c r="CC358" s="2"/>
      <c r="CD358" s="1"/>
      <c r="CE358" s="1"/>
      <c r="CF358" s="1"/>
      <c r="CG358" s="1"/>
      <c r="CH358" s="1"/>
      <c r="CI358" s="2"/>
      <c r="CJ358" s="2"/>
      <c r="CK358" s="2"/>
      <c r="CL358" s="2"/>
      <c r="CM358" s="2"/>
      <c r="CN358" s="2"/>
      <c r="CO358" s="2"/>
      <c r="CP358" s="2"/>
      <c r="CQ358" s="2"/>
      <c r="CR358" s="2"/>
      <c r="CS358" s="2"/>
      <c r="CT358" s="2"/>
      <c r="CU358" s="2"/>
      <c r="CV358" s="2"/>
      <c r="CW358" s="2"/>
      <c r="CX358" s="2"/>
      <c r="CY358" s="2"/>
      <c r="CZ358" s="2"/>
    </row>
    <row r="359" spans="44:104" ht="15" hidden="1" customHeight="1" x14ac:dyDescent="0.2">
      <c r="AR359" s="12"/>
      <c r="AS359" s="2"/>
      <c r="AT359" s="2"/>
      <c r="AU359" s="2"/>
      <c r="AV359" s="2"/>
      <c r="AW359" s="2"/>
      <c r="AX359" s="2"/>
      <c r="AY359" s="2"/>
      <c r="AZ359" s="2"/>
      <c r="BA359" s="2"/>
      <c r="BB359" s="2"/>
      <c r="BC359" s="2"/>
      <c r="BD359" s="2"/>
      <c r="BE359" s="2"/>
      <c r="BK359" s="2"/>
      <c r="BM359" s="2"/>
      <c r="BN359" s="2"/>
      <c r="BO359" s="2"/>
      <c r="BS359" s="11"/>
      <c r="BT359" s="2"/>
      <c r="BU359" s="3"/>
      <c r="BV359" s="3"/>
      <c r="BW359" s="2"/>
      <c r="BX359" s="2"/>
      <c r="BY359" s="2"/>
      <c r="BZ359" s="2"/>
      <c r="CA359" s="2"/>
      <c r="CB359" s="2"/>
      <c r="CC359" s="2"/>
      <c r="CD359" s="1"/>
      <c r="CE359" s="1"/>
      <c r="CF359" s="1"/>
      <c r="CG359" s="1"/>
      <c r="CH359" s="1"/>
      <c r="CI359" s="2"/>
      <c r="CJ359" s="2"/>
      <c r="CK359" s="2"/>
      <c r="CL359" s="2"/>
      <c r="CM359" s="2"/>
      <c r="CN359" s="2"/>
      <c r="CO359" s="2"/>
      <c r="CP359" s="2"/>
      <c r="CQ359" s="2"/>
      <c r="CR359" s="2"/>
      <c r="CS359" s="2"/>
      <c r="CT359" s="2"/>
      <c r="CU359" s="2"/>
      <c r="CV359" s="2"/>
      <c r="CW359" s="2"/>
      <c r="CX359" s="2"/>
      <c r="CY359" s="2"/>
      <c r="CZ359" s="2"/>
    </row>
    <row r="360" spans="44:104" ht="15" hidden="1" customHeight="1" x14ac:dyDescent="0.2">
      <c r="AR360" s="12"/>
      <c r="AS360" s="2"/>
      <c r="AT360" s="2"/>
      <c r="AU360" s="2"/>
      <c r="AV360" s="2"/>
      <c r="AW360" s="2"/>
      <c r="AX360" s="2"/>
      <c r="AY360" s="2"/>
      <c r="AZ360" s="2"/>
      <c r="BA360" s="2"/>
      <c r="BB360" s="2"/>
      <c r="BC360" s="2"/>
      <c r="BD360" s="2"/>
      <c r="BE360" s="2"/>
      <c r="BK360" s="2"/>
      <c r="BM360" s="2"/>
      <c r="BN360" s="2"/>
      <c r="BO360" s="2"/>
      <c r="BS360" s="11"/>
      <c r="BT360" s="2"/>
      <c r="BU360" s="3"/>
      <c r="BV360" s="3"/>
      <c r="BW360" s="2"/>
      <c r="BX360" s="2"/>
      <c r="BY360" s="2"/>
      <c r="BZ360" s="2"/>
      <c r="CA360" s="2"/>
      <c r="CB360" s="2"/>
      <c r="CC360" s="2"/>
      <c r="CD360" s="1"/>
      <c r="CE360" s="1"/>
      <c r="CF360" s="1"/>
      <c r="CG360" s="1"/>
      <c r="CH360" s="1"/>
      <c r="CI360" s="2"/>
      <c r="CJ360" s="2"/>
      <c r="CK360" s="2"/>
      <c r="CL360" s="2"/>
      <c r="CM360" s="2"/>
      <c r="CN360" s="2"/>
      <c r="CO360" s="2"/>
      <c r="CP360" s="2"/>
      <c r="CQ360" s="2"/>
      <c r="CR360" s="2"/>
      <c r="CS360" s="2"/>
      <c r="CT360" s="2"/>
      <c r="CU360" s="2"/>
      <c r="CV360" s="2"/>
      <c r="CW360" s="2"/>
      <c r="CX360" s="2"/>
      <c r="CY360" s="2"/>
      <c r="CZ360" s="2"/>
    </row>
    <row r="361" spans="44:104" ht="15" hidden="1" customHeight="1" x14ac:dyDescent="0.2">
      <c r="AR361" s="12"/>
      <c r="AS361" s="2"/>
      <c r="AT361" s="2"/>
      <c r="AU361" s="2"/>
      <c r="AV361" s="2"/>
      <c r="AW361" s="2"/>
      <c r="AX361" s="2"/>
      <c r="AY361" s="2"/>
      <c r="AZ361" s="2"/>
      <c r="BA361" s="2"/>
      <c r="BB361" s="2"/>
      <c r="BC361" s="2"/>
      <c r="BD361" s="2"/>
      <c r="BE361" s="2"/>
      <c r="BK361" s="2"/>
      <c r="BM361" s="2"/>
      <c r="BN361" s="2"/>
      <c r="BO361" s="2"/>
      <c r="BS361" s="11"/>
      <c r="BT361" s="2"/>
      <c r="BU361" s="3"/>
      <c r="BV361" s="3"/>
      <c r="BW361" s="2"/>
      <c r="BX361" s="2"/>
      <c r="BY361" s="2"/>
      <c r="BZ361" s="2"/>
      <c r="CA361" s="2"/>
      <c r="CB361" s="2"/>
      <c r="CC361" s="2"/>
      <c r="CD361" s="1"/>
      <c r="CE361" s="1"/>
      <c r="CF361" s="1"/>
      <c r="CG361" s="1"/>
      <c r="CH361" s="1"/>
      <c r="CI361" s="2"/>
      <c r="CJ361" s="2"/>
      <c r="CK361" s="2"/>
      <c r="CL361" s="2"/>
      <c r="CM361" s="2"/>
      <c r="CN361" s="2"/>
      <c r="CO361" s="2"/>
      <c r="CP361" s="2"/>
      <c r="CQ361" s="2"/>
      <c r="CR361" s="2"/>
      <c r="CS361" s="2"/>
      <c r="CT361" s="2"/>
      <c r="CU361" s="2"/>
      <c r="CV361" s="2"/>
      <c r="CW361" s="2"/>
      <c r="CX361" s="2"/>
      <c r="CY361" s="2"/>
      <c r="CZ361" s="2"/>
    </row>
    <row r="362" spans="44:104" ht="15" hidden="1" customHeight="1" x14ac:dyDescent="0.2">
      <c r="AR362" s="12"/>
      <c r="AS362" s="2"/>
      <c r="AT362" s="2"/>
      <c r="AU362" s="2"/>
      <c r="AV362" s="2"/>
      <c r="AW362" s="2"/>
      <c r="AX362" s="2"/>
      <c r="AY362" s="2"/>
      <c r="AZ362" s="2"/>
      <c r="BA362" s="2"/>
      <c r="BB362" s="2"/>
      <c r="BC362" s="2"/>
      <c r="BD362" s="2"/>
      <c r="BE362" s="2"/>
      <c r="BK362" s="2"/>
      <c r="BM362" s="2"/>
      <c r="BN362" s="2"/>
      <c r="BO362" s="2"/>
      <c r="BS362" s="11"/>
      <c r="BT362" s="2"/>
      <c r="BU362" s="3"/>
      <c r="BV362" s="3"/>
      <c r="BW362" s="2"/>
      <c r="BX362" s="2"/>
      <c r="BY362" s="2"/>
      <c r="BZ362" s="46"/>
      <c r="CA362" s="1"/>
      <c r="CB362" s="1"/>
      <c r="CC362" s="1"/>
      <c r="CD362" s="1"/>
      <c r="CE362" s="1"/>
      <c r="CF362" s="1"/>
      <c r="CG362" s="1"/>
      <c r="CH362" s="1"/>
      <c r="CI362" s="2"/>
      <c r="CJ362" s="2"/>
      <c r="CK362" s="2"/>
      <c r="CL362" s="2"/>
      <c r="CM362" s="2"/>
      <c r="CN362" s="2"/>
      <c r="CO362" s="2"/>
      <c r="CP362" s="2"/>
      <c r="CQ362" s="2"/>
      <c r="CR362" s="2"/>
      <c r="CS362" s="2"/>
      <c r="CT362" s="2"/>
      <c r="CU362" s="2"/>
      <c r="CV362" s="2"/>
      <c r="CW362" s="2"/>
      <c r="CX362" s="2"/>
      <c r="CY362" s="2"/>
      <c r="CZ362" s="2"/>
    </row>
    <row r="363" spans="44:104" ht="15" hidden="1" customHeight="1" x14ac:dyDescent="0.2">
      <c r="AR363" s="12"/>
      <c r="AS363" s="2"/>
      <c r="AT363" s="2"/>
      <c r="AU363" s="2"/>
      <c r="AV363" s="2"/>
      <c r="AW363" s="2"/>
      <c r="AX363" s="2"/>
      <c r="AY363" s="2"/>
      <c r="AZ363" s="2"/>
      <c r="BA363" s="2"/>
      <c r="BB363" s="2"/>
      <c r="BC363" s="2"/>
      <c r="BD363" s="2"/>
      <c r="BE363" s="2"/>
      <c r="BK363" s="2"/>
      <c r="BM363" s="2"/>
      <c r="BN363" s="2"/>
      <c r="BO363" s="2"/>
      <c r="BS363" s="11"/>
      <c r="BT363" s="2"/>
      <c r="BU363" s="3"/>
      <c r="BV363" s="3"/>
      <c r="BW363" s="2"/>
      <c r="BX363" s="2"/>
      <c r="BY363" s="2"/>
      <c r="BZ363" s="2"/>
      <c r="CA363" s="2"/>
      <c r="CB363" s="2"/>
      <c r="CC363" s="2"/>
      <c r="CD363" s="1"/>
      <c r="CE363" s="1"/>
      <c r="CF363" s="1"/>
      <c r="CG363" s="1"/>
      <c r="CH363" s="1"/>
      <c r="CI363" s="2"/>
      <c r="CJ363" s="2"/>
      <c r="CK363" s="2"/>
      <c r="CL363" s="2"/>
      <c r="CM363" s="2"/>
      <c r="CN363" s="2"/>
      <c r="CO363" s="2"/>
      <c r="CP363" s="2"/>
      <c r="CQ363" s="2"/>
      <c r="CR363" s="2"/>
      <c r="CS363" s="2"/>
      <c r="CT363" s="2"/>
      <c r="CU363" s="2"/>
      <c r="CV363" s="2"/>
      <c r="CW363" s="2"/>
      <c r="CX363" s="2"/>
      <c r="CY363" s="2"/>
      <c r="CZ363" s="2"/>
    </row>
    <row r="364" spans="44:104" ht="15" hidden="1" customHeight="1" x14ac:dyDescent="0.2">
      <c r="AR364" s="12"/>
      <c r="AS364" s="2"/>
      <c r="AT364" s="2"/>
      <c r="AU364" s="2"/>
      <c r="AV364" s="2"/>
      <c r="AW364" s="2"/>
      <c r="AX364" s="2"/>
      <c r="AY364" s="2"/>
      <c r="AZ364" s="2"/>
      <c r="BA364" s="2"/>
      <c r="BB364" s="2"/>
      <c r="BC364" s="2"/>
      <c r="BD364" s="2"/>
      <c r="BE364" s="2"/>
      <c r="BK364" s="2"/>
      <c r="BM364" s="2"/>
      <c r="BN364" s="2"/>
      <c r="BO364" s="2"/>
      <c r="BS364" s="11"/>
      <c r="BT364" s="2"/>
      <c r="BU364" s="3"/>
      <c r="BV364" s="3"/>
      <c r="BW364" s="2"/>
      <c r="BX364" s="2"/>
      <c r="BY364" s="2"/>
      <c r="BZ364" s="2"/>
      <c r="CA364" s="2"/>
      <c r="CB364" s="2"/>
      <c r="CC364" s="2"/>
      <c r="CD364" s="1"/>
      <c r="CE364" s="1"/>
      <c r="CF364" s="1"/>
      <c r="CG364" s="1"/>
      <c r="CH364" s="1"/>
      <c r="CI364" s="2"/>
      <c r="CJ364" s="2"/>
      <c r="CK364" s="2"/>
      <c r="CL364" s="2"/>
      <c r="CM364" s="2"/>
      <c r="CN364" s="2"/>
      <c r="CO364" s="2"/>
      <c r="CP364" s="2"/>
      <c r="CQ364" s="2"/>
      <c r="CR364" s="2"/>
      <c r="CS364" s="2"/>
      <c r="CT364" s="2"/>
      <c r="CU364" s="2"/>
      <c r="CV364" s="2"/>
      <c r="CW364" s="2"/>
      <c r="CX364" s="2"/>
      <c r="CY364" s="2"/>
      <c r="CZ364" s="2"/>
    </row>
    <row r="365" spans="44:104" ht="15" hidden="1" customHeight="1" x14ac:dyDescent="0.2">
      <c r="AR365" s="2"/>
      <c r="AS365" s="2"/>
      <c r="AT365" s="2"/>
      <c r="AU365" s="2"/>
      <c r="AV365" s="2"/>
      <c r="AW365" s="2"/>
      <c r="AX365" s="2"/>
      <c r="AY365" s="2"/>
      <c r="AZ365" s="2"/>
      <c r="BA365" s="2"/>
      <c r="BB365" s="2"/>
      <c r="BC365" s="2"/>
      <c r="BD365" s="2"/>
      <c r="BE365" s="2"/>
      <c r="BK365" s="2"/>
      <c r="BM365" s="2"/>
      <c r="BN365" s="2"/>
      <c r="BO365" s="2"/>
      <c r="BS365" s="11"/>
      <c r="BT365" s="2"/>
      <c r="BU365" s="3"/>
      <c r="BV365" s="3"/>
      <c r="BW365" s="2"/>
      <c r="BX365" s="2"/>
      <c r="BY365" s="2"/>
      <c r="BZ365" s="2"/>
      <c r="CA365" s="2"/>
      <c r="CB365" s="2"/>
      <c r="CC365" s="2"/>
      <c r="CD365" s="1"/>
      <c r="CE365" s="1"/>
      <c r="CF365" s="1"/>
      <c r="CG365" s="1"/>
      <c r="CH365" s="1"/>
      <c r="CI365" s="2"/>
      <c r="CJ365" s="2"/>
      <c r="CK365" s="2"/>
      <c r="CL365" s="2"/>
      <c r="CM365" s="2"/>
      <c r="CN365" s="2"/>
      <c r="CO365" s="2"/>
      <c r="CP365" s="2"/>
      <c r="CQ365" s="2"/>
      <c r="CR365" s="2"/>
      <c r="CS365" s="2"/>
      <c r="CT365" s="2"/>
      <c r="CU365" s="2"/>
      <c r="CV365" s="2"/>
      <c r="CW365" s="2"/>
      <c r="CX365" s="2"/>
      <c r="CY365" s="2"/>
      <c r="CZ365" s="2"/>
    </row>
    <row r="366" spans="44:104" ht="15" hidden="1" customHeight="1" x14ac:dyDescent="0.2">
      <c r="AR366" s="2"/>
      <c r="AS366" s="2"/>
      <c r="AT366" s="2"/>
      <c r="AU366" s="2"/>
      <c r="AV366" s="2"/>
      <c r="AW366" s="2"/>
      <c r="AX366" s="2"/>
      <c r="AY366" s="2"/>
      <c r="AZ366" s="2"/>
      <c r="BA366" s="2"/>
      <c r="BB366" s="2"/>
      <c r="BC366" s="2"/>
      <c r="BD366" s="2"/>
      <c r="BE366" s="2"/>
      <c r="BK366" s="2"/>
      <c r="BM366" s="2"/>
      <c r="BN366" s="2"/>
      <c r="BO366" s="2"/>
      <c r="BS366" s="11"/>
      <c r="BT366" s="2"/>
      <c r="BU366" s="3"/>
      <c r="BV366" s="3"/>
      <c r="BW366" s="2"/>
      <c r="BX366" s="2"/>
      <c r="BY366" s="2"/>
      <c r="BZ366" s="2"/>
      <c r="CA366" s="2"/>
      <c r="CB366" s="2"/>
      <c r="CC366" s="2"/>
      <c r="CD366" s="1"/>
      <c r="CE366" s="1"/>
      <c r="CF366" s="1"/>
      <c r="CG366" s="1"/>
      <c r="CH366" s="1"/>
      <c r="CI366" s="2"/>
      <c r="CJ366" s="2"/>
      <c r="CK366" s="2"/>
      <c r="CL366" s="2"/>
      <c r="CM366" s="2"/>
      <c r="CN366" s="2"/>
      <c r="CO366" s="2"/>
      <c r="CP366" s="2"/>
      <c r="CQ366" s="2"/>
      <c r="CR366" s="2"/>
      <c r="CS366" s="2"/>
      <c r="CT366" s="2"/>
      <c r="CU366" s="2"/>
      <c r="CV366" s="2"/>
      <c r="CW366" s="2"/>
      <c r="CX366" s="2"/>
      <c r="CY366" s="2"/>
      <c r="CZ366" s="2"/>
    </row>
    <row r="367" spans="44:104" ht="15" hidden="1" customHeight="1" x14ac:dyDescent="0.2">
      <c r="AR367" s="2"/>
      <c r="AS367" s="2"/>
      <c r="AT367" s="2"/>
      <c r="AU367" s="2"/>
      <c r="AV367" s="2"/>
      <c r="AW367" s="2"/>
      <c r="AX367" s="2"/>
      <c r="AY367" s="2"/>
      <c r="AZ367" s="2"/>
      <c r="BA367" s="2"/>
      <c r="BB367" s="2"/>
      <c r="BC367" s="2"/>
      <c r="BD367" s="2"/>
      <c r="BE367" s="2"/>
      <c r="BK367" s="2"/>
      <c r="BM367" s="2"/>
      <c r="BN367" s="2"/>
      <c r="BO367" s="2"/>
      <c r="BS367" s="11"/>
      <c r="BT367" s="2"/>
      <c r="BU367" s="3"/>
      <c r="BV367" s="3"/>
      <c r="BW367" s="2"/>
      <c r="BX367" s="2"/>
      <c r="BY367" s="2"/>
      <c r="BZ367" s="2"/>
      <c r="CA367" s="2"/>
      <c r="CB367" s="2"/>
      <c r="CC367" s="2"/>
      <c r="CD367" s="1"/>
      <c r="CE367" s="1"/>
      <c r="CF367" s="1"/>
      <c r="CG367" s="1"/>
      <c r="CH367" s="1"/>
      <c r="CI367" s="2"/>
      <c r="CJ367" s="2"/>
      <c r="CK367" s="2"/>
      <c r="CL367" s="2"/>
      <c r="CM367" s="2"/>
      <c r="CN367" s="2"/>
      <c r="CO367" s="2"/>
      <c r="CP367" s="2"/>
      <c r="CQ367" s="2"/>
      <c r="CR367" s="2"/>
      <c r="CS367" s="2"/>
      <c r="CT367" s="2"/>
      <c r="CU367" s="2"/>
      <c r="CV367" s="2"/>
      <c r="CW367" s="2"/>
      <c r="CX367" s="2"/>
      <c r="CY367" s="2"/>
      <c r="CZ367" s="2"/>
    </row>
    <row r="368" spans="44:104" ht="15" hidden="1" customHeight="1" x14ac:dyDescent="0.2">
      <c r="AR368" s="2"/>
      <c r="AS368" s="2"/>
      <c r="AT368" s="2"/>
      <c r="AU368" s="2"/>
      <c r="AV368" s="2"/>
      <c r="AW368" s="2"/>
      <c r="AX368" s="2"/>
      <c r="AY368" s="2"/>
      <c r="AZ368" s="2"/>
      <c r="BA368" s="2"/>
      <c r="BB368" s="2"/>
      <c r="BC368" s="2"/>
      <c r="BD368" s="2"/>
      <c r="BE368" s="2"/>
      <c r="BK368" s="2"/>
      <c r="BM368" s="2"/>
      <c r="BN368" s="2"/>
      <c r="BO368" s="2"/>
      <c r="BS368" s="11"/>
      <c r="BT368" s="2"/>
      <c r="BU368" s="3"/>
      <c r="BV368" s="3"/>
      <c r="BW368" s="2"/>
      <c r="BX368" s="2"/>
      <c r="BY368" s="2"/>
      <c r="BZ368" s="2"/>
      <c r="CA368" s="2"/>
      <c r="CB368" s="2"/>
      <c r="CC368" s="2"/>
      <c r="CD368" s="1"/>
      <c r="CE368" s="1"/>
      <c r="CF368" s="1"/>
      <c r="CG368" s="1"/>
      <c r="CH368" s="1"/>
      <c r="CI368" s="2"/>
      <c r="CJ368" s="2"/>
      <c r="CK368" s="2"/>
      <c r="CL368" s="2"/>
      <c r="CM368" s="2"/>
      <c r="CN368" s="2"/>
      <c r="CO368" s="2"/>
      <c r="CP368" s="2"/>
      <c r="CQ368" s="2"/>
      <c r="CR368" s="2"/>
      <c r="CS368" s="2"/>
      <c r="CT368" s="2"/>
      <c r="CU368" s="2"/>
      <c r="CV368" s="2"/>
      <c r="CW368" s="2"/>
      <c r="CX368" s="2"/>
      <c r="CY368" s="2"/>
      <c r="CZ368" s="2"/>
    </row>
    <row r="369" spans="44:104" ht="15" hidden="1" customHeight="1" x14ac:dyDescent="0.2">
      <c r="AR369" s="2"/>
      <c r="AS369" s="2"/>
      <c r="AT369" s="2"/>
      <c r="AU369" s="2"/>
      <c r="AV369" s="2"/>
      <c r="AW369" s="2"/>
      <c r="AX369" s="2"/>
      <c r="AY369" s="2"/>
      <c r="AZ369" s="2"/>
      <c r="BA369" s="2"/>
      <c r="BB369" s="2"/>
      <c r="BC369" s="2"/>
      <c r="BD369" s="2"/>
      <c r="BE369" s="2"/>
      <c r="BK369" s="2"/>
      <c r="BM369" s="2"/>
      <c r="BN369" s="2"/>
      <c r="BO369" s="2"/>
      <c r="BS369" s="11"/>
      <c r="BT369" s="2"/>
      <c r="BU369" s="3"/>
      <c r="BV369" s="3"/>
      <c r="BW369" s="2"/>
      <c r="BX369" s="2"/>
      <c r="BY369" s="2"/>
      <c r="BZ369" s="2"/>
      <c r="CA369" s="2"/>
      <c r="CB369" s="2"/>
      <c r="CC369" s="2"/>
      <c r="CD369" s="1"/>
      <c r="CE369" s="1"/>
      <c r="CF369" s="1"/>
      <c r="CG369" s="1"/>
      <c r="CH369" s="1"/>
      <c r="CI369" s="2"/>
      <c r="CJ369" s="2"/>
      <c r="CK369" s="2"/>
      <c r="CL369" s="2"/>
      <c r="CM369" s="2"/>
      <c r="CN369" s="2"/>
      <c r="CO369" s="2"/>
      <c r="CP369" s="2"/>
      <c r="CQ369" s="2"/>
      <c r="CR369" s="2"/>
      <c r="CS369" s="2"/>
      <c r="CT369" s="2"/>
      <c r="CU369" s="2"/>
      <c r="CV369" s="2"/>
      <c r="CW369" s="2"/>
      <c r="CX369" s="2"/>
      <c r="CY369" s="2"/>
      <c r="CZ369" s="2"/>
    </row>
    <row r="370" spans="44:104" ht="15" hidden="1" customHeight="1" x14ac:dyDescent="0.2">
      <c r="AR370" s="2"/>
      <c r="AS370" s="2"/>
      <c r="AT370" s="2"/>
      <c r="AU370" s="2"/>
      <c r="AV370" s="2"/>
      <c r="AW370" s="2"/>
      <c r="AX370" s="2"/>
      <c r="AY370" s="2"/>
      <c r="AZ370" s="2"/>
      <c r="BA370" s="2"/>
      <c r="BB370" s="2"/>
      <c r="BC370" s="2"/>
      <c r="BD370" s="2"/>
      <c r="BE370" s="2"/>
      <c r="BK370" s="2"/>
      <c r="BM370" s="2"/>
      <c r="BN370" s="2"/>
      <c r="BO370" s="2"/>
      <c r="BS370" s="11"/>
      <c r="BT370" s="2"/>
      <c r="BU370" s="3"/>
      <c r="BV370" s="3"/>
      <c r="BW370" s="2"/>
      <c r="BX370" s="2"/>
      <c r="BY370" s="2"/>
      <c r="BZ370" s="2"/>
      <c r="CA370" s="2"/>
      <c r="CB370" s="2"/>
      <c r="CC370" s="2"/>
      <c r="CD370" s="1"/>
      <c r="CE370" s="1"/>
      <c r="CF370" s="1"/>
      <c r="CG370" s="1"/>
      <c r="CH370" s="1"/>
      <c r="CI370" s="2"/>
      <c r="CJ370" s="2"/>
      <c r="CK370" s="2"/>
      <c r="CL370" s="2"/>
      <c r="CM370" s="2"/>
      <c r="CN370" s="2"/>
      <c r="CO370" s="2"/>
      <c r="CP370" s="2"/>
      <c r="CQ370" s="2"/>
      <c r="CR370" s="2"/>
      <c r="CS370" s="2"/>
      <c r="CT370" s="2"/>
      <c r="CU370" s="2"/>
      <c r="CV370" s="2"/>
      <c r="CW370" s="2"/>
      <c r="CX370" s="2"/>
      <c r="CY370" s="2"/>
      <c r="CZ370" s="2"/>
    </row>
    <row r="371" spans="44:104" ht="15" hidden="1" customHeight="1" x14ac:dyDescent="0.2">
      <c r="AR371" s="2"/>
      <c r="AS371" s="2"/>
      <c r="AT371" s="2"/>
      <c r="AU371" s="2"/>
      <c r="AV371" s="2"/>
      <c r="AW371" s="2"/>
      <c r="AX371" s="2"/>
      <c r="AY371" s="2"/>
      <c r="AZ371" s="2"/>
      <c r="BA371" s="2"/>
      <c r="BB371" s="2"/>
      <c r="BC371" s="2"/>
      <c r="BD371" s="2"/>
      <c r="BE371" s="2"/>
      <c r="BK371" s="2"/>
      <c r="BM371" s="2"/>
      <c r="BN371" s="2"/>
      <c r="BO371" s="2"/>
      <c r="BS371" s="11"/>
      <c r="BT371" s="2"/>
      <c r="BU371" s="3"/>
      <c r="BV371" s="3"/>
      <c r="BW371" s="2"/>
      <c r="BX371" s="2"/>
      <c r="BY371" s="2"/>
      <c r="BZ371" s="2"/>
      <c r="CA371" s="2"/>
      <c r="CB371" s="2"/>
      <c r="CC371" s="2"/>
      <c r="CD371" s="1"/>
      <c r="CE371" s="1"/>
      <c r="CF371" s="1"/>
      <c r="CG371" s="1"/>
      <c r="CH371" s="1"/>
      <c r="CI371" s="2"/>
      <c r="CJ371" s="2"/>
      <c r="CK371" s="2"/>
      <c r="CL371" s="2"/>
      <c r="CM371" s="2"/>
      <c r="CN371" s="2"/>
      <c r="CO371" s="2"/>
      <c r="CP371" s="2"/>
      <c r="CQ371" s="2"/>
      <c r="CR371" s="2"/>
      <c r="CS371" s="2"/>
      <c r="CT371" s="2"/>
      <c r="CU371" s="2"/>
      <c r="CV371" s="2"/>
      <c r="CW371" s="2"/>
      <c r="CX371" s="2"/>
      <c r="CY371" s="2"/>
      <c r="CZ371" s="2"/>
    </row>
    <row r="372" spans="44:104" ht="15" hidden="1" customHeight="1" x14ac:dyDescent="0.2">
      <c r="AR372" s="2"/>
      <c r="AS372" s="2"/>
      <c r="AT372" s="2"/>
      <c r="AU372" s="2"/>
      <c r="AV372" s="2"/>
      <c r="AW372" s="2"/>
      <c r="AX372" s="2"/>
      <c r="AY372" s="2"/>
      <c r="AZ372" s="2"/>
      <c r="BA372" s="2"/>
      <c r="BB372" s="2"/>
      <c r="BC372" s="2"/>
      <c r="BD372" s="2"/>
      <c r="BE372" s="2"/>
      <c r="BK372" s="2"/>
      <c r="BM372" s="2"/>
      <c r="BN372" s="2"/>
      <c r="BO372" s="2"/>
      <c r="BS372" s="11"/>
      <c r="BT372" s="2"/>
      <c r="BU372" s="3"/>
      <c r="BV372" s="3"/>
      <c r="BW372" s="2"/>
      <c r="BX372" s="2"/>
      <c r="BY372" s="2"/>
      <c r="BZ372" s="46"/>
      <c r="CA372" s="1"/>
      <c r="CB372" s="1"/>
      <c r="CC372" s="1"/>
      <c r="CD372" s="1"/>
      <c r="CE372" s="1"/>
      <c r="CF372" s="1"/>
      <c r="CG372" s="1"/>
      <c r="CH372" s="1"/>
      <c r="CI372" s="2"/>
      <c r="CJ372" s="2"/>
      <c r="CK372" s="2"/>
      <c r="CL372" s="2"/>
      <c r="CM372" s="2"/>
      <c r="CN372" s="2"/>
      <c r="CO372" s="2"/>
      <c r="CP372" s="2"/>
      <c r="CQ372" s="2"/>
      <c r="CR372" s="2"/>
      <c r="CS372" s="2"/>
      <c r="CT372" s="2"/>
      <c r="CU372" s="2"/>
      <c r="CV372" s="2"/>
      <c r="CW372" s="2"/>
      <c r="CX372" s="2"/>
      <c r="CY372" s="2"/>
      <c r="CZ372" s="2"/>
    </row>
    <row r="373" spans="44:104" ht="15" hidden="1" customHeight="1" x14ac:dyDescent="0.2">
      <c r="AR373" s="2"/>
      <c r="AS373" s="2"/>
      <c r="AT373" s="2"/>
      <c r="AU373" s="2"/>
      <c r="AV373" s="2"/>
      <c r="AW373" s="2"/>
      <c r="AX373" s="2"/>
      <c r="AY373" s="2"/>
      <c r="AZ373" s="2"/>
      <c r="BA373" s="2"/>
      <c r="BB373" s="2"/>
      <c r="BC373" s="2"/>
      <c r="BD373" s="2"/>
      <c r="BE373" s="2"/>
      <c r="BK373" s="2"/>
      <c r="BM373" s="2"/>
      <c r="BN373" s="2"/>
      <c r="BO373" s="2"/>
      <c r="BS373" s="11"/>
      <c r="BT373" s="2"/>
      <c r="BU373" s="3"/>
      <c r="BV373" s="3"/>
      <c r="BW373" s="2"/>
      <c r="BX373" s="2"/>
      <c r="BY373" s="2"/>
      <c r="BZ373" s="2"/>
      <c r="CA373" s="2"/>
      <c r="CB373" s="2"/>
      <c r="CC373" s="2"/>
      <c r="CD373" s="1"/>
      <c r="CE373" s="1"/>
      <c r="CF373" s="1"/>
      <c r="CG373" s="1"/>
      <c r="CH373" s="1"/>
      <c r="CI373" s="2"/>
      <c r="CJ373" s="2"/>
      <c r="CK373" s="2"/>
      <c r="CL373" s="2"/>
      <c r="CM373" s="2"/>
      <c r="CN373" s="2"/>
      <c r="CO373" s="2"/>
      <c r="CP373" s="2"/>
      <c r="CQ373" s="2"/>
      <c r="CR373" s="2"/>
      <c r="CS373" s="2"/>
      <c r="CT373" s="2"/>
      <c r="CU373" s="2"/>
      <c r="CV373" s="2"/>
      <c r="CW373" s="2"/>
      <c r="CX373" s="2"/>
      <c r="CY373" s="2"/>
      <c r="CZ373" s="2"/>
    </row>
    <row r="374" spans="44:104" ht="15" hidden="1" customHeight="1" x14ac:dyDescent="0.2">
      <c r="AR374" s="2"/>
      <c r="AS374" s="2"/>
      <c r="AT374" s="2"/>
      <c r="AU374" s="2"/>
      <c r="AV374" s="2"/>
      <c r="AW374" s="2"/>
      <c r="AX374" s="2"/>
      <c r="AY374" s="2"/>
      <c r="AZ374" s="2"/>
      <c r="BA374" s="2"/>
      <c r="BB374" s="2"/>
      <c r="BC374" s="2"/>
      <c r="BD374" s="2"/>
      <c r="BE374" s="2"/>
      <c r="BK374" s="2"/>
      <c r="BM374" s="2"/>
      <c r="BN374" s="2"/>
      <c r="BO374" s="2"/>
      <c r="BS374" s="11"/>
      <c r="BT374" s="2"/>
      <c r="BU374" s="3"/>
      <c r="BV374" s="3"/>
      <c r="BW374" s="2"/>
      <c r="BX374" s="2"/>
      <c r="BY374" s="2"/>
      <c r="BZ374" s="2"/>
      <c r="CA374" s="2"/>
      <c r="CB374" s="2"/>
      <c r="CC374" s="2"/>
      <c r="CD374" s="1"/>
      <c r="CE374" s="1"/>
      <c r="CF374" s="1"/>
      <c r="CG374" s="1"/>
      <c r="CH374" s="1"/>
      <c r="CI374" s="2"/>
      <c r="CJ374" s="2"/>
      <c r="CK374" s="2"/>
      <c r="CL374" s="2"/>
      <c r="CM374" s="2"/>
      <c r="CN374" s="2"/>
      <c r="CO374" s="2"/>
      <c r="CP374" s="2"/>
      <c r="CQ374" s="2"/>
      <c r="CR374" s="2"/>
      <c r="CS374" s="2"/>
      <c r="CT374" s="2"/>
      <c r="CU374" s="2"/>
      <c r="CV374" s="2"/>
      <c r="CW374" s="2"/>
      <c r="CX374" s="2"/>
      <c r="CY374" s="2"/>
      <c r="CZ374" s="2"/>
    </row>
    <row r="375" spans="44:104" ht="15" hidden="1" customHeight="1" x14ac:dyDescent="0.2">
      <c r="AR375" s="2"/>
      <c r="AS375" s="2"/>
      <c r="AT375" s="2"/>
      <c r="AU375" s="2"/>
      <c r="AV375" s="2"/>
      <c r="AW375" s="2"/>
      <c r="AX375" s="2"/>
      <c r="AY375" s="2"/>
      <c r="AZ375" s="2"/>
      <c r="BA375" s="2"/>
      <c r="BB375" s="2"/>
      <c r="BC375" s="2"/>
      <c r="BD375" s="2"/>
      <c r="BE375" s="2"/>
      <c r="BK375" s="2"/>
      <c r="BM375" s="2"/>
      <c r="BN375" s="2"/>
      <c r="BO375" s="2"/>
      <c r="BS375" s="11"/>
      <c r="BT375" s="2"/>
      <c r="BU375" s="3"/>
      <c r="BV375" s="3"/>
      <c r="BW375" s="2"/>
      <c r="BX375" s="2"/>
      <c r="BY375" s="2"/>
      <c r="BZ375" s="2"/>
      <c r="CA375" s="2"/>
      <c r="CB375" s="2"/>
      <c r="CC375" s="2"/>
      <c r="CD375" s="1"/>
      <c r="CE375" s="1"/>
      <c r="CF375" s="1"/>
      <c r="CG375" s="1"/>
      <c r="CH375" s="1"/>
      <c r="CI375" s="2"/>
      <c r="CJ375" s="2"/>
      <c r="CK375" s="2"/>
      <c r="CL375" s="2"/>
      <c r="CM375" s="2"/>
      <c r="CN375" s="2"/>
      <c r="CO375" s="2"/>
      <c r="CP375" s="2"/>
      <c r="CQ375" s="2"/>
      <c r="CR375" s="2"/>
      <c r="CS375" s="2"/>
      <c r="CT375" s="2"/>
      <c r="CU375" s="2"/>
      <c r="CV375" s="2"/>
      <c r="CW375" s="2"/>
      <c r="CX375" s="2"/>
      <c r="CY375" s="2"/>
      <c r="CZ375" s="2"/>
    </row>
    <row r="376" spans="44:104" ht="15" hidden="1" customHeight="1" x14ac:dyDescent="0.2">
      <c r="AR376" s="2"/>
      <c r="AS376" s="2"/>
      <c r="AT376" s="2"/>
      <c r="AU376" s="2"/>
      <c r="AV376" s="2"/>
      <c r="AW376" s="2"/>
      <c r="AX376" s="2"/>
      <c r="AY376" s="2"/>
      <c r="AZ376" s="2"/>
      <c r="BA376" s="2"/>
      <c r="BB376" s="2"/>
      <c r="BC376" s="2"/>
      <c r="BD376" s="2"/>
      <c r="BE376" s="2"/>
      <c r="BK376" s="2"/>
      <c r="BM376" s="2"/>
      <c r="BN376" s="2"/>
      <c r="BO376" s="2"/>
      <c r="BS376" s="11"/>
      <c r="BT376" s="2"/>
      <c r="BU376" s="3"/>
      <c r="BV376" s="3"/>
      <c r="BW376" s="2"/>
      <c r="BX376" s="2"/>
      <c r="BY376" s="2"/>
      <c r="BZ376" s="2"/>
      <c r="CA376" s="2"/>
      <c r="CB376" s="2"/>
      <c r="CC376" s="2"/>
      <c r="CD376" s="1"/>
      <c r="CE376" s="1"/>
      <c r="CF376" s="1"/>
      <c r="CG376" s="1"/>
      <c r="CH376" s="1"/>
      <c r="CI376" s="2"/>
      <c r="CJ376" s="2"/>
      <c r="CK376" s="2"/>
      <c r="CL376" s="2"/>
      <c r="CM376" s="2"/>
      <c r="CN376" s="2"/>
      <c r="CO376" s="2"/>
      <c r="CP376" s="2"/>
      <c r="CQ376" s="2"/>
      <c r="CR376" s="2"/>
      <c r="CS376" s="2"/>
      <c r="CT376" s="2"/>
      <c r="CU376" s="2"/>
      <c r="CV376" s="2"/>
      <c r="CW376" s="2"/>
      <c r="CX376" s="2"/>
      <c r="CY376" s="2"/>
      <c r="CZ376" s="2"/>
    </row>
    <row r="377" spans="44:104" ht="15" hidden="1" customHeight="1" x14ac:dyDescent="0.2">
      <c r="AR377" s="2"/>
      <c r="AS377" s="2"/>
      <c r="AT377" s="2"/>
      <c r="AU377" s="2"/>
      <c r="AV377" s="2"/>
      <c r="AW377" s="2"/>
      <c r="AX377" s="2"/>
      <c r="AY377" s="2"/>
      <c r="AZ377" s="2"/>
      <c r="BA377" s="2"/>
      <c r="BB377" s="2"/>
      <c r="BC377" s="2"/>
      <c r="BD377" s="2"/>
      <c r="BE377" s="2"/>
      <c r="BK377" s="2"/>
      <c r="BM377" s="2"/>
      <c r="BN377" s="2"/>
      <c r="BO377" s="2"/>
      <c r="BS377" s="11"/>
      <c r="BT377" s="2"/>
      <c r="BU377" s="3"/>
      <c r="BV377" s="3"/>
      <c r="BW377" s="2"/>
      <c r="BX377" s="2"/>
      <c r="BY377" s="2"/>
      <c r="BZ377" s="2"/>
      <c r="CA377" s="2"/>
      <c r="CB377" s="2"/>
      <c r="CC377" s="2"/>
      <c r="CD377" s="1"/>
      <c r="CE377" s="1"/>
      <c r="CF377" s="1"/>
      <c r="CG377" s="1"/>
      <c r="CH377" s="1"/>
      <c r="CI377" s="2"/>
      <c r="CJ377" s="2"/>
      <c r="CK377" s="2"/>
      <c r="CL377" s="2"/>
      <c r="CM377" s="2"/>
      <c r="CN377" s="2"/>
      <c r="CO377" s="2"/>
      <c r="CP377" s="2"/>
      <c r="CQ377" s="2"/>
      <c r="CR377" s="2"/>
      <c r="CS377" s="2"/>
      <c r="CT377" s="2"/>
      <c r="CU377" s="2"/>
      <c r="CV377" s="2"/>
      <c r="CW377" s="2"/>
      <c r="CX377" s="2"/>
      <c r="CY377" s="2"/>
      <c r="CZ377" s="2"/>
    </row>
    <row r="378" spans="44:104" ht="15" hidden="1" customHeight="1" x14ac:dyDescent="0.2">
      <c r="AR378" s="2"/>
      <c r="AS378" s="2"/>
      <c r="AT378" s="2"/>
      <c r="AU378" s="2"/>
      <c r="AV378" s="2"/>
      <c r="AW378" s="2"/>
      <c r="AX378" s="2"/>
      <c r="AY378" s="2"/>
      <c r="AZ378" s="2"/>
      <c r="BA378" s="2"/>
      <c r="BB378" s="2"/>
      <c r="BC378" s="2"/>
      <c r="BD378" s="2"/>
      <c r="BE378" s="2"/>
      <c r="BK378" s="2"/>
      <c r="BM378" s="2"/>
      <c r="BN378" s="2"/>
      <c r="BO378" s="2"/>
      <c r="BS378" s="11"/>
      <c r="BT378" s="2"/>
      <c r="BU378" s="3"/>
      <c r="BV378" s="3"/>
      <c r="BW378" s="2"/>
      <c r="BX378" s="2"/>
      <c r="BY378" s="2"/>
      <c r="BZ378" s="2"/>
      <c r="CA378" s="2"/>
      <c r="CB378" s="2"/>
      <c r="CC378" s="2"/>
      <c r="CD378" s="1"/>
      <c r="CE378" s="1"/>
      <c r="CF378" s="1"/>
      <c r="CG378" s="1"/>
      <c r="CH378" s="1"/>
      <c r="CI378" s="2"/>
      <c r="CJ378" s="2"/>
      <c r="CK378" s="2"/>
      <c r="CL378" s="2"/>
      <c r="CM378" s="2"/>
      <c r="CN378" s="2"/>
      <c r="CO378" s="2"/>
      <c r="CP378" s="2"/>
      <c r="CQ378" s="2"/>
      <c r="CR378" s="2"/>
      <c r="CS378" s="2"/>
      <c r="CT378" s="2"/>
      <c r="CU378" s="2"/>
      <c r="CV378" s="2"/>
      <c r="CW378" s="2"/>
      <c r="CX378" s="2"/>
      <c r="CY378" s="2"/>
      <c r="CZ378" s="2"/>
    </row>
    <row r="379" spans="44:104" ht="15" hidden="1" customHeight="1" x14ac:dyDescent="0.2">
      <c r="AR379" s="2"/>
      <c r="AS379" s="2"/>
      <c r="AT379" s="2"/>
      <c r="AU379" s="2"/>
      <c r="AV379" s="2"/>
      <c r="AW379" s="2"/>
      <c r="AX379" s="2"/>
      <c r="AY379" s="2"/>
      <c r="AZ379" s="2"/>
      <c r="BA379" s="2"/>
      <c r="BB379" s="2"/>
      <c r="BC379" s="2"/>
      <c r="BD379" s="2"/>
      <c r="BE379" s="2"/>
      <c r="BK379" s="2"/>
      <c r="BM379" s="2"/>
      <c r="BN379" s="2"/>
      <c r="BO379" s="2"/>
      <c r="BS379" s="11"/>
      <c r="BT379" s="2"/>
      <c r="BU379" s="3"/>
      <c r="BV379" s="3"/>
      <c r="BW379" s="2"/>
      <c r="BX379" s="2"/>
      <c r="BY379" s="2"/>
      <c r="BZ379" s="2"/>
      <c r="CA379" s="2"/>
      <c r="CB379" s="2"/>
      <c r="CC379" s="2"/>
      <c r="CD379" s="1"/>
      <c r="CE379" s="1"/>
      <c r="CF379" s="1"/>
      <c r="CG379" s="1"/>
      <c r="CH379" s="1"/>
      <c r="CI379" s="2"/>
      <c r="CJ379" s="2"/>
      <c r="CK379" s="2"/>
      <c r="CL379" s="2"/>
      <c r="CM379" s="2"/>
      <c r="CN379" s="2"/>
      <c r="CO379" s="2"/>
      <c r="CP379" s="2"/>
      <c r="CQ379" s="2"/>
      <c r="CR379" s="2"/>
      <c r="CS379" s="2"/>
      <c r="CT379" s="2"/>
      <c r="CU379" s="2"/>
      <c r="CV379" s="2"/>
      <c r="CW379" s="2"/>
      <c r="CX379" s="2"/>
      <c r="CY379" s="2"/>
      <c r="CZ379" s="2"/>
    </row>
    <row r="380" spans="44:104" ht="15" hidden="1" customHeight="1" x14ac:dyDescent="0.2">
      <c r="AR380" s="2"/>
      <c r="AS380" s="2"/>
      <c r="AT380" s="2"/>
      <c r="AU380" s="2"/>
      <c r="AV380" s="2"/>
      <c r="AW380" s="2"/>
      <c r="AX380" s="2"/>
      <c r="AY380" s="2"/>
      <c r="AZ380" s="2"/>
      <c r="BA380" s="2"/>
      <c r="BB380" s="2"/>
      <c r="BC380" s="2"/>
      <c r="BD380" s="2"/>
      <c r="BE380" s="2"/>
      <c r="BK380" s="2"/>
      <c r="BM380" s="2"/>
      <c r="BN380" s="2"/>
      <c r="BO380" s="2"/>
      <c r="BS380" s="11"/>
      <c r="BT380" s="2"/>
      <c r="BU380" s="3"/>
      <c r="BV380" s="3"/>
      <c r="BW380" s="2"/>
      <c r="BX380" s="2"/>
      <c r="BY380" s="2"/>
      <c r="BZ380" s="2"/>
      <c r="CA380" s="2"/>
      <c r="CB380" s="2"/>
      <c r="CC380" s="2"/>
      <c r="CD380" s="1"/>
      <c r="CE380" s="1"/>
      <c r="CF380" s="1"/>
      <c r="CG380" s="1"/>
      <c r="CH380" s="1"/>
      <c r="CI380" s="2"/>
      <c r="CJ380" s="2"/>
      <c r="CK380" s="2"/>
      <c r="CL380" s="2"/>
      <c r="CM380" s="2"/>
      <c r="CN380" s="2"/>
      <c r="CO380" s="2"/>
      <c r="CP380" s="2"/>
      <c r="CQ380" s="2"/>
      <c r="CR380" s="2"/>
      <c r="CS380" s="2"/>
      <c r="CT380" s="2"/>
      <c r="CU380" s="2"/>
      <c r="CV380" s="2"/>
      <c r="CW380" s="2"/>
      <c r="CX380" s="2"/>
      <c r="CY380" s="2"/>
      <c r="CZ380" s="2"/>
    </row>
    <row r="381" spans="44:104" ht="15" hidden="1" customHeight="1" x14ac:dyDescent="0.2">
      <c r="AR381" s="2"/>
      <c r="AS381" s="2"/>
      <c r="AT381" s="2"/>
      <c r="AU381" s="2"/>
      <c r="AV381" s="2"/>
      <c r="AW381" s="2"/>
      <c r="AX381" s="2"/>
      <c r="AY381" s="2"/>
      <c r="AZ381" s="2"/>
      <c r="BA381" s="2"/>
      <c r="BB381" s="2"/>
      <c r="BC381" s="2"/>
      <c r="BD381" s="2"/>
      <c r="BE381" s="2"/>
      <c r="BK381" s="2"/>
      <c r="BM381" s="2"/>
      <c r="BN381" s="2"/>
      <c r="BO381" s="2"/>
      <c r="BS381" s="11"/>
      <c r="BT381" s="2"/>
      <c r="BU381" s="3"/>
      <c r="BV381" s="3"/>
      <c r="BW381" s="2"/>
      <c r="BX381" s="2"/>
      <c r="BY381" s="2"/>
      <c r="BZ381" s="2"/>
      <c r="CA381" s="2"/>
      <c r="CB381" s="2"/>
      <c r="CC381" s="2"/>
      <c r="CD381" s="1"/>
      <c r="CE381" s="1"/>
      <c r="CF381" s="1"/>
      <c r="CG381" s="1"/>
      <c r="CH381" s="1"/>
      <c r="CI381" s="2"/>
      <c r="CJ381" s="2"/>
      <c r="CK381" s="2"/>
      <c r="CL381" s="2"/>
      <c r="CM381" s="2"/>
      <c r="CN381" s="2"/>
      <c r="CO381" s="2"/>
      <c r="CP381" s="2"/>
      <c r="CQ381" s="2"/>
      <c r="CR381" s="2"/>
      <c r="CS381" s="2"/>
      <c r="CT381" s="2"/>
      <c r="CU381" s="2"/>
      <c r="CV381" s="2"/>
      <c r="CW381" s="2"/>
      <c r="CX381" s="2"/>
      <c r="CY381" s="2"/>
      <c r="CZ381" s="2"/>
    </row>
    <row r="382" spans="44:104" ht="15" hidden="1" customHeight="1" x14ac:dyDescent="0.2">
      <c r="AR382" s="2"/>
      <c r="AS382" s="2"/>
      <c r="AT382" s="2"/>
      <c r="AU382" s="2"/>
      <c r="AV382" s="2"/>
      <c r="AW382" s="2"/>
      <c r="AX382" s="2"/>
      <c r="AY382" s="2"/>
      <c r="AZ382" s="2"/>
      <c r="BA382" s="2"/>
      <c r="BB382" s="2"/>
      <c r="BC382" s="2"/>
      <c r="BD382" s="2"/>
      <c r="BE382" s="2"/>
      <c r="BK382" s="2"/>
      <c r="BM382" s="2"/>
      <c r="BN382" s="2"/>
      <c r="BO382" s="2"/>
      <c r="BS382" s="11"/>
      <c r="BT382" s="2"/>
      <c r="BU382" s="3"/>
      <c r="BV382" s="3"/>
      <c r="BW382" s="2"/>
      <c r="BX382" s="2"/>
      <c r="BY382" s="2"/>
      <c r="BZ382" s="2"/>
      <c r="CA382" s="2"/>
      <c r="CB382" s="2"/>
      <c r="CC382" s="2"/>
      <c r="CD382" s="1"/>
      <c r="CE382" s="1"/>
      <c r="CF382" s="1"/>
      <c r="CG382" s="1"/>
      <c r="CH382" s="1"/>
      <c r="CI382" s="2"/>
      <c r="CJ382" s="2"/>
      <c r="CK382" s="2"/>
      <c r="CL382" s="2"/>
      <c r="CM382" s="2"/>
      <c r="CN382" s="2"/>
      <c r="CO382" s="2"/>
      <c r="CP382" s="2"/>
      <c r="CQ382" s="2"/>
      <c r="CR382" s="2"/>
      <c r="CS382" s="2"/>
      <c r="CT382" s="2"/>
      <c r="CU382" s="2"/>
      <c r="CV382" s="2"/>
      <c r="CW382" s="2"/>
      <c r="CX382" s="2"/>
      <c r="CY382" s="2"/>
      <c r="CZ382" s="2"/>
    </row>
    <row r="383" spans="44:104" ht="15" hidden="1" customHeight="1" x14ac:dyDescent="0.2">
      <c r="AR383" s="2"/>
      <c r="AS383" s="2"/>
      <c r="AT383" s="2"/>
      <c r="AU383" s="2"/>
      <c r="AV383" s="2"/>
      <c r="AW383" s="2"/>
      <c r="AX383" s="2"/>
      <c r="AY383" s="2"/>
      <c r="AZ383" s="2"/>
      <c r="BA383" s="2"/>
      <c r="BB383" s="2"/>
      <c r="BC383" s="2"/>
      <c r="BD383" s="2"/>
      <c r="BE383" s="2"/>
      <c r="BK383" s="2"/>
      <c r="BM383" s="2"/>
      <c r="BN383" s="2"/>
      <c r="BO383" s="2"/>
      <c r="BS383" s="11"/>
      <c r="BT383" s="2"/>
      <c r="BU383" s="3"/>
      <c r="BV383" s="3"/>
      <c r="BW383" s="2"/>
      <c r="BX383" s="2"/>
      <c r="BY383" s="2"/>
      <c r="BZ383" s="2"/>
      <c r="CA383" s="2"/>
      <c r="CB383" s="2"/>
      <c r="CC383" s="2"/>
      <c r="CD383" s="1"/>
      <c r="CE383" s="1"/>
      <c r="CF383" s="1"/>
      <c r="CG383" s="1"/>
      <c r="CH383" s="1"/>
      <c r="CI383" s="2"/>
      <c r="CJ383" s="2"/>
      <c r="CK383" s="2"/>
      <c r="CL383" s="2"/>
      <c r="CM383" s="2"/>
      <c r="CN383" s="2"/>
      <c r="CO383" s="2"/>
      <c r="CP383" s="2"/>
      <c r="CQ383" s="2"/>
      <c r="CR383" s="2"/>
      <c r="CS383" s="2"/>
      <c r="CT383" s="2"/>
      <c r="CU383" s="2"/>
      <c r="CV383" s="2"/>
      <c r="CW383" s="2"/>
      <c r="CX383" s="2"/>
      <c r="CY383" s="2"/>
      <c r="CZ383" s="2"/>
    </row>
    <row r="384" spans="44:104" ht="15" hidden="1" customHeight="1" x14ac:dyDescent="0.2">
      <c r="AR384" s="2"/>
      <c r="AS384" s="2"/>
      <c r="AT384" s="2"/>
      <c r="AU384" s="2"/>
      <c r="AV384" s="2"/>
      <c r="AW384" s="2"/>
      <c r="AX384" s="2"/>
      <c r="AY384" s="2"/>
      <c r="AZ384" s="2"/>
      <c r="BA384" s="2"/>
      <c r="BB384" s="2"/>
      <c r="BC384" s="2"/>
      <c r="BD384" s="2"/>
      <c r="BE384" s="2"/>
      <c r="BK384" s="2"/>
      <c r="BM384" s="2"/>
      <c r="BN384" s="2"/>
      <c r="BO384" s="2"/>
      <c r="BS384" s="11"/>
      <c r="BT384" s="2"/>
      <c r="BU384" s="3"/>
      <c r="BV384" s="3"/>
      <c r="BW384" s="2"/>
      <c r="BX384" s="2"/>
      <c r="BY384" s="2"/>
      <c r="BZ384" s="2"/>
      <c r="CA384" s="2"/>
      <c r="CB384" s="2"/>
      <c r="CC384" s="2"/>
      <c r="CD384" s="1"/>
      <c r="CE384" s="1"/>
      <c r="CF384" s="1"/>
      <c r="CG384" s="1"/>
      <c r="CH384" s="1"/>
      <c r="CI384" s="2"/>
      <c r="CJ384" s="2"/>
      <c r="CK384" s="2"/>
      <c r="CL384" s="2"/>
      <c r="CM384" s="2"/>
      <c r="CN384" s="2"/>
      <c r="CO384" s="2"/>
      <c r="CP384" s="2"/>
      <c r="CQ384" s="2"/>
      <c r="CR384" s="2"/>
      <c r="CS384" s="2"/>
      <c r="CT384" s="2"/>
      <c r="CU384" s="2"/>
      <c r="CV384" s="2"/>
      <c r="CW384" s="2"/>
      <c r="CX384" s="2"/>
      <c r="CY384" s="2"/>
      <c r="CZ384" s="2"/>
    </row>
    <row r="385" spans="44:104" ht="15" hidden="1" customHeight="1" x14ac:dyDescent="0.2">
      <c r="AR385" s="2"/>
      <c r="AS385" s="2"/>
      <c r="AT385" s="2"/>
      <c r="AU385" s="2"/>
      <c r="AV385" s="2"/>
      <c r="AW385" s="2"/>
      <c r="AX385" s="2"/>
      <c r="AY385" s="2"/>
      <c r="AZ385" s="2"/>
      <c r="BA385" s="2"/>
      <c r="BB385" s="2"/>
      <c r="BC385" s="2"/>
      <c r="BD385" s="2"/>
      <c r="BE385" s="2"/>
      <c r="BK385" s="2"/>
      <c r="BM385" s="2"/>
      <c r="BN385" s="2"/>
      <c r="BO385" s="2"/>
      <c r="BS385" s="11"/>
      <c r="BT385" s="2"/>
      <c r="BU385" s="3"/>
      <c r="BV385" s="3"/>
      <c r="BW385" s="2"/>
      <c r="BX385" s="2"/>
      <c r="BY385" s="2"/>
      <c r="BZ385" s="2"/>
      <c r="CA385" s="2"/>
      <c r="CB385" s="2"/>
      <c r="CC385" s="2"/>
      <c r="CD385" s="1"/>
      <c r="CE385" s="1"/>
      <c r="CF385" s="1"/>
      <c r="CG385" s="1"/>
      <c r="CH385" s="1"/>
      <c r="CI385" s="2"/>
      <c r="CJ385" s="2"/>
      <c r="CK385" s="2"/>
      <c r="CL385" s="2"/>
      <c r="CM385" s="2"/>
      <c r="CN385" s="2"/>
      <c r="CO385" s="2"/>
      <c r="CP385" s="2"/>
      <c r="CQ385" s="2"/>
      <c r="CR385" s="2"/>
      <c r="CS385" s="2"/>
      <c r="CT385" s="2"/>
      <c r="CU385" s="2"/>
      <c r="CV385" s="2"/>
      <c r="CW385" s="2"/>
      <c r="CX385" s="2"/>
      <c r="CY385" s="2"/>
      <c r="CZ385" s="2"/>
    </row>
    <row r="386" spans="44:104" ht="15" hidden="1" customHeight="1" x14ac:dyDescent="0.2">
      <c r="AR386" s="2"/>
      <c r="AS386" s="2"/>
      <c r="AT386" s="2"/>
      <c r="AU386" s="2"/>
      <c r="AV386" s="2"/>
      <c r="AW386" s="2"/>
      <c r="AX386" s="2"/>
      <c r="AY386" s="2"/>
      <c r="AZ386" s="2"/>
      <c r="BA386" s="2"/>
      <c r="BB386" s="2"/>
      <c r="BC386" s="2"/>
      <c r="BD386" s="2"/>
      <c r="BE386" s="2"/>
      <c r="BK386" s="2"/>
      <c r="BM386" s="2"/>
      <c r="BN386" s="2"/>
      <c r="BO386" s="2"/>
      <c r="BS386" s="11"/>
      <c r="BT386" s="2"/>
      <c r="BU386" s="3"/>
      <c r="BV386" s="3"/>
      <c r="BW386" s="2"/>
      <c r="BX386" s="2"/>
      <c r="BY386" s="2"/>
      <c r="BZ386" s="2"/>
      <c r="CA386" s="2"/>
      <c r="CB386" s="2"/>
      <c r="CC386" s="2"/>
      <c r="CD386" s="1"/>
      <c r="CE386" s="1"/>
      <c r="CF386" s="1"/>
      <c r="CG386" s="1"/>
      <c r="CH386" s="1"/>
      <c r="CI386" s="2"/>
      <c r="CJ386" s="2"/>
      <c r="CK386" s="2"/>
      <c r="CL386" s="2"/>
      <c r="CM386" s="2"/>
      <c r="CN386" s="2"/>
      <c r="CO386" s="2"/>
      <c r="CP386" s="2"/>
      <c r="CQ386" s="2"/>
      <c r="CR386" s="2"/>
      <c r="CS386" s="2"/>
      <c r="CT386" s="2"/>
      <c r="CU386" s="2"/>
      <c r="CV386" s="2"/>
      <c r="CW386" s="2"/>
      <c r="CX386" s="2"/>
      <c r="CY386" s="2"/>
      <c r="CZ386" s="2"/>
    </row>
    <row r="387" spans="44:104" ht="15" hidden="1" customHeight="1" x14ac:dyDescent="0.2">
      <c r="AR387" s="2"/>
      <c r="AS387" s="2"/>
      <c r="AT387" s="2"/>
      <c r="AU387" s="2"/>
      <c r="AV387" s="2"/>
      <c r="AW387" s="2"/>
      <c r="AX387" s="2"/>
      <c r="AY387" s="2"/>
      <c r="AZ387" s="2"/>
      <c r="BA387" s="2"/>
      <c r="BB387" s="2"/>
      <c r="BC387" s="2"/>
      <c r="BD387" s="2"/>
      <c r="BE387" s="2"/>
      <c r="BK387" s="2"/>
      <c r="BM387" s="2"/>
      <c r="BN387" s="2"/>
      <c r="BO387" s="2"/>
      <c r="BS387" s="11"/>
      <c r="BT387" s="2"/>
      <c r="BU387" s="3"/>
      <c r="BV387" s="3"/>
      <c r="BW387" s="2"/>
      <c r="BX387" s="2"/>
      <c r="BY387" s="2"/>
      <c r="BZ387" s="46"/>
      <c r="CA387" s="1"/>
      <c r="CB387" s="1"/>
      <c r="CC387" s="1"/>
      <c r="CD387" s="1"/>
      <c r="CE387" s="1"/>
      <c r="CF387" s="1"/>
      <c r="CG387" s="1"/>
      <c r="CH387" s="1"/>
      <c r="CI387" s="2"/>
      <c r="CJ387" s="2"/>
      <c r="CK387" s="2"/>
      <c r="CL387" s="2"/>
      <c r="CM387" s="2"/>
      <c r="CN387" s="2"/>
      <c r="CO387" s="2"/>
      <c r="CP387" s="2"/>
      <c r="CQ387" s="2"/>
      <c r="CR387" s="2"/>
      <c r="CS387" s="2"/>
      <c r="CT387" s="2"/>
      <c r="CU387" s="2"/>
      <c r="CV387" s="2"/>
      <c r="CW387" s="2"/>
      <c r="CX387" s="2"/>
      <c r="CY387" s="2"/>
      <c r="CZ387" s="2"/>
    </row>
    <row r="388" spans="44:104" ht="15" hidden="1" customHeight="1" x14ac:dyDescent="0.2">
      <c r="AR388" s="2"/>
      <c r="AS388" s="2"/>
      <c r="AT388" s="2"/>
      <c r="AU388" s="2"/>
      <c r="AV388" s="2"/>
      <c r="AW388" s="2"/>
      <c r="AX388" s="2"/>
      <c r="AY388" s="2"/>
      <c r="AZ388" s="2"/>
      <c r="BA388" s="2"/>
      <c r="BB388" s="2"/>
      <c r="BC388" s="2"/>
      <c r="BD388" s="2"/>
      <c r="BE388" s="2"/>
      <c r="BK388" s="2"/>
      <c r="BM388" s="2"/>
      <c r="BN388" s="2"/>
      <c r="BO388" s="2"/>
      <c r="BS388" s="11"/>
      <c r="BT388" s="2"/>
      <c r="BU388" s="3"/>
      <c r="BV388" s="3"/>
      <c r="BW388" s="2"/>
      <c r="BX388" s="2"/>
      <c r="BY388" s="2"/>
      <c r="BZ388" s="2"/>
      <c r="CA388" s="2"/>
      <c r="CB388" s="2"/>
      <c r="CC388" s="2"/>
      <c r="CD388" s="1"/>
      <c r="CE388" s="1"/>
      <c r="CF388" s="1"/>
      <c r="CG388" s="1"/>
      <c r="CH388" s="1"/>
      <c r="CI388" s="2"/>
      <c r="CJ388" s="2"/>
      <c r="CK388" s="2"/>
      <c r="CL388" s="2"/>
      <c r="CM388" s="2"/>
      <c r="CN388" s="2"/>
      <c r="CO388" s="2"/>
      <c r="CP388" s="2"/>
      <c r="CQ388" s="2"/>
      <c r="CR388" s="2"/>
      <c r="CS388" s="2"/>
      <c r="CT388" s="2"/>
      <c r="CU388" s="2"/>
      <c r="CV388" s="2"/>
      <c r="CW388" s="2"/>
      <c r="CX388" s="2"/>
      <c r="CY388" s="2"/>
      <c r="CZ388" s="2"/>
    </row>
    <row r="389" spans="44:104" ht="15" hidden="1" customHeight="1" x14ac:dyDescent="0.2">
      <c r="AR389" s="2"/>
      <c r="AS389" s="2"/>
      <c r="AT389" s="2"/>
      <c r="AU389" s="2"/>
      <c r="AV389" s="2"/>
      <c r="AW389" s="2"/>
      <c r="AX389" s="2"/>
      <c r="AY389" s="2"/>
      <c r="AZ389" s="2"/>
      <c r="BA389" s="2"/>
      <c r="BB389" s="2"/>
      <c r="BC389" s="2"/>
      <c r="BD389" s="2"/>
      <c r="BE389" s="2"/>
      <c r="BK389" s="2"/>
      <c r="BM389" s="2"/>
      <c r="BN389" s="2"/>
      <c r="BO389" s="2"/>
      <c r="BS389" s="11"/>
      <c r="BT389" s="2"/>
      <c r="BU389" s="3"/>
      <c r="BV389" s="3"/>
      <c r="BW389" s="2"/>
      <c r="BX389" s="2"/>
      <c r="BY389" s="2"/>
      <c r="BZ389" s="2"/>
      <c r="CA389" s="2"/>
      <c r="CB389" s="2"/>
      <c r="CC389" s="2"/>
      <c r="CD389" s="1"/>
      <c r="CE389" s="1"/>
      <c r="CF389" s="1"/>
      <c r="CG389" s="1"/>
      <c r="CH389" s="1"/>
      <c r="CI389" s="2"/>
      <c r="CJ389" s="2"/>
      <c r="CK389" s="2"/>
      <c r="CL389" s="2"/>
      <c r="CM389" s="2"/>
      <c r="CN389" s="2"/>
      <c r="CO389" s="2"/>
      <c r="CP389" s="2"/>
      <c r="CQ389" s="2"/>
      <c r="CR389" s="2"/>
      <c r="CS389" s="2"/>
      <c r="CT389" s="2"/>
      <c r="CU389" s="2"/>
      <c r="CV389" s="2"/>
      <c r="CW389" s="2"/>
      <c r="CX389" s="2"/>
      <c r="CY389" s="2"/>
      <c r="CZ389" s="2"/>
    </row>
    <row r="390" spans="44:104" ht="15" hidden="1" customHeight="1" x14ac:dyDescent="0.2">
      <c r="AR390" s="2"/>
      <c r="AS390" s="2"/>
      <c r="AT390" s="2"/>
      <c r="AU390" s="2"/>
      <c r="AV390" s="2"/>
      <c r="AW390" s="2"/>
      <c r="AX390" s="2"/>
      <c r="AY390" s="2"/>
      <c r="AZ390" s="2"/>
      <c r="BA390" s="2"/>
      <c r="BB390" s="2"/>
      <c r="BC390" s="2"/>
      <c r="BD390" s="2"/>
      <c r="BE390" s="2"/>
      <c r="BK390" s="2"/>
      <c r="BM390" s="2"/>
      <c r="BN390" s="2"/>
      <c r="BO390" s="2"/>
      <c r="BS390" s="11"/>
      <c r="BT390" s="2"/>
      <c r="BU390" s="3"/>
      <c r="BV390" s="3"/>
      <c r="BW390" s="2"/>
      <c r="BX390" s="2"/>
      <c r="BY390" s="2"/>
      <c r="BZ390" s="2"/>
      <c r="CA390" s="2"/>
      <c r="CB390" s="2"/>
      <c r="CC390" s="2"/>
      <c r="CD390" s="1"/>
      <c r="CE390" s="1"/>
      <c r="CF390" s="1"/>
      <c r="CG390" s="1"/>
      <c r="CH390" s="1"/>
      <c r="CI390" s="2"/>
      <c r="CJ390" s="2"/>
      <c r="CK390" s="2"/>
      <c r="CL390" s="2"/>
      <c r="CM390" s="2"/>
      <c r="CN390" s="2"/>
      <c r="CO390" s="2"/>
      <c r="CP390" s="2"/>
      <c r="CQ390" s="2"/>
      <c r="CR390" s="2"/>
      <c r="CS390" s="2"/>
      <c r="CT390" s="2"/>
      <c r="CU390" s="2"/>
      <c r="CV390" s="2"/>
      <c r="CW390" s="2"/>
      <c r="CX390" s="2"/>
      <c r="CY390" s="2"/>
      <c r="CZ390" s="2"/>
    </row>
    <row r="391" spans="44:104" ht="15" hidden="1" customHeight="1" x14ac:dyDescent="0.2">
      <c r="AR391" s="2"/>
      <c r="AS391" s="2"/>
      <c r="AT391" s="2"/>
      <c r="AU391" s="2"/>
      <c r="AV391" s="2"/>
      <c r="AW391" s="2"/>
      <c r="AX391" s="2"/>
      <c r="AY391" s="2"/>
      <c r="AZ391" s="2"/>
      <c r="BA391" s="2"/>
      <c r="BB391" s="2"/>
      <c r="BC391" s="2"/>
      <c r="BD391" s="2"/>
      <c r="BE391" s="2"/>
      <c r="BK391" s="2"/>
      <c r="BM391" s="2"/>
      <c r="BN391" s="2"/>
      <c r="BO391" s="2"/>
      <c r="BS391" s="11"/>
      <c r="BT391" s="2"/>
      <c r="BU391" s="3"/>
      <c r="BV391" s="3"/>
      <c r="BW391" s="2"/>
      <c r="BX391" s="2"/>
      <c r="BY391" s="2"/>
      <c r="BZ391" s="2"/>
      <c r="CA391" s="2"/>
      <c r="CB391" s="2"/>
      <c r="CC391" s="2"/>
      <c r="CD391" s="1"/>
      <c r="CE391" s="1"/>
      <c r="CF391" s="1"/>
      <c r="CG391" s="1"/>
      <c r="CH391" s="1"/>
      <c r="CI391" s="2"/>
      <c r="CJ391" s="2"/>
      <c r="CK391" s="2"/>
      <c r="CL391" s="2"/>
      <c r="CM391" s="2"/>
      <c r="CN391" s="2"/>
      <c r="CO391" s="2"/>
      <c r="CP391" s="2"/>
      <c r="CQ391" s="2"/>
      <c r="CR391" s="2"/>
      <c r="CS391" s="2"/>
      <c r="CT391" s="2"/>
      <c r="CU391" s="2"/>
      <c r="CV391" s="2"/>
      <c r="CW391" s="2"/>
      <c r="CX391" s="2"/>
      <c r="CY391" s="2"/>
      <c r="CZ391" s="2"/>
    </row>
    <row r="392" spans="44:104" ht="15" hidden="1" customHeight="1" x14ac:dyDescent="0.2">
      <c r="AR392" s="2"/>
      <c r="AS392" s="2"/>
      <c r="AT392" s="2"/>
      <c r="AU392" s="2"/>
      <c r="AV392" s="2"/>
      <c r="AW392" s="2"/>
      <c r="AX392" s="2"/>
      <c r="AY392" s="2"/>
      <c r="AZ392" s="2"/>
      <c r="BA392" s="2"/>
      <c r="BB392" s="2"/>
      <c r="BC392" s="2"/>
      <c r="BD392" s="2"/>
      <c r="BE392" s="2"/>
      <c r="BK392" s="2"/>
      <c r="BM392" s="2"/>
      <c r="BN392" s="2"/>
      <c r="BO392" s="2"/>
      <c r="BS392" s="11"/>
      <c r="BT392" s="2"/>
      <c r="BU392" s="3"/>
      <c r="BV392" s="3"/>
      <c r="BW392" s="2"/>
      <c r="BX392" s="2"/>
      <c r="BY392" s="2"/>
      <c r="BZ392" s="2"/>
      <c r="CA392" s="2"/>
      <c r="CB392" s="2"/>
      <c r="CC392" s="2"/>
      <c r="CD392" s="1"/>
      <c r="CE392" s="1"/>
      <c r="CF392" s="1"/>
      <c r="CG392" s="1"/>
      <c r="CH392" s="1"/>
      <c r="CI392" s="2"/>
      <c r="CJ392" s="2"/>
      <c r="CK392" s="2"/>
      <c r="CL392" s="2"/>
      <c r="CM392" s="2"/>
      <c r="CN392" s="2"/>
      <c r="CO392" s="2"/>
      <c r="CP392" s="2"/>
      <c r="CQ392" s="2"/>
      <c r="CR392" s="2"/>
      <c r="CS392" s="2"/>
      <c r="CT392" s="2"/>
      <c r="CU392" s="2"/>
      <c r="CV392" s="2"/>
      <c r="CW392" s="2"/>
      <c r="CX392" s="2"/>
      <c r="CY392" s="2"/>
      <c r="CZ392" s="2"/>
    </row>
    <row r="393" spans="44:104" ht="15" hidden="1" customHeight="1" x14ac:dyDescent="0.2">
      <c r="AR393" s="2"/>
      <c r="AS393" s="2"/>
      <c r="AT393" s="2"/>
      <c r="AU393" s="2"/>
      <c r="AV393" s="2"/>
      <c r="AW393" s="2"/>
      <c r="AX393" s="2"/>
      <c r="AY393" s="2"/>
      <c r="AZ393" s="2"/>
      <c r="BA393" s="2"/>
      <c r="BB393" s="2"/>
      <c r="BC393" s="2"/>
      <c r="BD393" s="2"/>
      <c r="BE393" s="2"/>
      <c r="BK393" s="2"/>
      <c r="BM393" s="2"/>
      <c r="BN393" s="2"/>
      <c r="BO393" s="2"/>
      <c r="BS393" s="11"/>
      <c r="BT393" s="2"/>
      <c r="BU393" s="3"/>
      <c r="BV393" s="3"/>
      <c r="BW393" s="2"/>
      <c r="BX393" s="2"/>
      <c r="BY393" s="2"/>
      <c r="BZ393" s="2"/>
      <c r="CA393" s="2"/>
      <c r="CB393" s="2"/>
      <c r="CC393" s="2"/>
      <c r="CD393" s="1"/>
      <c r="CE393" s="1"/>
      <c r="CF393" s="1"/>
      <c r="CG393" s="1"/>
      <c r="CH393" s="1"/>
      <c r="CI393" s="2"/>
      <c r="CJ393" s="2"/>
      <c r="CK393" s="2"/>
      <c r="CL393" s="2"/>
      <c r="CM393" s="2"/>
      <c r="CN393" s="2"/>
      <c r="CO393" s="2"/>
      <c r="CP393" s="2"/>
      <c r="CQ393" s="2"/>
      <c r="CR393" s="2"/>
      <c r="CS393" s="2"/>
      <c r="CT393" s="2"/>
      <c r="CU393" s="2"/>
      <c r="CV393" s="2"/>
      <c r="CW393" s="2"/>
      <c r="CX393" s="2"/>
      <c r="CY393" s="2"/>
      <c r="CZ393" s="2"/>
    </row>
    <row r="394" spans="44:104" ht="15" hidden="1" customHeight="1" x14ac:dyDescent="0.2">
      <c r="AR394" s="2"/>
      <c r="AS394" s="2"/>
      <c r="AT394" s="2"/>
      <c r="AU394" s="2"/>
      <c r="AV394" s="2"/>
      <c r="AW394" s="2"/>
      <c r="AX394" s="2"/>
      <c r="AY394" s="2"/>
      <c r="AZ394" s="2"/>
      <c r="BA394" s="2"/>
      <c r="BB394" s="2"/>
      <c r="BC394" s="2"/>
      <c r="BD394" s="2"/>
      <c r="BE394" s="2"/>
      <c r="BK394" s="2"/>
      <c r="BM394" s="2"/>
      <c r="BN394" s="2"/>
      <c r="BO394" s="2"/>
      <c r="BS394" s="11"/>
      <c r="BT394" s="2"/>
      <c r="BU394" s="3"/>
      <c r="BV394" s="3"/>
      <c r="BW394" s="2"/>
      <c r="BX394" s="2"/>
      <c r="BY394" s="2"/>
      <c r="BZ394" s="2"/>
      <c r="CA394" s="2"/>
      <c r="CB394" s="2"/>
      <c r="CC394" s="2"/>
      <c r="CD394" s="1"/>
      <c r="CE394" s="1"/>
      <c r="CF394" s="1"/>
      <c r="CG394" s="1"/>
      <c r="CH394" s="1"/>
      <c r="CI394" s="2"/>
      <c r="CJ394" s="2"/>
      <c r="CK394" s="2"/>
      <c r="CL394" s="2"/>
      <c r="CM394" s="2"/>
      <c r="CN394" s="2"/>
      <c r="CO394" s="2"/>
      <c r="CP394" s="2"/>
      <c r="CQ394" s="2"/>
      <c r="CR394" s="2"/>
      <c r="CS394" s="2"/>
      <c r="CT394" s="2"/>
      <c r="CU394" s="2"/>
      <c r="CV394" s="2"/>
      <c r="CW394" s="2"/>
      <c r="CX394" s="2"/>
      <c r="CY394" s="2"/>
      <c r="CZ394" s="2"/>
    </row>
    <row r="395" spans="44:104" ht="15" hidden="1" customHeight="1" x14ac:dyDescent="0.2">
      <c r="AR395" s="2"/>
      <c r="AS395" s="2"/>
      <c r="AT395" s="2"/>
      <c r="AU395" s="2"/>
      <c r="AV395" s="2"/>
      <c r="AW395" s="2"/>
      <c r="AX395" s="2"/>
      <c r="AY395" s="2"/>
      <c r="AZ395" s="2"/>
      <c r="BA395" s="2"/>
      <c r="BB395" s="2"/>
      <c r="BC395" s="2"/>
      <c r="BD395" s="2"/>
      <c r="BE395" s="2"/>
      <c r="BK395" s="2"/>
      <c r="BM395" s="2"/>
      <c r="BN395" s="2"/>
      <c r="BO395" s="2"/>
      <c r="BS395" s="11"/>
      <c r="BT395" s="2"/>
      <c r="BU395" s="3"/>
      <c r="BV395" s="3"/>
      <c r="BW395" s="2"/>
      <c r="BX395" s="2"/>
      <c r="BY395" s="2"/>
      <c r="BZ395" s="2"/>
      <c r="CA395" s="2"/>
      <c r="CB395" s="2"/>
      <c r="CC395" s="2"/>
      <c r="CD395" s="1"/>
      <c r="CE395" s="1"/>
      <c r="CF395" s="1"/>
      <c r="CG395" s="1"/>
      <c r="CH395" s="1"/>
      <c r="CI395" s="2"/>
      <c r="CJ395" s="2"/>
      <c r="CK395" s="2"/>
      <c r="CL395" s="2"/>
      <c r="CM395" s="2"/>
      <c r="CN395" s="2"/>
      <c r="CO395" s="2"/>
      <c r="CP395" s="2"/>
      <c r="CQ395" s="2"/>
      <c r="CR395" s="2"/>
      <c r="CS395" s="2"/>
      <c r="CT395" s="2"/>
      <c r="CU395" s="2"/>
      <c r="CV395" s="2"/>
      <c r="CW395" s="2"/>
      <c r="CX395" s="2"/>
      <c r="CY395" s="2"/>
      <c r="CZ395" s="2"/>
    </row>
    <row r="396" spans="44:104" ht="15" hidden="1" customHeight="1" x14ac:dyDescent="0.2">
      <c r="AR396" s="2"/>
      <c r="AS396" s="2"/>
      <c r="AT396" s="2"/>
      <c r="AU396" s="2"/>
      <c r="AV396" s="2"/>
      <c r="AW396" s="2"/>
      <c r="AX396" s="2"/>
      <c r="AY396" s="2"/>
      <c r="AZ396" s="2"/>
      <c r="BA396" s="2"/>
      <c r="BB396" s="2"/>
      <c r="BC396" s="2"/>
      <c r="BD396" s="2"/>
      <c r="BE396" s="2"/>
      <c r="BK396" s="2"/>
      <c r="BM396" s="2"/>
      <c r="BN396" s="2"/>
      <c r="BO396" s="2"/>
      <c r="BS396" s="11"/>
      <c r="BT396" s="2"/>
      <c r="BU396" s="3"/>
      <c r="BV396" s="3"/>
      <c r="BW396" s="2"/>
      <c r="BX396" s="2"/>
      <c r="BY396" s="2"/>
      <c r="BZ396" s="2"/>
      <c r="CA396" s="2"/>
      <c r="CB396" s="2"/>
      <c r="CC396" s="2"/>
      <c r="CD396" s="1"/>
      <c r="CE396" s="1"/>
      <c r="CF396" s="1"/>
      <c r="CG396" s="1"/>
      <c r="CH396" s="1"/>
      <c r="CI396" s="2"/>
      <c r="CJ396" s="2"/>
      <c r="CK396" s="2"/>
      <c r="CL396" s="2"/>
      <c r="CM396" s="2"/>
      <c r="CN396" s="2"/>
      <c r="CO396" s="2"/>
      <c r="CP396" s="2"/>
      <c r="CQ396" s="2"/>
      <c r="CR396" s="2"/>
      <c r="CS396" s="2"/>
      <c r="CT396" s="2"/>
      <c r="CU396" s="2"/>
      <c r="CV396" s="2"/>
      <c r="CW396" s="2"/>
      <c r="CX396" s="2"/>
      <c r="CY396" s="2"/>
      <c r="CZ396" s="2"/>
    </row>
    <row r="397" spans="44:104" ht="15" hidden="1" customHeight="1" x14ac:dyDescent="0.2">
      <c r="AR397" s="2"/>
      <c r="AS397" s="2"/>
      <c r="AT397" s="2"/>
      <c r="AU397" s="2"/>
      <c r="AV397" s="2"/>
      <c r="AW397" s="2"/>
      <c r="AX397" s="2"/>
      <c r="AY397" s="2"/>
      <c r="AZ397" s="2"/>
      <c r="BA397" s="2"/>
      <c r="BB397" s="2"/>
      <c r="BC397" s="2"/>
      <c r="BD397" s="2"/>
      <c r="BE397" s="2"/>
      <c r="BK397" s="2"/>
      <c r="BM397" s="2"/>
      <c r="BN397" s="2"/>
      <c r="BO397" s="2"/>
      <c r="BS397" s="11"/>
      <c r="BT397" s="2"/>
      <c r="BU397" s="3"/>
      <c r="BV397" s="3"/>
      <c r="BW397" s="2"/>
      <c r="BX397" s="2"/>
      <c r="BY397" s="2"/>
      <c r="BZ397" s="2"/>
      <c r="CA397" s="2"/>
      <c r="CB397" s="2"/>
      <c r="CC397" s="2"/>
      <c r="CD397" s="1"/>
      <c r="CE397" s="1"/>
      <c r="CF397" s="1"/>
      <c r="CG397" s="1"/>
      <c r="CH397" s="1"/>
      <c r="CI397" s="2"/>
      <c r="CJ397" s="2"/>
      <c r="CK397" s="2"/>
      <c r="CL397" s="2"/>
      <c r="CM397" s="2"/>
      <c r="CN397" s="2"/>
      <c r="CO397" s="2"/>
      <c r="CP397" s="2"/>
      <c r="CQ397" s="2"/>
      <c r="CR397" s="2"/>
      <c r="CS397" s="2"/>
      <c r="CT397" s="2"/>
      <c r="CU397" s="2"/>
      <c r="CV397" s="2"/>
      <c r="CW397" s="2"/>
      <c r="CX397" s="2"/>
      <c r="CY397" s="2"/>
      <c r="CZ397" s="2"/>
    </row>
    <row r="398" spans="44:104" ht="15" hidden="1" customHeight="1" x14ac:dyDescent="0.2">
      <c r="AR398" s="2"/>
      <c r="AS398" s="2"/>
      <c r="AT398" s="2"/>
      <c r="AU398" s="2"/>
      <c r="AV398" s="2"/>
      <c r="AW398" s="2"/>
      <c r="AX398" s="2"/>
      <c r="AY398" s="2"/>
      <c r="AZ398" s="2"/>
      <c r="BA398" s="2"/>
      <c r="BB398" s="2"/>
      <c r="BC398" s="2"/>
      <c r="BD398" s="2"/>
      <c r="BE398" s="2"/>
      <c r="BK398" s="2"/>
      <c r="BM398" s="2"/>
      <c r="BN398" s="2"/>
      <c r="BO398" s="2"/>
      <c r="BS398" s="11"/>
      <c r="BT398" s="2"/>
      <c r="BU398" s="3"/>
      <c r="BV398" s="3"/>
      <c r="BW398" s="2"/>
      <c r="BX398" s="2"/>
      <c r="BY398" s="2"/>
      <c r="BZ398" s="2"/>
      <c r="CA398" s="2"/>
      <c r="CB398" s="2"/>
      <c r="CC398" s="2"/>
      <c r="CD398" s="1"/>
      <c r="CE398" s="1"/>
      <c r="CF398" s="1"/>
      <c r="CG398" s="1"/>
      <c r="CH398" s="1"/>
      <c r="CI398" s="2"/>
      <c r="CJ398" s="2"/>
      <c r="CK398" s="2"/>
      <c r="CL398" s="2"/>
      <c r="CM398" s="2"/>
      <c r="CN398" s="2"/>
      <c r="CO398" s="2"/>
      <c r="CP398" s="2"/>
      <c r="CQ398" s="2"/>
      <c r="CR398" s="2"/>
      <c r="CS398" s="2"/>
      <c r="CT398" s="2"/>
      <c r="CU398" s="2"/>
      <c r="CV398" s="2"/>
      <c r="CW398" s="2"/>
      <c r="CX398" s="2"/>
      <c r="CY398" s="2"/>
      <c r="CZ398" s="2"/>
    </row>
    <row r="399" spans="44:104" ht="15" hidden="1" customHeight="1" x14ac:dyDescent="0.2">
      <c r="AR399" s="2"/>
      <c r="AS399" s="2"/>
      <c r="AT399" s="2"/>
      <c r="AU399" s="2"/>
      <c r="AV399" s="2"/>
      <c r="AW399" s="2"/>
      <c r="AX399" s="2"/>
      <c r="AY399" s="2"/>
      <c r="AZ399" s="2"/>
      <c r="BA399" s="2"/>
      <c r="BB399" s="2"/>
      <c r="BC399" s="2"/>
      <c r="BD399" s="2"/>
      <c r="BE399" s="2"/>
      <c r="BK399" s="2"/>
      <c r="BM399" s="2"/>
      <c r="BN399" s="2"/>
      <c r="BO399" s="2"/>
      <c r="BS399" s="11"/>
      <c r="BT399" s="2"/>
      <c r="BU399" s="3"/>
      <c r="BV399" s="3"/>
      <c r="BW399" s="2"/>
      <c r="BX399" s="2"/>
      <c r="BY399" s="2"/>
      <c r="BZ399" s="2"/>
      <c r="CA399" s="2"/>
      <c r="CB399" s="2"/>
      <c r="CC399" s="2"/>
      <c r="CD399" s="1"/>
      <c r="CE399" s="1"/>
      <c r="CF399" s="1"/>
      <c r="CG399" s="1"/>
      <c r="CH399" s="1"/>
      <c r="CI399" s="2"/>
      <c r="CJ399" s="2"/>
      <c r="CK399" s="2"/>
      <c r="CL399" s="2"/>
      <c r="CM399" s="2"/>
      <c r="CN399" s="2"/>
      <c r="CO399" s="2"/>
      <c r="CP399" s="2"/>
      <c r="CQ399" s="2"/>
      <c r="CR399" s="2"/>
      <c r="CS399" s="2"/>
      <c r="CT399" s="2"/>
      <c r="CU399" s="2"/>
      <c r="CV399" s="2"/>
      <c r="CW399" s="2"/>
      <c r="CX399" s="2"/>
      <c r="CY399" s="2"/>
      <c r="CZ399" s="2"/>
    </row>
    <row r="400" spans="44:104" ht="15" hidden="1" customHeight="1" x14ac:dyDescent="0.2">
      <c r="AR400" s="2"/>
      <c r="AS400" s="2"/>
      <c r="AT400" s="2"/>
      <c r="AU400" s="2"/>
      <c r="AV400" s="2"/>
      <c r="AW400" s="2"/>
      <c r="AX400" s="2"/>
      <c r="AY400" s="2"/>
      <c r="AZ400" s="2"/>
      <c r="BA400" s="2"/>
      <c r="BB400" s="2"/>
      <c r="BC400" s="2"/>
      <c r="BD400" s="2"/>
      <c r="BE400" s="2"/>
      <c r="BK400" s="2"/>
      <c r="BM400" s="2"/>
      <c r="BN400" s="2"/>
      <c r="BO400" s="2"/>
      <c r="BS400" s="11"/>
      <c r="BT400" s="2"/>
      <c r="BU400" s="3"/>
      <c r="BV400" s="3"/>
      <c r="BW400" s="2"/>
      <c r="BX400" s="2"/>
      <c r="BY400" s="2"/>
      <c r="BZ400" s="2"/>
      <c r="CA400" s="2"/>
      <c r="CB400" s="2"/>
      <c r="CC400" s="2"/>
      <c r="CD400" s="1"/>
      <c r="CE400" s="1"/>
      <c r="CF400" s="1"/>
      <c r="CG400" s="1"/>
      <c r="CH400" s="1"/>
      <c r="CI400" s="2"/>
      <c r="CJ400" s="2"/>
      <c r="CK400" s="2"/>
      <c r="CL400" s="2"/>
      <c r="CM400" s="2"/>
      <c r="CN400" s="2"/>
      <c r="CO400" s="2"/>
      <c r="CP400" s="2"/>
      <c r="CQ400" s="2"/>
      <c r="CR400" s="2"/>
      <c r="CS400" s="2"/>
      <c r="CT400" s="2"/>
      <c r="CU400" s="2"/>
      <c r="CV400" s="2"/>
      <c r="CW400" s="2"/>
      <c r="CX400" s="2"/>
      <c r="CY400" s="2"/>
      <c r="CZ400" s="2"/>
    </row>
    <row r="401" spans="44:104" ht="15" hidden="1" customHeight="1" x14ac:dyDescent="0.2">
      <c r="AR401" s="2"/>
      <c r="AS401" s="2"/>
      <c r="AT401" s="2"/>
      <c r="AU401" s="2"/>
      <c r="AV401" s="2"/>
      <c r="AW401" s="2"/>
      <c r="AX401" s="2"/>
      <c r="AY401" s="2"/>
      <c r="AZ401" s="2"/>
      <c r="BA401" s="2"/>
      <c r="BB401" s="2"/>
      <c r="BC401" s="2"/>
      <c r="BD401" s="2"/>
      <c r="BE401" s="2"/>
      <c r="BK401" s="2"/>
      <c r="BM401" s="2"/>
      <c r="BN401" s="2"/>
      <c r="BO401" s="2"/>
      <c r="BS401" s="11"/>
      <c r="BT401" s="2"/>
      <c r="BU401" s="3"/>
      <c r="BV401" s="3"/>
      <c r="BW401" s="2"/>
      <c r="BX401" s="2"/>
      <c r="BY401" s="2"/>
      <c r="BZ401" s="2"/>
      <c r="CA401" s="2"/>
      <c r="CB401" s="2"/>
      <c r="CC401" s="2"/>
      <c r="CD401" s="1"/>
      <c r="CE401" s="1"/>
      <c r="CF401" s="1"/>
      <c r="CG401" s="1"/>
      <c r="CH401" s="1"/>
      <c r="CI401" s="2"/>
      <c r="CJ401" s="2"/>
      <c r="CK401" s="2"/>
      <c r="CL401" s="2"/>
      <c r="CM401" s="2"/>
      <c r="CN401" s="2"/>
      <c r="CO401" s="2"/>
      <c r="CP401" s="2"/>
      <c r="CQ401" s="2"/>
      <c r="CR401" s="2"/>
      <c r="CS401" s="2"/>
      <c r="CT401" s="2"/>
      <c r="CU401" s="2"/>
      <c r="CV401" s="2"/>
      <c r="CW401" s="2"/>
      <c r="CX401" s="2"/>
      <c r="CY401" s="2"/>
      <c r="CZ401" s="2"/>
    </row>
    <row r="402" spans="44:104" ht="15" hidden="1" customHeight="1" x14ac:dyDescent="0.2">
      <c r="AR402" s="2"/>
      <c r="AS402" s="2"/>
      <c r="AT402" s="2"/>
      <c r="AU402" s="2"/>
      <c r="AV402" s="2"/>
      <c r="AW402" s="2"/>
      <c r="AX402" s="2"/>
      <c r="AY402" s="2"/>
      <c r="AZ402" s="2"/>
      <c r="BA402" s="2"/>
      <c r="BB402" s="2"/>
      <c r="BC402" s="2"/>
      <c r="BD402" s="2"/>
      <c r="BE402" s="2"/>
      <c r="BK402" s="2"/>
      <c r="BM402" s="2"/>
      <c r="BN402" s="2"/>
      <c r="BO402" s="2"/>
      <c r="BS402" s="11"/>
      <c r="BT402" s="2"/>
      <c r="BU402" s="3"/>
      <c r="BV402" s="3"/>
      <c r="BW402" s="2"/>
      <c r="BX402" s="2"/>
      <c r="BY402" s="2"/>
      <c r="BZ402" s="2"/>
      <c r="CA402" s="2"/>
      <c r="CB402" s="2"/>
      <c r="CC402" s="2"/>
      <c r="CD402" s="1"/>
      <c r="CE402" s="1"/>
      <c r="CF402" s="1"/>
      <c r="CG402" s="1"/>
      <c r="CH402" s="1"/>
      <c r="CI402" s="2"/>
      <c r="CJ402" s="2"/>
      <c r="CK402" s="2"/>
      <c r="CL402" s="2"/>
      <c r="CM402" s="2"/>
      <c r="CN402" s="2"/>
      <c r="CO402" s="2"/>
      <c r="CP402" s="2"/>
      <c r="CQ402" s="2"/>
      <c r="CR402" s="2"/>
      <c r="CS402" s="2"/>
      <c r="CT402" s="2"/>
      <c r="CU402" s="2"/>
      <c r="CV402" s="2"/>
      <c r="CW402" s="2"/>
      <c r="CX402" s="2"/>
      <c r="CY402" s="2"/>
      <c r="CZ402" s="2"/>
    </row>
    <row r="403" spans="44:104" ht="15" hidden="1" customHeight="1" x14ac:dyDescent="0.2">
      <c r="AR403" s="2"/>
      <c r="AS403" s="2"/>
      <c r="AT403" s="2"/>
      <c r="AU403" s="2"/>
      <c r="AV403" s="2"/>
      <c r="AW403" s="2"/>
      <c r="AX403" s="2"/>
      <c r="AY403" s="2"/>
      <c r="AZ403" s="2"/>
      <c r="BA403" s="2"/>
      <c r="BB403" s="2"/>
      <c r="BC403" s="2"/>
      <c r="BD403" s="2"/>
      <c r="BE403" s="2"/>
      <c r="BK403" s="2"/>
      <c r="BM403" s="2"/>
      <c r="BN403" s="2"/>
      <c r="BO403" s="2"/>
      <c r="BS403" s="11"/>
      <c r="BT403" s="2"/>
      <c r="BU403" s="3"/>
      <c r="BV403" s="3"/>
      <c r="BW403" s="2"/>
      <c r="BX403" s="2"/>
      <c r="BY403" s="2"/>
      <c r="BZ403" s="46"/>
      <c r="CA403" s="1"/>
      <c r="CB403" s="1"/>
      <c r="CC403" s="1"/>
      <c r="CD403" s="1"/>
      <c r="CE403" s="1"/>
      <c r="CF403" s="1"/>
      <c r="CG403" s="1"/>
      <c r="CH403" s="1"/>
      <c r="CI403" s="2"/>
      <c r="CJ403" s="2"/>
      <c r="CK403" s="2"/>
      <c r="CL403" s="2"/>
      <c r="CM403" s="2"/>
      <c r="CN403" s="2"/>
      <c r="CO403" s="2"/>
      <c r="CP403" s="2"/>
      <c r="CQ403" s="2"/>
      <c r="CR403" s="2"/>
      <c r="CS403" s="2"/>
      <c r="CT403" s="2"/>
      <c r="CU403" s="2"/>
      <c r="CV403" s="2"/>
      <c r="CW403" s="2"/>
      <c r="CX403" s="2"/>
      <c r="CY403" s="2"/>
      <c r="CZ403" s="2"/>
    </row>
    <row r="404" spans="44:104" ht="15" hidden="1" customHeight="1" x14ac:dyDescent="0.2">
      <c r="AR404" s="2"/>
      <c r="AS404" s="2"/>
      <c r="AT404" s="2"/>
      <c r="AU404" s="2"/>
      <c r="AV404" s="2"/>
      <c r="AW404" s="2"/>
      <c r="AX404" s="2"/>
      <c r="AY404" s="2"/>
      <c r="AZ404" s="2"/>
      <c r="BA404" s="2"/>
      <c r="BB404" s="2"/>
      <c r="BC404" s="2"/>
      <c r="BD404" s="2"/>
      <c r="BE404" s="2"/>
      <c r="BK404" s="2"/>
      <c r="BM404" s="2"/>
      <c r="BN404" s="2"/>
      <c r="BO404" s="2"/>
      <c r="BS404" s="11"/>
      <c r="BT404" s="2"/>
      <c r="BU404" s="3"/>
      <c r="BV404" s="3"/>
      <c r="BW404" s="2"/>
      <c r="BX404" s="2"/>
      <c r="BY404" s="2"/>
      <c r="BZ404" s="2"/>
      <c r="CA404" s="2"/>
      <c r="CB404" s="2"/>
      <c r="CC404" s="2"/>
      <c r="CD404" s="1"/>
      <c r="CE404" s="1"/>
      <c r="CF404" s="1"/>
      <c r="CG404" s="1"/>
      <c r="CH404" s="1"/>
      <c r="CI404" s="2"/>
      <c r="CJ404" s="2"/>
      <c r="CK404" s="2"/>
      <c r="CL404" s="2"/>
      <c r="CM404" s="2"/>
      <c r="CN404" s="2"/>
      <c r="CO404" s="2"/>
      <c r="CP404" s="2"/>
      <c r="CQ404" s="2"/>
      <c r="CR404" s="2"/>
      <c r="CS404" s="2"/>
      <c r="CT404" s="2"/>
      <c r="CU404" s="2"/>
      <c r="CV404" s="2"/>
      <c r="CW404" s="2"/>
      <c r="CX404" s="2"/>
      <c r="CY404" s="2"/>
      <c r="CZ404" s="2"/>
    </row>
    <row r="405" spans="44:104" ht="15" hidden="1" customHeight="1" x14ac:dyDescent="0.2">
      <c r="AR405" s="2"/>
      <c r="AS405" s="2"/>
      <c r="AT405" s="2"/>
      <c r="AU405" s="2"/>
      <c r="AV405" s="2"/>
      <c r="AW405" s="2"/>
      <c r="AX405" s="2"/>
      <c r="AY405" s="2"/>
      <c r="AZ405" s="2"/>
      <c r="BA405" s="2"/>
      <c r="BB405" s="2"/>
      <c r="BC405" s="2"/>
      <c r="BD405" s="2"/>
      <c r="BE405" s="2"/>
      <c r="BK405" s="2"/>
      <c r="BM405" s="2"/>
      <c r="BN405" s="2"/>
      <c r="BO405" s="2"/>
      <c r="BS405" s="11"/>
      <c r="BT405" s="2"/>
      <c r="BU405" s="3"/>
      <c r="BV405" s="3"/>
      <c r="BW405" s="2"/>
      <c r="BX405" s="2"/>
      <c r="BY405" s="2"/>
      <c r="BZ405" s="2"/>
      <c r="CA405" s="2"/>
      <c r="CB405" s="2"/>
      <c r="CC405" s="2"/>
      <c r="CD405" s="1"/>
      <c r="CE405" s="1"/>
      <c r="CF405" s="1"/>
      <c r="CG405" s="1"/>
      <c r="CH405" s="1"/>
      <c r="CI405" s="2"/>
      <c r="CJ405" s="2"/>
      <c r="CK405" s="2"/>
      <c r="CL405" s="2"/>
      <c r="CM405" s="2"/>
      <c r="CN405" s="2"/>
      <c r="CO405" s="2"/>
      <c r="CP405" s="2"/>
      <c r="CQ405" s="2"/>
      <c r="CR405" s="2"/>
      <c r="CS405" s="2"/>
      <c r="CT405" s="2"/>
      <c r="CU405" s="2"/>
      <c r="CV405" s="2"/>
      <c r="CW405" s="2"/>
      <c r="CX405" s="2"/>
      <c r="CY405" s="2"/>
      <c r="CZ405" s="2"/>
    </row>
    <row r="406" spans="44:104" ht="15" hidden="1" customHeight="1" x14ac:dyDescent="0.2">
      <c r="AR406" s="2"/>
      <c r="AS406" s="2"/>
      <c r="AT406" s="2"/>
      <c r="AU406" s="2"/>
      <c r="AV406" s="2"/>
      <c r="AW406" s="2"/>
      <c r="AX406" s="2"/>
      <c r="AY406" s="2"/>
      <c r="AZ406" s="2"/>
      <c r="BA406" s="2"/>
      <c r="BB406" s="2"/>
      <c r="BC406" s="2"/>
      <c r="BD406" s="2"/>
      <c r="BE406" s="2"/>
      <c r="BK406" s="2"/>
      <c r="BM406" s="2"/>
      <c r="BN406" s="2"/>
      <c r="BO406" s="2"/>
      <c r="BS406" s="11"/>
      <c r="BT406" s="2"/>
      <c r="BU406" s="3"/>
      <c r="BV406" s="3"/>
      <c r="BW406" s="2"/>
      <c r="BX406" s="2"/>
      <c r="BY406" s="2"/>
      <c r="BZ406" s="2"/>
      <c r="CA406" s="2"/>
      <c r="CB406" s="2"/>
      <c r="CC406" s="2"/>
      <c r="CD406" s="1"/>
      <c r="CE406" s="1"/>
      <c r="CF406" s="1"/>
      <c r="CG406" s="1"/>
      <c r="CH406" s="1"/>
      <c r="CI406" s="2"/>
      <c r="CJ406" s="2"/>
      <c r="CK406" s="2"/>
      <c r="CL406" s="2"/>
      <c r="CM406" s="2"/>
      <c r="CN406" s="2"/>
      <c r="CO406" s="2"/>
      <c r="CP406" s="2"/>
      <c r="CQ406" s="2"/>
      <c r="CR406" s="2"/>
      <c r="CS406" s="2"/>
      <c r="CT406" s="2"/>
      <c r="CU406" s="2"/>
      <c r="CV406" s="2"/>
      <c r="CW406" s="2"/>
      <c r="CX406" s="2"/>
      <c r="CY406" s="2"/>
      <c r="CZ406" s="2"/>
    </row>
  </sheetData>
  <sheetProtection algorithmName="SHA-512" hashValue="mTxLkpY9G03LGgA7FKX/dfvsJjKJzrSDXh3+fjEP1pP/fQgfnV5gAltEcwzUmErpgW8n1Bf5MhDcrnDfnhtL6Q==" saltValue="eaM09sWNK2OsWFa/lbFi9A==" spinCount="100000" sheet="1" objects="1" scenarios="1"/>
  <sortState xmlns:xlrd2="http://schemas.microsoft.com/office/spreadsheetml/2017/richdata2" ref="CH3:CH32">
    <sortCondition ref="CH3:CH32"/>
  </sortState>
  <mergeCells count="270">
    <mergeCell ref="AI3:AL3"/>
    <mergeCell ref="AM3:AO3"/>
    <mergeCell ref="C4:F4"/>
    <mergeCell ref="O4:AD4"/>
    <mergeCell ref="AE4:AH4"/>
    <mergeCell ref="AI4:AL4"/>
    <mergeCell ref="AM4:AO4"/>
    <mergeCell ref="AP1:AP39"/>
    <mergeCell ref="AX1:BF1"/>
    <mergeCell ref="C2:F2"/>
    <mergeCell ref="O2:AD2"/>
    <mergeCell ref="AE2:AH2"/>
    <mergeCell ref="AI2:AL2"/>
    <mergeCell ref="AM2:AO2"/>
    <mergeCell ref="C3:F3"/>
    <mergeCell ref="O3:AD3"/>
    <mergeCell ref="AE3:AH3"/>
    <mergeCell ref="C1:F1"/>
    <mergeCell ref="G1:I1"/>
    <mergeCell ref="O1:AD1"/>
    <mergeCell ref="AE1:AH1"/>
    <mergeCell ref="AI1:AL1"/>
    <mergeCell ref="AM1:AO1"/>
    <mergeCell ref="AD23:AO23"/>
    <mergeCell ref="C5:F5"/>
    <mergeCell ref="O5:AD5"/>
    <mergeCell ref="AE5:AH5"/>
    <mergeCell ref="AI5:AL5"/>
    <mergeCell ref="AM5:AO5"/>
    <mergeCell ref="C6:F6"/>
    <mergeCell ref="O6:AD6"/>
    <mergeCell ref="AE6:AH6"/>
    <mergeCell ref="AI6:AL6"/>
    <mergeCell ref="AM6:AO6"/>
    <mergeCell ref="C7:F7"/>
    <mergeCell ref="O7:AD7"/>
    <mergeCell ref="AE7:AH7"/>
    <mergeCell ref="AI7:AL7"/>
    <mergeCell ref="AM7:AO7"/>
    <mergeCell ref="C8:F8"/>
    <mergeCell ref="O8:AD8"/>
    <mergeCell ref="AE8:AH8"/>
    <mergeCell ref="AI8:AL8"/>
    <mergeCell ref="AM8:AO8"/>
    <mergeCell ref="C9:F9"/>
    <mergeCell ref="O9:AD9"/>
    <mergeCell ref="AE9:AH9"/>
    <mergeCell ref="AI9:AL9"/>
    <mergeCell ref="AM9:AO9"/>
    <mergeCell ref="C10:F10"/>
    <mergeCell ref="O10:AD10"/>
    <mergeCell ref="AE10:AH10"/>
    <mergeCell ref="AI10:AL10"/>
    <mergeCell ref="AM10:AO10"/>
    <mergeCell ref="C11:F11"/>
    <mergeCell ref="O11:AD11"/>
    <mergeCell ref="AE11:AH11"/>
    <mergeCell ref="AI11:AL11"/>
    <mergeCell ref="AM11:AO11"/>
    <mergeCell ref="C12:F12"/>
    <mergeCell ref="O12:AD12"/>
    <mergeCell ref="AE12:AH12"/>
    <mergeCell ref="AI12:AL12"/>
    <mergeCell ref="AM12:AO12"/>
    <mergeCell ref="C13:F13"/>
    <mergeCell ref="O13:AD13"/>
    <mergeCell ref="AE13:AH13"/>
    <mergeCell ref="AI13:AL13"/>
    <mergeCell ref="AM13:AO13"/>
    <mergeCell ref="C14:F14"/>
    <mergeCell ref="O14:AD14"/>
    <mergeCell ref="AE14:AH14"/>
    <mergeCell ref="AI14:AL14"/>
    <mergeCell ref="AM14:AO14"/>
    <mergeCell ref="C15:F15"/>
    <mergeCell ref="O15:AD15"/>
    <mergeCell ref="AE15:AH15"/>
    <mergeCell ref="AI15:AL15"/>
    <mergeCell ref="AM15:AO15"/>
    <mergeCell ref="C16:F16"/>
    <mergeCell ref="O16:AD16"/>
    <mergeCell ref="AE16:AH16"/>
    <mergeCell ref="AI16:AL16"/>
    <mergeCell ref="AM16:AO16"/>
    <mergeCell ref="AA19:AM19"/>
    <mergeCell ref="AN19:AO19"/>
    <mergeCell ref="C20:F20"/>
    <mergeCell ref="O20:Z20"/>
    <mergeCell ref="AA20:AM20"/>
    <mergeCell ref="AN20:AO20"/>
    <mergeCell ref="C17:F17"/>
    <mergeCell ref="O17:AD17"/>
    <mergeCell ref="AE17:AH17"/>
    <mergeCell ref="AI17:AL17"/>
    <mergeCell ref="AM17:AO17"/>
    <mergeCell ref="C18:F18"/>
    <mergeCell ref="O18:Z18"/>
    <mergeCell ref="AA18:AM18"/>
    <mergeCell ref="AN18:AO18"/>
    <mergeCell ref="J24:Q24"/>
    <mergeCell ref="R24:V24"/>
    <mergeCell ref="Y24:Z24"/>
    <mergeCell ref="C23:I23"/>
    <mergeCell ref="J23:Q23"/>
    <mergeCell ref="R23:V23"/>
    <mergeCell ref="C19:F19"/>
    <mergeCell ref="O19:Z19"/>
    <mergeCell ref="Y23:Z23"/>
    <mergeCell ref="AD21:AH21"/>
    <mergeCell ref="AK21:AL21"/>
    <mergeCell ref="AN21:AO21"/>
    <mergeCell ref="C22:I22"/>
    <mergeCell ref="J22:Q22"/>
    <mergeCell ref="R22:V22"/>
    <mergeCell ref="Y22:Z22"/>
    <mergeCell ref="AB22:AC22"/>
    <mergeCell ref="AD22:AH22"/>
    <mergeCell ref="AK22:AL22"/>
    <mergeCell ref="C21:I21"/>
    <mergeCell ref="J21:Q21"/>
    <mergeCell ref="R21:V21"/>
    <mergeCell ref="Y21:Z21"/>
    <mergeCell ref="AB21:AC21"/>
    <mergeCell ref="AN22:AO22"/>
    <mergeCell ref="AB23:AC23"/>
    <mergeCell ref="AB24:AC24"/>
    <mergeCell ref="AD25:AH25"/>
    <mergeCell ref="AK25:AL25"/>
    <mergeCell ref="AN25:AO25"/>
    <mergeCell ref="C26:I26"/>
    <mergeCell ref="J26:M26"/>
    <mergeCell ref="N26:Q26"/>
    <mergeCell ref="R26:V26"/>
    <mergeCell ref="Y26:Z26"/>
    <mergeCell ref="AB26:AC26"/>
    <mergeCell ref="AD26:AH26"/>
    <mergeCell ref="AK26:AL26"/>
    <mergeCell ref="AN26:AO26"/>
    <mergeCell ref="C25:I25"/>
    <mergeCell ref="J25:M25"/>
    <mergeCell ref="N25:Q25"/>
    <mergeCell ref="R25:V25"/>
    <mergeCell ref="Y25:Z25"/>
    <mergeCell ref="AB25:AC25"/>
    <mergeCell ref="AD24:AH24"/>
    <mergeCell ref="AK24:AL24"/>
    <mergeCell ref="AN24:AO24"/>
    <mergeCell ref="C24:I24"/>
    <mergeCell ref="J27:M27"/>
    <mergeCell ref="N27:Q27"/>
    <mergeCell ref="R27:V27"/>
    <mergeCell ref="Y27:Z27"/>
    <mergeCell ref="AB27:AC27"/>
    <mergeCell ref="AD27:AH27"/>
    <mergeCell ref="AK27:AL27"/>
    <mergeCell ref="C29:I29"/>
    <mergeCell ref="J29:M29"/>
    <mergeCell ref="N29:Q29"/>
    <mergeCell ref="R29:AC29"/>
    <mergeCell ref="AD29:AO29"/>
    <mergeCell ref="A31:C31"/>
    <mergeCell ref="D31:AO31"/>
    <mergeCell ref="A32:AO32"/>
    <mergeCell ref="AR32:AV32"/>
    <mergeCell ref="B33:AO33"/>
    <mergeCell ref="B34:AO34"/>
    <mergeCell ref="C30:I30"/>
    <mergeCell ref="J30:Q30"/>
    <mergeCell ref="R30:V30"/>
    <mergeCell ref="W30:AI30"/>
    <mergeCell ref="AJ30:AL30"/>
    <mergeCell ref="AM30:AO30"/>
    <mergeCell ref="A21:B30"/>
    <mergeCell ref="AN27:AO27"/>
    <mergeCell ref="C28:I28"/>
    <mergeCell ref="J28:M28"/>
    <mergeCell ref="N28:Q28"/>
    <mergeCell ref="R28:V28"/>
    <mergeCell ref="Y28:Z28"/>
    <mergeCell ref="AB28:AC28"/>
    <mergeCell ref="AD28:AH28"/>
    <mergeCell ref="AK28:AL28"/>
    <mergeCell ref="AN28:AO28"/>
    <mergeCell ref="C27:I27"/>
    <mergeCell ref="AF35:AI35"/>
    <mergeCell ref="AK35:AN35"/>
    <mergeCell ref="AS35:AV35"/>
    <mergeCell ref="B36:AO36"/>
    <mergeCell ref="C37:D37"/>
    <mergeCell ref="E37:J37"/>
    <mergeCell ref="K37:L37"/>
    <mergeCell ref="M37:P37"/>
    <mergeCell ref="Q37:R37"/>
    <mergeCell ref="S37:V37"/>
    <mergeCell ref="C35:D35"/>
    <mergeCell ref="E35:J35"/>
    <mergeCell ref="L35:O35"/>
    <mergeCell ref="Q35:T35"/>
    <mergeCell ref="V35:Y35"/>
    <mergeCell ref="AA35:AD35"/>
    <mergeCell ref="W37:X37"/>
    <mergeCell ref="Y37:AB37"/>
    <mergeCell ref="AC37:AD37"/>
    <mergeCell ref="AE37:AI37"/>
    <mergeCell ref="AJ37:AK37"/>
    <mergeCell ref="C38:D38"/>
    <mergeCell ref="E38:J38"/>
    <mergeCell ref="K38:L38"/>
    <mergeCell ref="M38:O38"/>
    <mergeCell ref="P38:Q38"/>
    <mergeCell ref="AG38:AI38"/>
    <mergeCell ref="AJ38:AK38"/>
    <mergeCell ref="B39:AO39"/>
    <mergeCell ref="C40:D40"/>
    <mergeCell ref="E40:K40"/>
    <mergeCell ref="L40:M40"/>
    <mergeCell ref="N40:R40"/>
    <mergeCell ref="S40:T40"/>
    <mergeCell ref="U40:Y40"/>
    <mergeCell ref="Z40:AA40"/>
    <mergeCell ref="R38:T38"/>
    <mergeCell ref="U38:V38"/>
    <mergeCell ref="W38:Y38"/>
    <mergeCell ref="Z38:AA38"/>
    <mergeCell ref="AB38:AD38"/>
    <mergeCell ref="AE38:AF38"/>
    <mergeCell ref="AB40:AF40"/>
    <mergeCell ref="AG40:AH40"/>
    <mergeCell ref="AI40:AM40"/>
    <mergeCell ref="AN40:AO40"/>
    <mergeCell ref="C41:D41"/>
    <mergeCell ref="E41:K41"/>
    <mergeCell ref="L41:M41"/>
    <mergeCell ref="N41:R41"/>
    <mergeCell ref="S41:T41"/>
    <mergeCell ref="U41:Y41"/>
    <mergeCell ref="BK45:BP45"/>
    <mergeCell ref="BS45:BX45"/>
    <mergeCell ref="BZ45:CE45"/>
    <mergeCell ref="CG45:CL45"/>
    <mergeCell ref="CN45:CS45"/>
    <mergeCell ref="CU45:CZ45"/>
    <mergeCell ref="Z41:AA41"/>
    <mergeCell ref="AB41:AF41"/>
    <mergeCell ref="AG41:AH41"/>
    <mergeCell ref="AI41:AM41"/>
    <mergeCell ref="AN41:AO41"/>
    <mergeCell ref="A42:AQ42"/>
    <mergeCell ref="B65:F65"/>
    <mergeCell ref="BS65:BT65"/>
    <mergeCell ref="BU65:BV65"/>
    <mergeCell ref="BW65:BX65"/>
    <mergeCell ref="BY65:BZ65"/>
    <mergeCell ref="B66:F66"/>
    <mergeCell ref="B64:F64"/>
    <mergeCell ref="K64:O64"/>
    <mergeCell ref="Q64:U64"/>
    <mergeCell ref="W64:AA64"/>
    <mergeCell ref="AC64:AG64"/>
    <mergeCell ref="AK64:AO64"/>
    <mergeCell ref="B72:F72"/>
    <mergeCell ref="B73:F73"/>
    <mergeCell ref="B89:F89"/>
    <mergeCell ref="B67:F67"/>
    <mergeCell ref="B68:F68"/>
    <mergeCell ref="B69:F69"/>
    <mergeCell ref="CA69:CB69"/>
    <mergeCell ref="B70:F70"/>
    <mergeCell ref="B71:F71"/>
    <mergeCell ref="B74:F74"/>
  </mergeCells>
  <conditionalFormatting sqref="B2:O17 AF18:AO19">
    <cfRule type="cellIs" dxfId="152" priority="6" operator="equal">
      <formula>0</formula>
    </cfRule>
  </conditionalFormatting>
  <conditionalFormatting sqref="B20:AO20">
    <cfRule type="cellIs" dxfId="151" priority="1" operator="equal">
      <formula>0</formula>
    </cfRule>
  </conditionalFormatting>
  <conditionalFormatting sqref="G2:N20">
    <cfRule type="cellIs" dxfId="150" priority="2" operator="equal">
      <formula>"0+"</formula>
    </cfRule>
  </conditionalFormatting>
  <conditionalFormatting sqref="I18:I20">
    <cfRule type="cellIs" dxfId="149" priority="3" operator="equal">
      <formula>2</formula>
    </cfRule>
  </conditionalFormatting>
  <conditionalFormatting sqref="J2:K17">
    <cfRule type="cellIs" dxfId="148" priority="8" operator="lessThan">
      <formula>W66</formula>
    </cfRule>
    <cfRule type="cellIs" dxfId="147" priority="9" operator="greaterThan">
      <formula>W66</formula>
    </cfRule>
  </conditionalFormatting>
  <conditionalFormatting sqref="L2:L17">
    <cfRule type="expression" dxfId="146" priority="21">
      <formula>M66&lt;Y66</formula>
    </cfRule>
  </conditionalFormatting>
  <conditionalFormatting sqref="L2:M17">
    <cfRule type="expression" dxfId="145" priority="20">
      <formula>M66&gt;Y66</formula>
    </cfRule>
  </conditionalFormatting>
  <conditionalFormatting sqref="M2:M12">
    <cfRule type="expression" dxfId="144" priority="25">
      <formula>N66&lt;Z66</formula>
    </cfRule>
  </conditionalFormatting>
  <conditionalFormatting sqref="M13">
    <cfRule type="expression" dxfId="143" priority="31">
      <formula>N77&lt;Z77</formula>
    </cfRule>
  </conditionalFormatting>
  <conditionalFormatting sqref="M14:M17">
    <cfRule type="expression" dxfId="142" priority="32">
      <formula>N78&lt;Z78</formula>
    </cfRule>
  </conditionalFormatting>
  <conditionalFormatting sqref="N2:N17">
    <cfRule type="expression" dxfId="141" priority="10">
      <formula>O66&lt;AA66</formula>
    </cfRule>
    <cfRule type="expression" dxfId="140" priority="11">
      <formula>O66&gt;AA66</formula>
    </cfRule>
  </conditionalFormatting>
  <conditionalFormatting sqref="O2:O17">
    <cfRule type="cellIs" dxfId="139" priority="18" operator="equal">
      <formula>0&amp;BF2</formula>
    </cfRule>
    <cfRule type="expression" dxfId="138" priority="19">
      <formula>AW2&lt;&gt;""</formula>
    </cfRule>
  </conditionalFormatting>
  <conditionalFormatting sqref="O18 AA18">
    <cfRule type="expression" dxfId="137" priority="22">
      <formula>$AS$18&lt;&gt;""</formula>
    </cfRule>
  </conditionalFormatting>
  <conditionalFormatting sqref="O19:O20 AA19:AA20">
    <cfRule type="expression" dxfId="136" priority="23">
      <formula>$AS$19&lt;&gt;""</formula>
    </cfRule>
  </conditionalFormatting>
  <conditionalFormatting sqref="W28">
    <cfRule type="expression" dxfId="135" priority="14">
      <formula>$Y$28=0</formula>
    </cfRule>
  </conditionalFormatting>
  <conditionalFormatting sqref="W30">
    <cfRule type="cellIs" dxfId="134" priority="7" operator="equal">
      <formula>0</formula>
    </cfRule>
  </conditionalFormatting>
  <conditionalFormatting sqref="X28:AA28">
    <cfRule type="expression" dxfId="133" priority="12">
      <formula>$Y$28=0</formula>
    </cfRule>
  </conditionalFormatting>
  <conditionalFormatting sqref="AB28:AC28">
    <cfRule type="expression" dxfId="132" priority="13">
      <formula>$Y$28=0</formula>
    </cfRule>
  </conditionalFormatting>
  <conditionalFormatting sqref="AG43:AH59">
    <cfRule type="cellIs" dxfId="131" priority="4" operator="equal">
      <formula>0</formula>
    </cfRule>
  </conditionalFormatting>
  <conditionalFormatting sqref="AI2:AI17 AE2:AE19 B18:AD19 B43:AF58">
    <cfRule type="cellIs" dxfId="130" priority="5" operator="equal">
      <formula>0</formula>
    </cfRule>
  </conditionalFormatting>
  <conditionalFormatting sqref="AI28">
    <cfRule type="expression" dxfId="129" priority="17">
      <formula>$AK$28=0</formula>
    </cfRule>
  </conditionalFormatting>
  <conditionalFormatting sqref="AJ21:AL21">
    <cfRule type="expression" dxfId="128" priority="38">
      <formula>$AK$21=0</formula>
    </cfRule>
  </conditionalFormatting>
  <conditionalFormatting sqref="AJ28:AL28">
    <cfRule type="expression" dxfId="127" priority="15">
      <formula>$AK$28=0</formula>
    </cfRule>
  </conditionalFormatting>
  <conditionalFormatting sqref="AJ24:AM24">
    <cfRule type="expression" dxfId="126" priority="27">
      <formula>$AK$24=0</formula>
    </cfRule>
  </conditionalFormatting>
  <conditionalFormatting sqref="AJ25:AM25">
    <cfRule type="expression" dxfId="125" priority="28">
      <formula>$AK$25=0</formula>
    </cfRule>
  </conditionalFormatting>
  <conditionalFormatting sqref="AJ26:AM26">
    <cfRule type="expression" dxfId="124" priority="29">
      <formula>$AK$26=0</formula>
    </cfRule>
  </conditionalFormatting>
  <conditionalFormatting sqref="AJ27:AM27">
    <cfRule type="expression" dxfId="123" priority="30">
      <formula>$AK$27=0</formula>
    </cfRule>
  </conditionalFormatting>
  <conditionalFormatting sqref="AN18:AO20">
    <cfRule type="cellIs" dxfId="122" priority="24" operator="equal">
      <formula>0</formula>
    </cfRule>
  </conditionalFormatting>
  <conditionalFormatting sqref="AN21:AO21">
    <cfRule type="expression" dxfId="121" priority="39">
      <formula>$AK$21=0</formula>
    </cfRule>
  </conditionalFormatting>
  <conditionalFormatting sqref="AN24:AO24">
    <cfRule type="expression" dxfId="120" priority="34">
      <formula>$AK$24=0</formula>
    </cfRule>
  </conditionalFormatting>
  <conditionalFormatting sqref="AN25:AO25">
    <cfRule type="expression" dxfId="119" priority="35">
      <formula>$AK$25=0</formula>
    </cfRule>
  </conditionalFormatting>
  <conditionalFormatting sqref="AN26:AO26">
    <cfRule type="expression" dxfId="118" priority="36">
      <formula>$AK$26=0</formula>
    </cfRule>
  </conditionalFormatting>
  <conditionalFormatting sqref="AN27:AO27">
    <cfRule type="expression" dxfId="117" priority="37">
      <formula>$AK$27=0</formula>
    </cfRule>
  </conditionalFormatting>
  <conditionalFormatting sqref="AN28:AO28">
    <cfRule type="expression" dxfId="116" priority="16">
      <formula>$AK$28=0</formula>
    </cfRule>
  </conditionalFormatting>
  <dataValidations count="38">
    <dataValidation type="list" allowBlank="1" showErrorMessage="1" sqref="J23:Q23" xr:uid="{33FD0C3E-F014-4BC0-918E-B22C7F169685}">
      <formula1>$BM$3:$BM$36</formula1>
    </dataValidation>
    <dataValidation type="list" allowBlank="1" showErrorMessage="1" sqref="AI2 AE2" xr:uid="{F65522DC-8997-4F27-9D07-2F409FCBB6F1}">
      <formula1>$CG$65:$CG$139</formula1>
    </dataValidation>
    <dataValidation type="list" allowBlank="1" showErrorMessage="1" sqref="AI3 AE3" xr:uid="{F83E2EDA-BBE5-4086-993E-5456C3DC411D}">
      <formula1>$CH$65:$CH$139</formula1>
    </dataValidation>
    <dataValidation type="list" allowBlank="1" showErrorMessage="1" sqref="AI4 AE4" xr:uid="{DF3343CF-1289-4879-9E13-37A52B540F21}">
      <formula1>$CI$65:$CI$139</formula1>
    </dataValidation>
    <dataValidation type="list" allowBlank="1" showErrorMessage="1" sqref="AI5 AE5" xr:uid="{2BDE71FF-0617-4B79-91D9-2862C41CB67A}">
      <formula1>$CJ$65:$CJ$139</formula1>
    </dataValidation>
    <dataValidation type="list" allowBlank="1" showErrorMessage="1" sqref="AI6 AE6" xr:uid="{2DF721C0-0E3D-4332-A959-F7272FA4CCC8}">
      <formula1>$CK$65:$CK$139</formula1>
    </dataValidation>
    <dataValidation type="list" allowBlank="1" showErrorMessage="1" sqref="AI7 AE7" xr:uid="{05754F3E-442A-4284-99D6-D84B5DE93C1A}">
      <formula1>$CL$65:$CL$139</formula1>
    </dataValidation>
    <dataValidation type="list" allowBlank="1" showErrorMessage="1" sqref="AI8 AE8" xr:uid="{DC1A2BEA-45FE-41DE-9E9C-4A1DA370EE6E}">
      <formula1>$CM$65:$CM$139</formula1>
    </dataValidation>
    <dataValidation type="list" allowBlank="1" showErrorMessage="1" sqref="AI9 AE9" xr:uid="{B0957C6E-7109-4028-BBCD-7F39BFFE49B1}">
      <formula1>$CN$65:$CN$139</formula1>
    </dataValidation>
    <dataValidation type="list" allowBlank="1" showErrorMessage="1" sqref="AI10 AE10" xr:uid="{25C38FC8-7708-4145-BA53-25670433B7F6}">
      <formula1>$CO$65:$CO$139</formula1>
    </dataValidation>
    <dataValidation type="list" allowBlank="1" showErrorMessage="1" sqref="AI11 AE11" xr:uid="{D6945C01-A077-44E5-9FFF-939179EAD1DD}">
      <formula1>$CP$65:$CP$139</formula1>
    </dataValidation>
    <dataValidation type="list" allowBlank="1" showErrorMessage="1" sqref="AI12 AE12" xr:uid="{4133E1DD-8F7F-4A3F-A3BA-46A6ACB24FEE}">
      <formula1>$CQ$65:$CQ$139</formula1>
    </dataValidation>
    <dataValidation type="list" allowBlank="1" showErrorMessage="1" sqref="AI13 AE13" xr:uid="{A3D62AF0-AC25-4517-B1F4-894077A31C50}">
      <formula1>$CR$65:$CR$139</formula1>
    </dataValidation>
    <dataValidation type="list" allowBlank="1" showErrorMessage="1" sqref="AI14 AE14" xr:uid="{5BB4BFE1-A35C-47F7-A7CD-2BFD2B1FBB88}">
      <formula1>$CS$65:$CS$139</formula1>
    </dataValidation>
    <dataValidation type="list" allowBlank="1" showErrorMessage="1" sqref="AI15 AE15" xr:uid="{3A9EE672-DBFD-4EF7-B233-C1D12AE25E30}">
      <formula1>$CT$65:$CT$139</formula1>
    </dataValidation>
    <dataValidation type="list" allowBlank="1" showErrorMessage="1" sqref="AI16 AE16" xr:uid="{4552CD5F-CA56-41E2-864A-887AD7675888}">
      <formula1>$CU$65:$CU$139</formula1>
    </dataValidation>
    <dataValidation type="list" allowBlank="1" showErrorMessage="1" sqref="AI17 AE17" xr:uid="{D4E30EB8-B225-4CBB-9874-671FCA9CFA56}">
      <formula1>$CV$65:$CV$139</formula1>
    </dataValidation>
    <dataValidation type="list" allowBlank="1" showErrorMessage="1" sqref="AD25:AH25" xr:uid="{F9475E2D-EFB8-4BF0-835B-C32B47696EBA}">
      <formula1>$BD$64:$BD$75</formula1>
    </dataValidation>
    <dataValidation type="list" allowBlank="1" showErrorMessage="1" sqref="AD27:AH27" xr:uid="{03BBACBE-0E48-4265-A3E5-76E3DE994E9D}">
      <formula1>$BO$64:$BO$78</formula1>
    </dataValidation>
    <dataValidation type="list" allowBlank="1" showErrorMessage="1" sqref="J24:Q24" xr:uid="{9D9B3134-6FEC-4157-8D1C-EC979EC9A215}">
      <formula1>$BA$67:$BA$71</formula1>
    </dataValidation>
    <dataValidation type="list" allowBlank="1" showErrorMessage="1" sqref="W23" xr:uid="{F3D42943-DDF9-4E2C-98BE-63DF02B94986}">
      <formula1>$AY$67:$AY$77</formula1>
    </dataValidation>
    <dataValidation type="list" allowBlank="1" showErrorMessage="1" sqref="W27:W28 AI21:AI22 AI24:AI26" xr:uid="{0875D0F0-B5B8-4292-B048-AAA418032628}">
      <formula1>$AY$67:$AY$68</formula1>
    </dataValidation>
    <dataValidation type="list" allowBlank="1" showErrorMessage="1" sqref="P35 AJ35 AE35 U35" xr:uid="{5E6CBEBA-F387-48CD-9FE4-E3F31B091B90}">
      <formula1>$BB$73:$BB$74</formula1>
    </dataValidation>
    <dataValidation type="list" allowBlank="1" showErrorMessage="1" sqref="AD24" xr:uid="{415CDF19-5F2F-4BE8-8F50-FD7FA8CDF867}">
      <formula1>$BD$64:$BD$74</formula1>
    </dataValidation>
    <dataValidation type="list" allowBlank="1" showErrorMessage="1" sqref="P38 AJ38 AE38 Z38 U38" xr:uid="{D174DBB2-4828-448C-AD1E-0773262C6BB7}">
      <formula1>$AS$65:$AS$85</formula1>
    </dataValidation>
    <dataValidation type="list" allowBlank="1" showErrorMessage="1" sqref="C35" xr:uid="{99D91F83-4825-479B-A1D0-243D31E0B827}">
      <formula1>valorequipo</formula1>
    </dataValidation>
    <dataValidation type="list" allowBlank="1" showErrorMessage="1" sqref="W22" xr:uid="{35F00370-7034-4097-94F3-431E63A1AF1D}">
      <formula1>$AY$67:$AY$75</formula1>
    </dataValidation>
    <dataValidation type="list" allowBlank="1" showErrorMessage="1" sqref="C37 W37 K37" xr:uid="{E2399979-F931-4348-9FDD-8AFBEA36EE89}">
      <formula1>$AX$67:$AX$88</formula1>
    </dataValidation>
    <dataValidation type="list" allowBlank="1" showErrorMessage="1" sqref="W24 W21" xr:uid="{7CDCBDF2-8007-4ECA-B899-739B7013F609}">
      <formula1>$AY$67:$AY$73</formula1>
    </dataValidation>
    <dataValidation type="list" allowBlank="1" showErrorMessage="1" sqref="AJ30" xr:uid="{73574FA8-AB5A-4DBC-BB8D-BAD5E8D5D7FC}">
      <formula1>$BA$81:$BA$86</formula1>
    </dataValidation>
    <dataValidation type="list" allowBlank="1" showErrorMessage="1" sqref="AI27 K35" xr:uid="{96FAED5B-2D58-4CB0-A828-772452AF16B9}">
      <formula1>$AY$67:$AY$70</formula1>
    </dataValidation>
    <dataValidation type="list" allowBlank="1" showErrorMessage="1" sqref="W25 AO35 AI28" xr:uid="{8FDA0AEB-B499-4D67-B84A-A8721140B463}">
      <formula1>$AY$67:$AY$69</formula1>
    </dataValidation>
    <dataValidation type="list" allowBlank="1" showErrorMessage="1" sqref="W26 Z35" xr:uid="{82C326B2-A4A3-4850-ACE5-DA898C538BF1}">
      <formula1>$AY$67:$AY$71</formula1>
    </dataValidation>
    <dataValidation type="list" allowBlank="1" showErrorMessage="1" sqref="AD26" xr:uid="{EFFE13D7-BAFD-47B5-AFB9-0B3207F154B3}">
      <formula1>$BL$64:$BL$69</formula1>
    </dataValidation>
    <dataValidation type="list" allowBlank="1" showErrorMessage="1" sqref="AJ37" xr:uid="{17A01879-2AA8-43FC-901E-29F24806B772}">
      <formula1>$AS$65:$AS$135</formula1>
    </dataValidation>
    <dataValidation type="list" allowBlank="1" showErrorMessage="1" sqref="C38 K38" xr:uid="{389CF506-7909-439B-BA61-82C0D66DBA56}">
      <formula1>$AS$65:$AS$75</formula1>
    </dataValidation>
    <dataValidation type="list" allowBlank="1" showErrorMessage="1" sqref="AC37" xr:uid="{04AB026A-32F4-402E-9070-3A1F5F8569E6}">
      <formula1>$AQ$65:$AQ$164</formula1>
    </dataValidation>
    <dataValidation type="list" allowBlank="1" showErrorMessage="1" sqref="C2:C17" xr:uid="{F220EBC4-613D-4AA6-B028-713EE82CAA60}">
      <formula1>$BJ$2:$BJ$14</formula1>
    </dataValidation>
  </dataValidations>
  <pageMargins left="0.19685039370078741" right="0.19685039370078741" top="0.39370078740157483" bottom="0.19685039370078741" header="0" footer="0"/>
  <pageSetup paperSize="9" scale="53"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CB1B5-10D5-4FF8-8B12-E89546EF2036}">
  <sheetPr>
    <pageSetUpPr fitToPage="1"/>
  </sheetPr>
  <dimension ref="A1:CZ406"/>
  <sheetViews>
    <sheetView zoomScale="80" zoomScaleNormal="80" workbookViewId="0"/>
  </sheetViews>
  <sheetFormatPr baseColWidth="10" defaultColWidth="0" defaultRowHeight="15" customHeight="1" zeroHeight="1" x14ac:dyDescent="0.2"/>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15" hidden="1" customWidth="1"/>
    <col min="83" max="86" width="10.28515625" style="15" hidden="1" customWidth="1"/>
    <col min="87" max="94" width="8" hidden="1" customWidth="1"/>
    <col min="95" max="95" width="7.5703125" hidden="1" customWidth="1"/>
    <col min="96" max="104" width="8" hidden="1" customWidth="1"/>
    <col min="105" max="16384" width="9.140625" hidden="1"/>
  </cols>
  <sheetData>
    <row r="1" spans="1:104" ht="30" customHeight="1" x14ac:dyDescent="0.2">
      <c r="A1" s="33" t="s">
        <v>9</v>
      </c>
      <c r="B1" s="34" t="str">
        <f>IF(J24="Italiano","NOME GIOCATORE",(IF(J24="Español","NOMBRE JUGADOR",(IF(J24="Deutsch","NAME",(IF(J24="Français","NOM DU JOUEUR","PLAYER NAME")))))))</f>
        <v>NOMBRE JUGADOR</v>
      </c>
      <c r="C1" s="217" t="str">
        <f>IF(J24="Italiano","TIPO",(IF(J24="Español","TIPO",(IF(J24="Deutsch","POSITION",(IF(J24="Français","POSTE","TYPE")))))))</f>
        <v>TIPO</v>
      </c>
      <c r="D1" s="173"/>
      <c r="E1" s="173"/>
      <c r="F1" s="174"/>
      <c r="G1" s="218" t="str">
        <f>IF(J24="Italiano","QTA",(IF(J24="Español","CANT",(IF(J24="Deutsch","An- zahl",(IF(J24="Français","QTT","QTY")))))))</f>
        <v>CANT</v>
      </c>
      <c r="H1" s="173"/>
      <c r="I1" s="174"/>
      <c r="J1" s="34" t="str">
        <f>IF(J24="Español","MO",(IF(J24="Deutsch","BE",(IF(J24="Français","M","MA")))))</f>
        <v>MO</v>
      </c>
      <c r="K1" s="34" t="str">
        <f>IF(J24="Español","FU",(IF(J24="Français","F","ST")))</f>
        <v>FU</v>
      </c>
      <c r="L1" s="34" t="str">
        <f>IF(J24="Deutsch","GE","AG")</f>
        <v>AG</v>
      </c>
      <c r="M1" s="34" t="str">
        <f>IF(J24="Deutsch","WG",(IF(J24="Français","CP","PA")))</f>
        <v>PA</v>
      </c>
      <c r="N1" s="34" t="str">
        <f>IF(J24="Español","AR",(IF(J24="Deutsch","RW",(IF(J24="Français","AR","AV")))))</f>
        <v>AR</v>
      </c>
      <c r="O1" s="217" t="str">
        <f>IF(J24="Italiano","ABILITÀ",(IF(J24="Español","HABILIDADES",(IF(J24="Deutsch","FERTIGKEITEN",(IF(J24="Français","COMPÉTENCES","SKILLS")))))))</f>
        <v>HABILIDADES</v>
      </c>
      <c r="P1" s="219"/>
      <c r="Q1" s="219"/>
      <c r="R1" s="219"/>
      <c r="S1" s="219"/>
      <c r="T1" s="219"/>
      <c r="U1" s="219"/>
      <c r="V1" s="219"/>
      <c r="W1" s="219"/>
      <c r="X1" s="219"/>
      <c r="Y1" s="219"/>
      <c r="Z1" s="219"/>
      <c r="AA1" s="219"/>
      <c r="AB1" s="219"/>
      <c r="AC1" s="219"/>
      <c r="AD1" s="223" t="str">
        <f>IF(J24="Italiano","GIORNO 1",(IF(J24="Español","DÍA 1",(IF(J24="Deutsch","TAG 1",(IF(J24="Français","JOUR 1","DAY 1")))))))</f>
        <v>DÍA 1</v>
      </c>
      <c r="AE1" s="224"/>
      <c r="AF1" s="225"/>
      <c r="AG1" s="223" t="str">
        <f>IF(J24="Italiano","GIORNO 2",(IF(J24="Español","DÍA 2",(IF(J24="Deutsch","TAG 2",(IF(J24="Français","JOUR 2","DAY 2")))))))</f>
        <v>DÍA 2</v>
      </c>
      <c r="AH1" s="224"/>
      <c r="AI1" s="225"/>
      <c r="AJ1" s="218" t="str">
        <f>IF(J24="Italiano","GIORNO 3",(IF(J24="Español","DÍA 3",(IF(J24="Deutsch","TAG 3",(IF(J24="Français","JOUR 3","DAY 3")))))))</f>
        <v>DÍA 3</v>
      </c>
      <c r="AK1" s="221"/>
      <c r="AL1" s="222"/>
      <c r="AM1" s="218" t="str">
        <f>IF(J24="Italiano","COSTO",(IF(J24="Español","PRECIO",(IF(J24="Deutsch","WERT",(IF(J24="Français","VALEUR","COST")))))))</f>
        <v>PRECIO</v>
      </c>
      <c r="AN1" s="221"/>
      <c r="AO1" s="222"/>
      <c r="AP1" s="213"/>
      <c r="AQ1" s="1" t="s">
        <v>10</v>
      </c>
      <c r="AR1" s="2" t="s">
        <v>11</v>
      </c>
      <c r="AS1" s="2"/>
      <c r="AT1" s="2"/>
      <c r="AU1" s="2"/>
      <c r="AV1" s="2"/>
      <c r="AW1" s="2"/>
      <c r="AX1" s="214" t="s">
        <v>12</v>
      </c>
      <c r="AY1" s="215"/>
      <c r="AZ1" s="215"/>
      <c r="BA1" s="215"/>
      <c r="BB1" s="215"/>
      <c r="BC1" s="215"/>
      <c r="BD1" s="215"/>
      <c r="BE1" s="215"/>
      <c r="BF1" s="216"/>
      <c r="BG1" s="2"/>
      <c r="BH1" s="2"/>
      <c r="BI1" s="2"/>
      <c r="BJ1" s="2"/>
      <c r="BK1" s="2"/>
      <c r="BL1" s="2"/>
      <c r="BM1" s="2"/>
      <c r="BN1" s="2"/>
      <c r="BO1" s="2" t="str">
        <f>INDEX(BY3:BY33,(SUM(BY2:CB2)))</f>
        <v>Old World Alliance</v>
      </c>
      <c r="BP1" s="2"/>
      <c r="BQ1" s="2"/>
      <c r="BR1" s="2"/>
      <c r="BS1" s="2"/>
      <c r="BT1" s="2"/>
      <c r="BU1" s="3"/>
      <c r="BV1" s="3"/>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1:104" ht="37.5" customHeight="1" x14ac:dyDescent="0.2">
      <c r="A2" s="33">
        <v>1</v>
      </c>
      <c r="B2" s="28"/>
      <c r="C2" s="205"/>
      <c r="D2" s="206"/>
      <c r="E2" s="206"/>
      <c r="F2" s="207"/>
      <c r="G2" s="35">
        <f>IF(C2="",0,(COUNTIF(C2:F17,C2)))</f>
        <v>0</v>
      </c>
      <c r="H2" s="36" t="s">
        <v>13</v>
      </c>
      <c r="I2" s="37">
        <f>IFERROR((VLOOKUP($BO$1&amp;C2,TeamsViejaGloria!D:M,10,0)),0)</f>
        <v>0</v>
      </c>
      <c r="J2" s="38">
        <f t="shared" ref="J2:K17" si="0">IFERROR(K66,0)</f>
        <v>0</v>
      </c>
      <c r="K2" s="38">
        <f t="shared" si="0"/>
        <v>0</v>
      </c>
      <c r="L2" s="38" t="str">
        <f t="shared" ref="L2:N17" si="1">IFERROR(M66&amp;"+",0)</f>
        <v>0+</v>
      </c>
      <c r="M2" s="38" t="str">
        <f t="shared" si="1"/>
        <v>0+</v>
      </c>
      <c r="N2" s="38" t="str">
        <f t="shared" si="1"/>
        <v>0+</v>
      </c>
      <c r="O2" s="200">
        <f>IFERROR((IF(AV2="YES",(VLOOKUP($BO$1&amp;C2,TeamsViejaGloria!D:M,7,0)),AW2)),"")</f>
        <v>0</v>
      </c>
      <c r="P2" s="201"/>
      <c r="Q2" s="201"/>
      <c r="R2" s="201"/>
      <c r="S2" s="201"/>
      <c r="T2" s="201"/>
      <c r="U2" s="201"/>
      <c r="V2" s="201"/>
      <c r="W2" s="201"/>
      <c r="X2" s="201"/>
      <c r="Y2" s="201"/>
      <c r="Z2" s="201"/>
      <c r="AA2" s="201"/>
      <c r="AB2" s="201"/>
      <c r="AC2" s="202"/>
      <c r="AD2" s="208"/>
      <c r="AE2" s="209"/>
      <c r="AF2" s="209"/>
      <c r="AG2" s="208"/>
      <c r="AH2" s="209"/>
      <c r="AI2" s="209"/>
      <c r="AJ2" s="208"/>
      <c r="AK2" s="209"/>
      <c r="AL2" s="209"/>
      <c r="AM2" s="203">
        <f>IFERROR((VLOOKUP($BO$1&amp;C2,TeamsViejaGloria!D:M,8,0)),0)</f>
        <v>0</v>
      </c>
      <c r="AN2" s="211"/>
      <c r="AO2" s="204"/>
      <c r="AP2" s="213"/>
      <c r="AQ2" s="1">
        <f>IFERROR((((VLOOKUP($BO$1&amp;C2,TeamsViejaGloria!D:M,9,0)+(#REF!/1000)))),0)</f>
        <v>0</v>
      </c>
      <c r="AR2" s="2">
        <f>IFERROR((VLOOKUP($BO$1&amp;C2,TeamsViejaGloria!D:N,11,0)),0)</f>
        <v>0</v>
      </c>
      <c r="AS2" s="2" t="str">
        <f>IF(G2&gt;I2,(IF($J$24="Italiano","Limite del giocatore superato... Stai barando!",(IF($J$24="Español","Límite de jugadores excedido… ¡Estás haciendo trampas!",(IF($J$24="Deutsch","Spieler-Limit überschritten… Du schummelst!",(IF($J$24="Français","Tu as trop de joueurs… Tricheur!","Player limit exceded… You are cheating!")))))))),"")</f>
        <v/>
      </c>
      <c r="AT2" s="2" t="str">
        <f>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2"/>
      <c r="AV2" s="2" t="str">
        <f>IF(AS2&lt;&gt;"","NO",IF(AT2&lt;&gt;"","NO",IF(AU2&lt;&gt;"","NO","YES")))</f>
        <v>YES</v>
      </c>
      <c r="AW2" s="2" t="str">
        <f t="shared" ref="AW2:AW17" si="2">IF(AS2&lt;&gt;"",AS2,(IF(AT2&lt;&gt;"",AT2,(IF(AU2&lt;&gt;"",AU2,"")))))</f>
        <v/>
      </c>
      <c r="AX2" s="39" t="str">
        <f t="shared" ref="AX2:AX17" si="3">IF(Y2&lt;&gt;"",(IF(OR(Y2="+ MA", Y2="+ST", Y2="- PA", Y2="+ AV", Y2="+ MO", Y2="+ FU", Y2="+ M", Y2="+ F", Y2="- CP", Y2="- AG", Y2="+ AR", Y2="+ BE", Y2="+ ST", Y2="- WG", Y2="- GE", Y2="+ RW"),"",BG2&amp;Y2)),"")</f>
        <v/>
      </c>
      <c r="AY2" s="39" t="str">
        <f t="shared" ref="AY2:AY17" si="4">IF(AA2&lt;&gt;"",(IF(OR(AA2="+ MA", AA2="+ST", AA2="- PA", AA2="+ AV", AA2="+ MO", AA2="+ FU", AA2="+ M", AA2="+ F", AA2="- CP", AA2="- AG", AA2="+ AR", AA2="+ BE", AA2="+ ST", AA2="- WG", AA2="- GE", AA2="+ RW"),"",", "&amp;AA2)),"")</f>
        <v/>
      </c>
      <c r="AZ2" s="39" t="str">
        <f t="shared" ref="AZ2:AZ17" si="5">IF(AC2&lt;&gt;"",(IF(OR(AC2="+ MA", AC2="+ST", AC2="- PA", AC2="+ AV", AC2="+ MO", AC2="+ FU", AC2="+ M", AC2="+ F", AC2="- CP", AC2="- AG", AC2="+ AR", AC2="+ BE", AC2="+ ST", AC2="- WG", AC2="- GE", AC2="+ RW"),"",", "&amp;AC2)),"")</f>
        <v/>
      </c>
      <c r="BA2" s="39" t="str">
        <f t="shared" ref="BA2:BA17" si="6">IF(AD2&lt;&gt;"",(IF(OR(AD2="+ MA", AD2="+ST", AD2="- PA", AD2="+ AV", AD2="+ MO", AD2="+ FU", AD2="+ M", AD2="+ F", AD2="- CP", AD2="- AG", AD2="+ AR", AD2="+ BE", AD2="+ ST", AD2="- WG", AD2="- GE", AD2="+ RW"),"",", "&amp;AD2)),"")</f>
        <v/>
      </c>
      <c r="BB2" s="39"/>
      <c r="BC2" s="39"/>
      <c r="BD2" s="39" t="str">
        <f t="shared" ref="BD2:BD17" si="7">IF(AC43=0,"",BH2&amp;AC43)</f>
        <v/>
      </c>
      <c r="BE2" s="39" t="str">
        <f t="shared" ref="BE2:BE17" si="8">((IF(AJ43&gt;0," - "&amp;AJ43&amp;" NI", "")))</f>
        <v/>
      </c>
      <c r="BF2" s="40" t="e">
        <f>IF(#REF!&lt;0,"",AX2&amp;AY2&amp;AZ2&amp;BA2&amp;BB2&amp;BC2&amp;BD2&amp;BE2)</f>
        <v>#REF!</v>
      </c>
      <c r="BG2" s="4" t="str">
        <f>IFERROR((IF((VLOOKUP($BO$1&amp;C2,TeamsViejaGloria!D:M,7,0))="","",", ")),"")</f>
        <v xml:space="preserve">, </v>
      </c>
      <c r="BH2" t="str">
        <f>IF(AND((VLOOKUP($BO$1&amp;C2,TeamsViejaGloria!D:M,7,0))="",AX2=""),"",", ")</f>
        <v xml:space="preserve">, </v>
      </c>
      <c r="BI2" s="2" t="str">
        <f>$BO$1&amp;1</f>
        <v>Old World Alliance1</v>
      </c>
      <c r="BJ2" t="str">
        <f>IFERROR(IF((VLOOKUP(BI2,TeamsViejaGloria!B:C,2,FALSE))=0,"",(VLOOKUP(BI2,TeamsViejaGloria!B:C,2,FALSE))),"")</f>
        <v/>
      </c>
      <c r="BK2" s="2"/>
      <c r="BL2" s="2"/>
      <c r="BM2" s="5"/>
      <c r="BN2" s="5" t="s">
        <v>14</v>
      </c>
      <c r="BO2" s="2" t="str">
        <f>INDEX(BN3:BN36,(SUM(BY2:CB2)))</f>
        <v>Norse</v>
      </c>
      <c r="BP2" s="5" t="s">
        <v>15</v>
      </c>
      <c r="BQ2" s="5" t="s">
        <v>16</v>
      </c>
      <c r="BR2" s="5" t="s">
        <v>17</v>
      </c>
      <c r="BS2" s="6" t="s">
        <v>18</v>
      </c>
      <c r="BT2" s="6" t="s">
        <v>19</v>
      </c>
      <c r="BU2" s="3" t="str">
        <f>VLOOKUP(BO1,BL:BT,9,FALSE)</f>
        <v>OldWorldClassic</v>
      </c>
      <c r="BV2" s="3">
        <f>VLOOKUP(BO1,BL1:BU44,10,FALSE)</f>
        <v>0</v>
      </c>
      <c r="BW2" s="3">
        <f>VLOOKUP(BO1,BL1:BV44,11,FALSE)</f>
        <v>0</v>
      </c>
      <c r="BX2" s="6"/>
      <c r="BY2" s="5">
        <f>IFERROR(MATCH($J$23,BY3:BY50,0),0)</f>
        <v>0</v>
      </c>
      <c r="BZ2" s="5">
        <f>IFERROR(MATCH($J$23,BZ3:BZ50,0),0)</f>
        <v>21</v>
      </c>
      <c r="CA2" s="5">
        <f>IFERROR(MATCH($J$23,CA3:CA50,0),0)</f>
        <v>0</v>
      </c>
      <c r="CB2" s="5">
        <f>IFERROR(MATCH($J$23,CB3:CB50,0),0)</f>
        <v>0</v>
      </c>
      <c r="CC2" s="5"/>
      <c r="CD2" s="5"/>
      <c r="CE2" s="41" t="s">
        <v>1083</v>
      </c>
      <c r="CF2" s="41" t="s">
        <v>1084</v>
      </c>
      <c r="CG2" s="41" t="s">
        <v>1085</v>
      </c>
      <c r="CH2" s="41" t="s">
        <v>1086</v>
      </c>
      <c r="CI2" s="2"/>
      <c r="CJ2" s="2"/>
      <c r="CK2" s="2"/>
      <c r="CL2" s="2"/>
      <c r="CM2" s="2"/>
      <c r="CN2" s="2"/>
      <c r="CO2" s="2"/>
      <c r="CP2" s="2"/>
      <c r="CQ2" s="2"/>
      <c r="CR2" s="2"/>
      <c r="CS2" s="2"/>
      <c r="CT2" s="2"/>
      <c r="CU2" s="2"/>
      <c r="CV2" s="2"/>
      <c r="CW2" s="2"/>
      <c r="CX2" s="2"/>
      <c r="CY2" s="2"/>
      <c r="CZ2" s="2"/>
    </row>
    <row r="3" spans="1:104" ht="37.5" customHeight="1" x14ac:dyDescent="0.2">
      <c r="A3" s="33">
        <v>2</v>
      </c>
      <c r="B3" s="29"/>
      <c r="C3" s="205"/>
      <c r="D3" s="206"/>
      <c r="E3" s="206"/>
      <c r="F3" s="207"/>
      <c r="G3" s="35">
        <f>IF(C3="",0,(COUNTIF(C2:F17,C3)))</f>
        <v>0</v>
      </c>
      <c r="H3" s="36" t="s">
        <v>13</v>
      </c>
      <c r="I3" s="37">
        <f>IFERROR((VLOOKUP($BO$1&amp;C3,TeamsViejaGloria!D:M,10,0)),0)</f>
        <v>0</v>
      </c>
      <c r="J3" s="38">
        <f t="shared" si="0"/>
        <v>0</v>
      </c>
      <c r="K3" s="38">
        <f t="shared" si="0"/>
        <v>0</v>
      </c>
      <c r="L3" s="38" t="str">
        <f t="shared" si="1"/>
        <v>0+</v>
      </c>
      <c r="M3" s="38" t="str">
        <f t="shared" si="1"/>
        <v>0+</v>
      </c>
      <c r="N3" s="38" t="str">
        <f t="shared" si="1"/>
        <v>0+</v>
      </c>
      <c r="O3" s="200">
        <f>IFERROR((IF(AV3="YES",(VLOOKUP($BO$1&amp;C3,TeamsViejaGloria!D:M,7,0)),AW3)),"")</f>
        <v>0</v>
      </c>
      <c r="P3" s="201"/>
      <c r="Q3" s="201"/>
      <c r="R3" s="201"/>
      <c r="S3" s="201"/>
      <c r="T3" s="201"/>
      <c r="U3" s="201"/>
      <c r="V3" s="201"/>
      <c r="W3" s="201"/>
      <c r="X3" s="201"/>
      <c r="Y3" s="201"/>
      <c r="Z3" s="201"/>
      <c r="AA3" s="201"/>
      <c r="AB3" s="201"/>
      <c r="AC3" s="202"/>
      <c r="AD3" s="208"/>
      <c r="AE3" s="209"/>
      <c r="AF3" s="209"/>
      <c r="AG3" s="208"/>
      <c r="AH3" s="209"/>
      <c r="AI3" s="209"/>
      <c r="AJ3" s="208"/>
      <c r="AK3" s="209"/>
      <c r="AL3" s="209"/>
      <c r="AM3" s="203">
        <f>IFERROR((VLOOKUP($BO$1&amp;C3,TeamsViejaGloria!D:M,8,0)),0)</f>
        <v>0</v>
      </c>
      <c r="AN3" s="211"/>
      <c r="AO3" s="204"/>
      <c r="AP3" s="213"/>
      <c r="AQ3" s="1">
        <f>IFERROR((((VLOOKUP($BO$1&amp;C3,TeamsViejaGloria!D:M,9,0)+(AK3/1000)))),0)</f>
        <v>0</v>
      </c>
      <c r="AR3" s="2">
        <f>IFERROR((VLOOKUP($BO$1&amp;C3,TeamsViejaGloria!D:N,11,0)),0)</f>
        <v>0</v>
      </c>
      <c r="AS3" s="2" t="str">
        <f t="shared" ref="AS3:AS17" si="9">IF(G3&gt;I3,(IF($J$24="Italiano","Limite del giocatore superato... Stai barando!",(IF($J$24="Español","Límite de jugadores excedido… ¡Estás haciendo trampas!",(IF($J$24="Deutsch","Spieler-Limit überschritten… Du schummelst!",(IF($J$24="Français","Tu as trop de joueurs… Tricheur!","Player limit exceded… You are cheating!")))))))),"")</f>
        <v/>
      </c>
      <c r="AT3" s="2" t="str">
        <f t="shared" ref="AT3:AT15" si="10">IF(AR3&gt;0,(IF($BA$77&gt;$BA$79,(IF($J$24="Italiano","Il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3" s="2"/>
      <c r="AV3" s="2" t="str">
        <f t="shared" ref="AV3:AV17" si="11">IF(AS3&lt;&gt;"","NO",IF(AT3&lt;&gt;"","NO",IF(AU3&lt;&gt;"","NO","YES")))</f>
        <v>YES</v>
      </c>
      <c r="AW3" s="2" t="str">
        <f t="shared" si="2"/>
        <v/>
      </c>
      <c r="AX3" s="39" t="str">
        <f t="shared" si="3"/>
        <v/>
      </c>
      <c r="AY3" s="39" t="str">
        <f t="shared" si="4"/>
        <v/>
      </c>
      <c r="AZ3" s="39" t="str">
        <f t="shared" si="5"/>
        <v/>
      </c>
      <c r="BA3" s="39" t="str">
        <f t="shared" si="6"/>
        <v/>
      </c>
      <c r="BB3" s="39"/>
      <c r="BC3" s="39"/>
      <c r="BD3" s="39" t="str">
        <f t="shared" si="7"/>
        <v/>
      </c>
      <c r="BE3" s="39" t="str">
        <f t="shared" si="8"/>
        <v/>
      </c>
      <c r="BF3" s="40" t="e">
        <f>IF(#REF!&lt;0,"",AX3&amp;AY3&amp;AZ3&amp;BA3&amp;BB3&amp;BC3&amp;BD3&amp;BE3)</f>
        <v>#REF!</v>
      </c>
      <c r="BG3" s="4" t="str">
        <f>IFERROR((IF((VLOOKUP($BO$1&amp;C3,TeamsViejaGloria!D:M,7,0))="","",", ")),"")</f>
        <v xml:space="preserve">, </v>
      </c>
      <c r="BH3" t="str">
        <f>IF(AND((VLOOKUP($BO$1&amp;C3,TeamsViejaGloria!D:M,7,0))="",AX3=""),"",", ")</f>
        <v xml:space="preserve">, </v>
      </c>
      <c r="BI3" s="2" t="str">
        <f>$BO$1&amp;2</f>
        <v>Old World Alliance2</v>
      </c>
      <c r="BJ3" t="str">
        <f>IFERROR(IF((VLOOKUP(BI3,TeamsViejaGloria!B:C,2,FALSE))=0,"",(VLOOKUP(BI3,TeamsViejaGloria!B:C,2,FALSE))),"")</f>
        <v>Lineman</v>
      </c>
      <c r="BK3" s="2"/>
      <c r="BL3" s="2"/>
      <c r="BM3" s="21" t="str">
        <f>IF($J$24="Español",CF3,(IF($J$24="Deutsch",CG3,(IF($J$24="Français",CH3,CE3)))))</f>
        <v>Alianza del Viejo Mundo</v>
      </c>
      <c r="BN3" s="2"/>
      <c r="BO3" s="2"/>
      <c r="BP3" s="2">
        <v>50000</v>
      </c>
      <c r="BQ3" s="2">
        <v>50000</v>
      </c>
      <c r="BR3" s="2">
        <v>0</v>
      </c>
      <c r="BS3" s="42" t="str">
        <f>IF($J$24="Español","Superliga Lustriana",(IF($J$24="Deutsch","Lustria-Superliga",(IF($J$24="Français","Super-Ligue de Lustrie","Lustrian Superleague")))))</f>
        <v>Superliga Lustriana</v>
      </c>
      <c r="BT3" s="3" t="s">
        <v>21</v>
      </c>
      <c r="BU3" s="3"/>
      <c r="BV3" s="3"/>
      <c r="BW3" s="3"/>
      <c r="BX3" s="3"/>
      <c r="BY3" s="2" t="s">
        <v>20</v>
      </c>
      <c r="BZ3" s="2" t="s">
        <v>1680</v>
      </c>
      <c r="CA3" s="44" t="s">
        <v>1681</v>
      </c>
      <c r="CB3" s="1" t="s">
        <v>1682</v>
      </c>
      <c r="CC3" s="25"/>
      <c r="CD3" s="25"/>
      <c r="CE3" s="2" t="s">
        <v>20</v>
      </c>
      <c r="CF3" s="2" t="s">
        <v>120</v>
      </c>
      <c r="CG3" s="44" t="s">
        <v>1681</v>
      </c>
      <c r="CH3" s="1" t="s">
        <v>122</v>
      </c>
      <c r="CI3" s="2"/>
      <c r="CJ3" s="2"/>
      <c r="CK3" s="2"/>
      <c r="CL3" s="23" t="s">
        <v>1475</v>
      </c>
      <c r="CM3" s="23" t="s">
        <v>1486</v>
      </c>
      <c r="CN3" s="43" t="s">
        <v>1488</v>
      </c>
      <c r="CO3" s="25" t="s">
        <v>1487</v>
      </c>
      <c r="CQ3" s="2"/>
      <c r="CR3" s="2"/>
      <c r="CS3" s="2"/>
      <c r="CT3" s="2"/>
      <c r="CU3" s="2"/>
      <c r="CV3" s="2"/>
      <c r="CW3" s="2"/>
      <c r="CX3" s="2"/>
      <c r="CY3" s="2"/>
      <c r="CZ3" s="2"/>
    </row>
    <row r="4" spans="1:104" ht="37.5" customHeight="1" x14ac:dyDescent="0.2">
      <c r="A4" s="33">
        <v>3</v>
      </c>
      <c r="B4" s="29"/>
      <c r="C4" s="205"/>
      <c r="D4" s="206"/>
      <c r="E4" s="206"/>
      <c r="F4" s="207"/>
      <c r="G4" s="35">
        <f>IF(C4="",0,(COUNTIF(C2:F17,C4)))</f>
        <v>0</v>
      </c>
      <c r="H4" s="36" t="s">
        <v>13</v>
      </c>
      <c r="I4" s="37">
        <f>IFERROR((VLOOKUP($BO$1&amp;C4,TeamsViejaGloria!D:M,10,0)),0)</f>
        <v>0</v>
      </c>
      <c r="J4" s="38">
        <f t="shared" si="0"/>
        <v>0</v>
      </c>
      <c r="K4" s="38">
        <f t="shared" si="0"/>
        <v>0</v>
      </c>
      <c r="L4" s="38" t="str">
        <f t="shared" si="1"/>
        <v>0+</v>
      </c>
      <c r="M4" s="38" t="str">
        <f t="shared" si="1"/>
        <v>0+</v>
      </c>
      <c r="N4" s="38" t="str">
        <f t="shared" si="1"/>
        <v>0+</v>
      </c>
      <c r="O4" s="200">
        <f>IFERROR((IF(AV4="YES",(VLOOKUP($BO$1&amp;C4,TeamsViejaGloria!D:M,7,0)),AW4)),"")</f>
        <v>0</v>
      </c>
      <c r="P4" s="201"/>
      <c r="Q4" s="201"/>
      <c r="R4" s="201"/>
      <c r="S4" s="201"/>
      <c r="T4" s="201"/>
      <c r="U4" s="201"/>
      <c r="V4" s="201"/>
      <c r="W4" s="201"/>
      <c r="X4" s="201"/>
      <c r="Y4" s="201"/>
      <c r="Z4" s="201"/>
      <c r="AA4" s="201"/>
      <c r="AB4" s="201"/>
      <c r="AC4" s="202"/>
      <c r="AD4" s="208"/>
      <c r="AE4" s="209"/>
      <c r="AF4" s="209"/>
      <c r="AG4" s="208"/>
      <c r="AH4" s="209"/>
      <c r="AI4" s="209"/>
      <c r="AJ4" s="208"/>
      <c r="AK4" s="209"/>
      <c r="AL4" s="209"/>
      <c r="AM4" s="203">
        <f>IFERROR((VLOOKUP($BO$1&amp;C4,TeamsViejaGloria!D:M,8,0)),0)</f>
        <v>0</v>
      </c>
      <c r="AN4" s="211"/>
      <c r="AO4" s="204"/>
      <c r="AP4" s="213"/>
      <c r="AQ4" s="1">
        <f>IFERROR((((VLOOKUP($BO$1&amp;C4,TeamsViejaGloria!D:M,9,0)+(AK4/1000)))),0)</f>
        <v>0</v>
      </c>
      <c r="AR4" s="2">
        <f>IFERROR((VLOOKUP($BO$1&amp;C4,TeamsViejaGloria!D:N,11,0)),0)</f>
        <v>0</v>
      </c>
      <c r="AS4" s="2" t="str">
        <f t="shared" si="9"/>
        <v/>
      </c>
      <c r="AT4" s="2" t="str">
        <f t="shared" si="10"/>
        <v/>
      </c>
      <c r="AU4" s="2"/>
      <c r="AV4" s="2" t="str">
        <f t="shared" si="11"/>
        <v>YES</v>
      </c>
      <c r="AW4" s="2" t="str">
        <f t="shared" si="2"/>
        <v/>
      </c>
      <c r="AX4" s="39" t="str">
        <f t="shared" si="3"/>
        <v/>
      </c>
      <c r="AY4" s="39" t="str">
        <f t="shared" si="4"/>
        <v/>
      </c>
      <c r="AZ4" s="39" t="str">
        <f t="shared" si="5"/>
        <v/>
      </c>
      <c r="BA4" s="39" t="str">
        <f t="shared" si="6"/>
        <v/>
      </c>
      <c r="BB4" s="39"/>
      <c r="BC4" s="39"/>
      <c r="BD4" s="39" t="str">
        <f t="shared" si="7"/>
        <v/>
      </c>
      <c r="BE4" s="39" t="str">
        <f t="shared" si="8"/>
        <v/>
      </c>
      <c r="BF4" s="40" t="e">
        <f>IF(#REF!&lt;0,"",AX4&amp;AY4&amp;AZ4&amp;BA4&amp;BB4&amp;BC4&amp;BD4&amp;BE4)</f>
        <v>#REF!</v>
      </c>
      <c r="BG4" s="4" t="str">
        <f>IFERROR((IF((VLOOKUP($BO$1&amp;C4,TeamsViejaGloria!D:M,7,0))="","",", ")),"")</f>
        <v xml:space="preserve">, </v>
      </c>
      <c r="BH4" t="str">
        <f>IF(AND((VLOOKUP($BO$1&amp;C4,TeamsViejaGloria!D:M,7,0))="",AX4=""),"",", ")</f>
        <v xml:space="preserve">, </v>
      </c>
      <c r="BI4" s="2" t="str">
        <f>$BO$1&amp;3</f>
        <v>Old World Alliance3</v>
      </c>
      <c r="BJ4" t="str">
        <f>IFERROR(IF((VLOOKUP(BI4,TeamsViejaGloria!B:C,2,FALSE))=0,"",(VLOOKUP(BI4,TeamsViejaGloria!B:C,2,FALSE))),"")</f>
        <v>Catcher</v>
      </c>
      <c r="BK4" s="2"/>
      <c r="BL4" s="2" t="s">
        <v>20</v>
      </c>
      <c r="BM4" s="21" t="str">
        <f t="shared" ref="BM4:BM32" si="12">IF($J$24="Español",CF4,(IF($J$24="Deutsch",CG4,(IF($J$24="Français",CH4,CE4)))))</f>
        <v>Altos Elfos</v>
      </c>
      <c r="BN4" s="2" t="s">
        <v>20</v>
      </c>
      <c r="BO4" s="23"/>
      <c r="BP4" s="23">
        <v>60000</v>
      </c>
      <c r="BQ4" s="23">
        <v>50000</v>
      </c>
      <c r="BR4" s="23">
        <v>0</v>
      </c>
      <c r="BS4" s="24" t="str">
        <f>IF($K$25="Español","Superliga Lustriana",(IF($K$25="Deutsch","Lustria-Superliga",(IF($K$25="Français","Super-Ligue de Lustrie","Lustrian Superleague")))))</f>
        <v>Lustrian Superleague</v>
      </c>
      <c r="BT4" s="24" t="s">
        <v>21</v>
      </c>
      <c r="BW4" s="23"/>
      <c r="BX4" s="3"/>
      <c r="BY4" s="23" t="s">
        <v>22</v>
      </c>
      <c r="BZ4" s="23" t="s">
        <v>26</v>
      </c>
      <c r="CA4" s="43" t="s">
        <v>27</v>
      </c>
      <c r="CB4" s="25" t="s">
        <v>28</v>
      </c>
      <c r="CC4" s="25"/>
      <c r="CD4" s="25"/>
      <c r="CE4" s="23" t="s">
        <v>22</v>
      </c>
      <c r="CF4" s="23" t="s">
        <v>74</v>
      </c>
      <c r="CG4" s="43" t="s">
        <v>27</v>
      </c>
      <c r="CH4" s="1" t="s">
        <v>1682</v>
      </c>
      <c r="CI4" s="2"/>
      <c r="CJ4" s="2"/>
      <c r="CK4" s="2"/>
      <c r="CL4" s="2"/>
      <c r="CM4" s="2"/>
      <c r="CN4" s="2"/>
      <c r="CO4" s="2"/>
      <c r="CP4" s="2"/>
      <c r="CQ4" s="2"/>
      <c r="CR4" s="2"/>
      <c r="CS4" s="2"/>
      <c r="CT4" s="2"/>
      <c r="CU4" s="2"/>
      <c r="CV4" s="2"/>
      <c r="CW4" s="2"/>
      <c r="CX4" s="2"/>
      <c r="CY4" s="2"/>
      <c r="CZ4" s="2"/>
    </row>
    <row r="5" spans="1:104" ht="37.5" customHeight="1" x14ac:dyDescent="0.2">
      <c r="A5" s="33">
        <v>4</v>
      </c>
      <c r="B5" s="29"/>
      <c r="C5" s="205"/>
      <c r="D5" s="206"/>
      <c r="E5" s="206"/>
      <c r="F5" s="207"/>
      <c r="G5" s="35">
        <f>IF(C5="",0,(COUNTIF(C2:F17,C5)))</f>
        <v>0</v>
      </c>
      <c r="H5" s="36" t="s">
        <v>13</v>
      </c>
      <c r="I5" s="37">
        <f>IFERROR((VLOOKUP($BO$1&amp;C5,TeamsViejaGloria!D:M,10,0)),0)</f>
        <v>0</v>
      </c>
      <c r="J5" s="38">
        <f t="shared" si="0"/>
        <v>0</v>
      </c>
      <c r="K5" s="38">
        <f t="shared" si="0"/>
        <v>0</v>
      </c>
      <c r="L5" s="38" t="str">
        <f t="shared" si="1"/>
        <v>0+</v>
      </c>
      <c r="M5" s="38" t="str">
        <f t="shared" si="1"/>
        <v>0+</v>
      </c>
      <c r="N5" s="38" t="str">
        <f t="shared" si="1"/>
        <v>0+</v>
      </c>
      <c r="O5" s="200">
        <f>IFERROR((IF(AV5="YES",(VLOOKUP($BO$1&amp;C5,TeamsViejaGloria!D:M,7,0)),AW5)),"")</f>
        <v>0</v>
      </c>
      <c r="P5" s="201"/>
      <c r="Q5" s="201"/>
      <c r="R5" s="201"/>
      <c r="S5" s="201"/>
      <c r="T5" s="201"/>
      <c r="U5" s="201"/>
      <c r="V5" s="201"/>
      <c r="W5" s="201"/>
      <c r="X5" s="201"/>
      <c r="Y5" s="201"/>
      <c r="Z5" s="201"/>
      <c r="AA5" s="201"/>
      <c r="AB5" s="201"/>
      <c r="AC5" s="202"/>
      <c r="AD5" s="208"/>
      <c r="AE5" s="209"/>
      <c r="AF5" s="209"/>
      <c r="AG5" s="208"/>
      <c r="AH5" s="209"/>
      <c r="AI5" s="209"/>
      <c r="AJ5" s="208"/>
      <c r="AK5" s="209"/>
      <c r="AL5" s="209"/>
      <c r="AM5" s="203">
        <f>IFERROR((VLOOKUP($BO$1&amp;C5,TeamsViejaGloria!D:M,8,0)),0)</f>
        <v>0</v>
      </c>
      <c r="AN5" s="211"/>
      <c r="AO5" s="204"/>
      <c r="AP5" s="213"/>
      <c r="AQ5" s="1">
        <f>IFERROR((((VLOOKUP($BO$1&amp;C5,TeamsViejaGloria!D:M,9,0)+(AK5/1000)))),0)</f>
        <v>0</v>
      </c>
      <c r="AR5" s="2">
        <f>IFERROR((VLOOKUP($BO$1&amp;C5,TeamsViejaGloria!D:N,11,0)),0)</f>
        <v>0</v>
      </c>
      <c r="AS5" s="2" t="str">
        <f t="shared" si="9"/>
        <v/>
      </c>
      <c r="AT5" s="2" t="str">
        <f t="shared" si="10"/>
        <v/>
      </c>
      <c r="AU5" s="2"/>
      <c r="AV5" s="2" t="str">
        <f t="shared" si="11"/>
        <v>YES</v>
      </c>
      <c r="AW5" s="2" t="str">
        <f t="shared" si="2"/>
        <v/>
      </c>
      <c r="AX5" s="39" t="str">
        <f t="shared" si="3"/>
        <v/>
      </c>
      <c r="AY5" s="39" t="str">
        <f t="shared" si="4"/>
        <v/>
      </c>
      <c r="AZ5" s="39" t="str">
        <f t="shared" si="5"/>
        <v/>
      </c>
      <c r="BA5" s="39" t="str">
        <f t="shared" si="6"/>
        <v/>
      </c>
      <c r="BB5" s="39"/>
      <c r="BC5" s="39"/>
      <c r="BD5" s="39" t="str">
        <f t="shared" si="7"/>
        <v/>
      </c>
      <c r="BE5" s="39" t="str">
        <f t="shared" si="8"/>
        <v/>
      </c>
      <c r="BF5" s="40" t="e">
        <f>IF(#REF!&lt;0,"",AX5&amp;AY5&amp;AZ5&amp;BA5&amp;BB5&amp;BC5&amp;BD5&amp;BE5)</f>
        <v>#REF!</v>
      </c>
      <c r="BG5" s="4" t="str">
        <f>IFERROR((IF((VLOOKUP($BO$1&amp;C5,TeamsViejaGloria!D:M,7,0))="","",", ")),"")</f>
        <v xml:space="preserve">, </v>
      </c>
      <c r="BH5" t="str">
        <f>IF(AND((VLOOKUP($BO$1&amp;C5,TeamsViejaGloria!D:M,7,0))="",AX5=""),"",", ")</f>
        <v xml:space="preserve">, </v>
      </c>
      <c r="BI5" s="2" t="str">
        <f>$BO$1&amp;4</f>
        <v>Old World Alliance4</v>
      </c>
      <c r="BJ5" t="str">
        <f>IFERROR(IF((VLOOKUP(BI5,TeamsViejaGloria!B:C,2,FALSE))=0,"",(VLOOKUP(BI5,TeamsViejaGloria!B:C,2,FALSE))),"")</f>
        <v>Thrower</v>
      </c>
      <c r="BK5" s="2"/>
      <c r="BL5" s="2" t="s">
        <v>22</v>
      </c>
      <c r="BM5" s="21" t="str">
        <f t="shared" si="12"/>
        <v>Amazonas</v>
      </c>
      <c r="BN5" s="2" t="s">
        <v>23</v>
      </c>
      <c r="BO5" s="2"/>
      <c r="BP5" s="2">
        <v>60000</v>
      </c>
      <c r="BQ5" s="2">
        <v>50000</v>
      </c>
      <c r="BR5" s="2">
        <v>1</v>
      </c>
      <c r="BS5" s="42" t="str">
        <f>IF($J$24="Español","Reyerta en las Yermas y Sobornos y Corrupción",(IF($J$24="Deutsch","Düsterland-Rauferei, Bestechung und Korruption",(IF($J$24="Français","Bagarre des Terres Arides et Chantage &amp; Corruption","Badlands Brawl and Bribery and Corruption")))))</f>
        <v>Reyerta en las Yermas y Sobornos y Corrupción</v>
      </c>
      <c r="BT5" s="3" t="s">
        <v>24</v>
      </c>
      <c r="BU5" s="3" t="s">
        <v>25</v>
      </c>
      <c r="BV5" s="3"/>
      <c r="BW5" s="3"/>
      <c r="BX5" s="3"/>
      <c r="BY5" s="23" t="s">
        <v>29</v>
      </c>
      <c r="BZ5" s="23" t="s">
        <v>32</v>
      </c>
      <c r="CA5" s="43" t="s">
        <v>33</v>
      </c>
      <c r="CB5" s="25" t="s">
        <v>34</v>
      </c>
      <c r="CC5" s="25"/>
      <c r="CD5" s="25"/>
      <c r="CE5" s="23" t="s">
        <v>29</v>
      </c>
      <c r="CF5" s="2" t="s">
        <v>1680</v>
      </c>
      <c r="CG5" s="43" t="s">
        <v>33</v>
      </c>
      <c r="CH5" s="1" t="s">
        <v>158</v>
      </c>
      <c r="CI5" s="2"/>
      <c r="CJ5" s="2"/>
      <c r="CK5" s="2"/>
      <c r="CL5" s="2"/>
      <c r="CM5" s="2"/>
      <c r="CN5" s="2"/>
      <c r="CO5" s="2"/>
      <c r="CP5" s="2"/>
      <c r="CQ5" s="2"/>
      <c r="CR5" s="2"/>
      <c r="CS5" s="2"/>
      <c r="CT5" s="2"/>
      <c r="CU5" s="2"/>
      <c r="CV5" s="2"/>
      <c r="CW5" s="2"/>
      <c r="CX5" s="2"/>
      <c r="CY5" s="2"/>
      <c r="CZ5" s="2"/>
    </row>
    <row r="6" spans="1:104" ht="37.5" customHeight="1" x14ac:dyDescent="0.2">
      <c r="A6" s="33">
        <v>5</v>
      </c>
      <c r="B6" s="29"/>
      <c r="C6" s="205"/>
      <c r="D6" s="206"/>
      <c r="E6" s="206"/>
      <c r="F6" s="207"/>
      <c r="G6" s="35">
        <f>IF(C6="",0,(COUNTIF(C2:F17,C6)))</f>
        <v>0</v>
      </c>
      <c r="H6" s="36" t="s">
        <v>13</v>
      </c>
      <c r="I6" s="37">
        <f>IFERROR((VLOOKUP($BO$1&amp;C6,TeamsViejaGloria!D:M,10,0)),0)</f>
        <v>0</v>
      </c>
      <c r="J6" s="38">
        <f t="shared" si="0"/>
        <v>0</v>
      </c>
      <c r="K6" s="38">
        <f t="shared" si="0"/>
        <v>0</v>
      </c>
      <c r="L6" s="38" t="str">
        <f t="shared" si="1"/>
        <v>0+</v>
      </c>
      <c r="M6" s="38" t="str">
        <f t="shared" si="1"/>
        <v>0+</v>
      </c>
      <c r="N6" s="38" t="str">
        <f t="shared" si="1"/>
        <v>0+</v>
      </c>
      <c r="O6" s="200">
        <f>IFERROR((IF(AV6="YES",(VLOOKUP($BO$1&amp;C6,TeamsViejaGloria!D:M,7,0)),AW6)),"")</f>
        <v>0</v>
      </c>
      <c r="P6" s="201"/>
      <c r="Q6" s="201"/>
      <c r="R6" s="201"/>
      <c r="S6" s="201"/>
      <c r="T6" s="201"/>
      <c r="U6" s="201"/>
      <c r="V6" s="201"/>
      <c r="W6" s="201"/>
      <c r="X6" s="201"/>
      <c r="Y6" s="201"/>
      <c r="Z6" s="201"/>
      <c r="AA6" s="201"/>
      <c r="AB6" s="201"/>
      <c r="AC6" s="202"/>
      <c r="AD6" s="208"/>
      <c r="AE6" s="209"/>
      <c r="AF6" s="209"/>
      <c r="AG6" s="208"/>
      <c r="AH6" s="209"/>
      <c r="AI6" s="209"/>
      <c r="AJ6" s="208"/>
      <c r="AK6" s="209"/>
      <c r="AL6" s="209"/>
      <c r="AM6" s="203">
        <f>IFERROR((VLOOKUP($BO$1&amp;C6,TeamsViejaGloria!D:M,8,0)),0)</f>
        <v>0</v>
      </c>
      <c r="AN6" s="211"/>
      <c r="AO6" s="204"/>
      <c r="AP6" s="213"/>
      <c r="AQ6" s="1">
        <f>IFERROR((((VLOOKUP($BO$1&amp;C6,TeamsViejaGloria!D:M,9,0)+(AK6/1000)))),0)</f>
        <v>0</v>
      </c>
      <c r="AR6" s="2">
        <f>IFERROR((VLOOKUP($BO$1&amp;C6,TeamsViejaGloria!D:N,11,0)),0)</f>
        <v>0</v>
      </c>
      <c r="AS6" s="2" t="str">
        <f t="shared" si="9"/>
        <v/>
      </c>
      <c r="AT6" s="2" t="str">
        <f t="shared" si="10"/>
        <v/>
      </c>
      <c r="AU6" s="2"/>
      <c r="AV6" s="2" t="str">
        <f t="shared" si="11"/>
        <v>YES</v>
      </c>
      <c r="AW6" s="2" t="str">
        <f t="shared" si="2"/>
        <v/>
      </c>
      <c r="AX6" s="39" t="str">
        <f t="shared" si="3"/>
        <v/>
      </c>
      <c r="AY6" s="39" t="str">
        <f t="shared" si="4"/>
        <v/>
      </c>
      <c r="AZ6" s="39" t="str">
        <f t="shared" si="5"/>
        <v/>
      </c>
      <c r="BA6" s="39" t="str">
        <f t="shared" si="6"/>
        <v/>
      </c>
      <c r="BB6" s="39"/>
      <c r="BC6" s="39"/>
      <c r="BD6" s="39" t="str">
        <f t="shared" si="7"/>
        <v/>
      </c>
      <c r="BE6" s="39" t="str">
        <f t="shared" si="8"/>
        <v/>
      </c>
      <c r="BF6" s="40" t="e">
        <f>IF(#REF!&lt;0,"",AX6&amp;AY6&amp;AZ6&amp;BA6&amp;BB6&amp;BC6&amp;BD6&amp;BE6)</f>
        <v>#REF!</v>
      </c>
      <c r="BG6" s="4" t="str">
        <f>IFERROR((IF((VLOOKUP($BO$1&amp;C6,TeamsViejaGloria!D:M,7,0))="","",", ")),"")</f>
        <v xml:space="preserve">, </v>
      </c>
      <c r="BH6" t="str">
        <f>IF(AND((VLOOKUP($BO$1&amp;C6,TeamsViejaGloria!D:M,7,0))="",AX6=""),"",", ")</f>
        <v xml:space="preserve">, </v>
      </c>
      <c r="BI6" s="2" t="str">
        <f>$BO$1&amp;5</f>
        <v>Old World Alliance5</v>
      </c>
      <c r="BJ6" t="str">
        <f>IFERROR(IF((VLOOKUP(BI6,TeamsViejaGloria!B:C,2,FALSE))=0,"",(VLOOKUP(BI6,TeamsViejaGloria!B:C,2,FALSE))),"")</f>
        <v>Blitzer</v>
      </c>
      <c r="BK6" s="2"/>
      <c r="BL6" s="2" t="s">
        <v>29</v>
      </c>
      <c r="BM6" s="21" t="str">
        <f t="shared" si="12"/>
        <v>Caos</v>
      </c>
      <c r="BN6" s="2" t="s">
        <v>30</v>
      </c>
      <c r="BO6" s="2"/>
      <c r="BP6" s="2">
        <v>60000</v>
      </c>
      <c r="BQ6" s="2">
        <v>50000</v>
      </c>
      <c r="BR6" s="2">
        <v>1</v>
      </c>
      <c r="BS6" s="42" t="str">
        <f>IF($J$24="Español","Elegido de…",(IF($J$24="Deutsch","Auserwählte des…",(IF($J$24="Français","Favoris de...","Favoured of…")))))</f>
        <v>Elegido de…</v>
      </c>
      <c r="BT6" s="3" t="s">
        <v>31</v>
      </c>
      <c r="BU6" s="3"/>
      <c r="BV6" s="3"/>
      <c r="BW6" s="3"/>
      <c r="BX6" s="3"/>
      <c r="BY6" s="2" t="s">
        <v>35</v>
      </c>
      <c r="BZ6" s="2" t="s">
        <v>38</v>
      </c>
      <c r="CA6" s="44" t="s">
        <v>39</v>
      </c>
      <c r="CB6" s="1" t="s">
        <v>40</v>
      </c>
      <c r="CE6" s="2" t="s">
        <v>35</v>
      </c>
      <c r="CF6" s="23" t="s">
        <v>32</v>
      </c>
      <c r="CG6" s="43" t="s">
        <v>44</v>
      </c>
      <c r="CH6" s="23" t="s">
        <v>51</v>
      </c>
      <c r="CI6" s="2"/>
      <c r="CJ6" s="2"/>
      <c r="CK6" s="2"/>
      <c r="CL6" s="2"/>
      <c r="CM6" s="2"/>
      <c r="CN6" s="2"/>
      <c r="CO6" s="2"/>
      <c r="CP6" s="2"/>
      <c r="CQ6" s="2"/>
      <c r="CR6" s="2"/>
      <c r="CS6" s="2"/>
      <c r="CT6" s="2"/>
      <c r="CU6" s="2"/>
      <c r="CV6" s="2"/>
      <c r="CW6" s="2"/>
      <c r="CX6" s="2"/>
      <c r="CY6" s="2"/>
      <c r="CZ6" s="2"/>
    </row>
    <row r="7" spans="1:104" ht="37.5" customHeight="1" x14ac:dyDescent="0.2">
      <c r="A7" s="33">
        <v>6</v>
      </c>
      <c r="B7" s="29"/>
      <c r="C7" s="205"/>
      <c r="D7" s="206"/>
      <c r="E7" s="206"/>
      <c r="F7" s="207"/>
      <c r="G7" s="35">
        <f>IF(C7="",0,(COUNTIF(C2:F17,C7)))</f>
        <v>0</v>
      </c>
      <c r="H7" s="36" t="s">
        <v>13</v>
      </c>
      <c r="I7" s="37">
        <f>IFERROR((VLOOKUP($BO$1&amp;C7,TeamsViejaGloria!D:M,10,0)),0)</f>
        <v>0</v>
      </c>
      <c r="J7" s="38">
        <f t="shared" si="0"/>
        <v>0</v>
      </c>
      <c r="K7" s="38">
        <f t="shared" si="0"/>
        <v>0</v>
      </c>
      <c r="L7" s="38" t="str">
        <f t="shared" si="1"/>
        <v>0+</v>
      </c>
      <c r="M7" s="38" t="str">
        <f t="shared" si="1"/>
        <v>0+</v>
      </c>
      <c r="N7" s="38" t="str">
        <f t="shared" si="1"/>
        <v>0+</v>
      </c>
      <c r="O7" s="200">
        <f>IFERROR((IF(AV7="YES",(VLOOKUP($BO$1&amp;C7,TeamsViejaGloria!D:M,7,0)),AW7)),"")</f>
        <v>0</v>
      </c>
      <c r="P7" s="201"/>
      <c r="Q7" s="201"/>
      <c r="R7" s="201"/>
      <c r="S7" s="201"/>
      <c r="T7" s="201"/>
      <c r="U7" s="201"/>
      <c r="V7" s="201"/>
      <c r="W7" s="201"/>
      <c r="X7" s="201"/>
      <c r="Y7" s="201"/>
      <c r="Z7" s="201"/>
      <c r="AA7" s="201"/>
      <c r="AB7" s="201"/>
      <c r="AC7" s="202"/>
      <c r="AD7" s="208"/>
      <c r="AE7" s="209"/>
      <c r="AF7" s="209"/>
      <c r="AG7" s="208"/>
      <c r="AH7" s="209"/>
      <c r="AI7" s="209"/>
      <c r="AJ7" s="208"/>
      <c r="AK7" s="209"/>
      <c r="AL7" s="209"/>
      <c r="AM7" s="203">
        <f>IFERROR((VLOOKUP($BO$1&amp;C7,TeamsViejaGloria!D:M,8,0)),0)</f>
        <v>0</v>
      </c>
      <c r="AN7" s="211"/>
      <c r="AO7" s="204"/>
      <c r="AP7" s="213"/>
      <c r="AQ7" s="1">
        <f>IFERROR((((VLOOKUP($BO$1&amp;C7,TeamsViejaGloria!D:M,9,0)+(AK7/1000)))),0)</f>
        <v>0</v>
      </c>
      <c r="AR7" s="2">
        <f>IFERROR((VLOOKUP($BO$1&amp;C7,TeamsViejaGloria!D:N,11,0)),0)</f>
        <v>0</v>
      </c>
      <c r="AS7" s="2" t="str">
        <f t="shared" si="9"/>
        <v/>
      </c>
      <c r="AT7" s="2" t="str">
        <f t="shared" si="10"/>
        <v/>
      </c>
      <c r="AU7" s="2"/>
      <c r="AV7" s="2" t="str">
        <f t="shared" si="11"/>
        <v>YES</v>
      </c>
      <c r="AW7" s="2" t="str">
        <f t="shared" si="2"/>
        <v/>
      </c>
      <c r="AX7" s="39" t="str">
        <f t="shared" si="3"/>
        <v/>
      </c>
      <c r="AY7" s="39" t="str">
        <f t="shared" si="4"/>
        <v/>
      </c>
      <c r="AZ7" s="39" t="str">
        <f t="shared" si="5"/>
        <v/>
      </c>
      <c r="BA7" s="39" t="str">
        <f t="shared" si="6"/>
        <v/>
      </c>
      <c r="BB7" s="39"/>
      <c r="BC7" s="39"/>
      <c r="BD7" s="39" t="str">
        <f t="shared" si="7"/>
        <v/>
      </c>
      <c r="BE7" s="39" t="str">
        <f t="shared" si="8"/>
        <v/>
      </c>
      <c r="BF7" s="40" t="e">
        <f>IF(#REF!&lt;0,"",AX7&amp;AY7&amp;AZ7&amp;BA7&amp;BB7&amp;BC7&amp;BD7&amp;BE7)</f>
        <v>#REF!</v>
      </c>
      <c r="BG7" s="4" t="str">
        <f>IFERROR((IF((VLOOKUP($BO$1&amp;C7,TeamsViejaGloria!D:M,7,0))="","",", ")),"")</f>
        <v xml:space="preserve">, </v>
      </c>
      <c r="BH7" t="str">
        <f>IF(AND((VLOOKUP($BO$1&amp;C7,TeamsViejaGloria!D:M,7,0))="",AX7=""),"",", ")</f>
        <v xml:space="preserve">, </v>
      </c>
      <c r="BI7" s="2" t="str">
        <f>$BO$1&amp;6</f>
        <v>Old World Alliance6</v>
      </c>
      <c r="BJ7" t="str">
        <f>IFERROR(IF((VLOOKUP(BI7,TeamsViejaGloria!B:C,2,FALSE))=0,"",(VLOOKUP(BI7,TeamsViejaGloria!B:C,2,FALSE))),"")</f>
        <v>Halfling Hopeful</v>
      </c>
      <c r="BK7" s="2"/>
      <c r="BL7" s="2"/>
      <c r="BM7" s="21" t="str">
        <f t="shared" si="12"/>
        <v>Elfos Oscuros</v>
      </c>
      <c r="BN7" s="2"/>
      <c r="BO7" s="2"/>
      <c r="BP7" s="2">
        <v>70000</v>
      </c>
      <c r="BQ7" s="2">
        <v>50000</v>
      </c>
      <c r="BR7" s="2">
        <v>1</v>
      </c>
      <c r="BS7" s="42"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Superliga del Fin del Mundo, Reyerta en las Yermas y Elegido de…</v>
      </c>
      <c r="BT7" s="3" t="s">
        <v>37</v>
      </c>
      <c r="BU7" s="3"/>
      <c r="BV7" s="3"/>
      <c r="BW7" s="3"/>
      <c r="BX7" s="3"/>
      <c r="BY7" s="23" t="s">
        <v>41</v>
      </c>
      <c r="BZ7" s="23" t="s">
        <v>43</v>
      </c>
      <c r="CA7" s="43" t="s">
        <v>44</v>
      </c>
      <c r="CB7" s="1" t="s">
        <v>45</v>
      </c>
      <c r="CC7" s="25"/>
      <c r="CD7" s="25"/>
      <c r="CE7" s="23" t="s">
        <v>41</v>
      </c>
      <c r="CF7" s="23" t="s">
        <v>49</v>
      </c>
      <c r="CG7" s="44" t="s">
        <v>39</v>
      </c>
      <c r="CH7" s="1" t="s">
        <v>164</v>
      </c>
      <c r="CI7" s="2"/>
      <c r="CJ7" s="2"/>
      <c r="CK7" s="2"/>
      <c r="CL7" s="2"/>
      <c r="CM7" s="2"/>
      <c r="CN7" s="2"/>
      <c r="CO7" s="2"/>
      <c r="CP7" s="2"/>
      <c r="CQ7" s="2"/>
      <c r="CR7" s="2"/>
      <c r="CS7" s="2"/>
      <c r="CT7" s="2"/>
      <c r="CU7" s="2"/>
      <c r="CV7" s="2"/>
      <c r="CW7" s="2"/>
      <c r="CX7" s="2"/>
      <c r="CY7" s="2"/>
      <c r="CZ7" s="2"/>
    </row>
    <row r="8" spans="1:104" ht="37.5" customHeight="1" x14ac:dyDescent="0.2">
      <c r="A8" s="33">
        <v>7</v>
      </c>
      <c r="B8" s="29"/>
      <c r="C8" s="205"/>
      <c r="D8" s="206"/>
      <c r="E8" s="206"/>
      <c r="F8" s="207"/>
      <c r="G8" s="35">
        <f>IF(C8="",0,(COUNTIF(C2:F17,C8)))</f>
        <v>0</v>
      </c>
      <c r="H8" s="36" t="s">
        <v>13</v>
      </c>
      <c r="I8" s="37">
        <f>IFERROR((VLOOKUP($BO$1&amp;C8,TeamsViejaGloria!D:M,10,0)),0)</f>
        <v>0</v>
      </c>
      <c r="J8" s="38">
        <f t="shared" si="0"/>
        <v>0</v>
      </c>
      <c r="K8" s="38">
        <f t="shared" si="0"/>
        <v>0</v>
      </c>
      <c r="L8" s="38" t="str">
        <f t="shared" si="1"/>
        <v>0+</v>
      </c>
      <c r="M8" s="38" t="str">
        <f t="shared" si="1"/>
        <v>0+</v>
      </c>
      <c r="N8" s="38" t="str">
        <f t="shared" si="1"/>
        <v>0+</v>
      </c>
      <c r="O8" s="200">
        <f>IFERROR((IF(AV8="YES",(VLOOKUP($BO$1&amp;C8,TeamsViejaGloria!D:M,7,0)),AW8)),"")</f>
        <v>0</v>
      </c>
      <c r="P8" s="201"/>
      <c r="Q8" s="201"/>
      <c r="R8" s="201"/>
      <c r="S8" s="201"/>
      <c r="T8" s="201"/>
      <c r="U8" s="201"/>
      <c r="V8" s="201"/>
      <c r="W8" s="201"/>
      <c r="X8" s="201"/>
      <c r="Y8" s="201"/>
      <c r="Z8" s="201"/>
      <c r="AA8" s="201"/>
      <c r="AB8" s="201"/>
      <c r="AC8" s="202"/>
      <c r="AD8" s="208"/>
      <c r="AE8" s="209"/>
      <c r="AF8" s="209"/>
      <c r="AG8" s="208"/>
      <c r="AH8" s="209"/>
      <c r="AI8" s="209"/>
      <c r="AJ8" s="208"/>
      <c r="AK8" s="209"/>
      <c r="AL8" s="209"/>
      <c r="AM8" s="203">
        <f>IFERROR((VLOOKUP($BO$1&amp;C8,TeamsViejaGloria!D:M,8,0)),0)</f>
        <v>0</v>
      </c>
      <c r="AN8" s="211"/>
      <c r="AO8" s="204"/>
      <c r="AP8" s="213"/>
      <c r="AQ8" s="1">
        <f>IFERROR((((VLOOKUP($BO$1&amp;C8,TeamsViejaGloria!D:M,9,0)+(AK8/1000)))),0)</f>
        <v>0</v>
      </c>
      <c r="AR8" s="2">
        <f>IFERROR((VLOOKUP($BO$1&amp;C8,TeamsViejaGloria!D:N,11,0)),0)</f>
        <v>0</v>
      </c>
      <c r="AS8" s="2" t="str">
        <f t="shared" si="9"/>
        <v/>
      </c>
      <c r="AT8" s="2" t="str">
        <f t="shared" si="10"/>
        <v/>
      </c>
      <c r="AU8" s="2"/>
      <c r="AV8" s="2" t="str">
        <f t="shared" si="11"/>
        <v>YES</v>
      </c>
      <c r="AW8" s="2" t="str">
        <f t="shared" si="2"/>
        <v/>
      </c>
      <c r="AX8" s="39" t="str">
        <f t="shared" si="3"/>
        <v/>
      </c>
      <c r="AY8" s="39" t="str">
        <f t="shared" si="4"/>
        <v/>
      </c>
      <c r="AZ8" s="39" t="str">
        <f t="shared" si="5"/>
        <v/>
      </c>
      <c r="BA8" s="39" t="str">
        <f t="shared" si="6"/>
        <v/>
      </c>
      <c r="BB8" s="39"/>
      <c r="BC8" s="39"/>
      <c r="BD8" s="39" t="str">
        <f t="shared" si="7"/>
        <v/>
      </c>
      <c r="BE8" s="39" t="str">
        <f t="shared" si="8"/>
        <v/>
      </c>
      <c r="BF8" s="40" t="e">
        <f>IF(#REF!&lt;0,"",AX8&amp;AY8&amp;AZ8&amp;BA8&amp;BB8&amp;BC8&amp;BD8&amp;BE8)</f>
        <v>#REF!</v>
      </c>
      <c r="BG8" s="4" t="str">
        <f>IFERROR((IF((VLOOKUP($BO$1&amp;C8,TeamsViejaGloria!D:M,7,0))="","",", ")),"")</f>
        <v xml:space="preserve">, </v>
      </c>
      <c r="BH8" t="str">
        <f>IF(AND((VLOOKUP($BO$1&amp;C8,TeamsViejaGloria!D:M,7,0))="",AX8=""),"",", ")</f>
        <v xml:space="preserve">, </v>
      </c>
      <c r="BI8" s="2" t="str">
        <f>$BO$1&amp;7</f>
        <v>Old World Alliance7</v>
      </c>
      <c r="BJ8" t="str">
        <f>IFERROR(IF((VLOOKUP(BI8,TeamsViejaGloria!B:C,2,FALSE))=0,"",(VLOOKUP(BI8,TeamsViejaGloria!B:C,2,FALSE))),"")</f>
        <v>Dwarf Blocker</v>
      </c>
      <c r="BK8" s="2"/>
      <c r="BL8" s="2" t="s">
        <v>35</v>
      </c>
      <c r="BM8" s="21" t="str">
        <f>IF($J$24="Español",CF8,(IF($J$24="Deutsch",CG8,(IF($J$24="Français",CH17,CE8)))))</f>
        <v>Elfos Pro</v>
      </c>
      <c r="BN8" s="2" t="s">
        <v>36</v>
      </c>
      <c r="BP8" s="2">
        <v>70000</v>
      </c>
      <c r="BQ8" s="2">
        <v>50000</v>
      </c>
      <c r="BR8" s="2">
        <v>1</v>
      </c>
      <c r="BS8" s="42" t="str">
        <f>IF($J$24="Español","Reyerta en las Yermas y Elegido de Hashut",(IF($J$24="Deutsch","Düsterland-Rauferei und Auserwählte des Hashut",(IF($J$24="Français","Baggare des Terres Arides et Favoris de Hashut","Badlands Brawl and Favoured of Hashut")))))</f>
        <v>Reyerta en las Yermas y Elegido de Hashut</v>
      </c>
      <c r="BT8" s="3" t="s">
        <v>1508</v>
      </c>
      <c r="BX8" s="3"/>
      <c r="BY8" s="23" t="s">
        <v>46</v>
      </c>
      <c r="BZ8" s="23" t="s">
        <v>49</v>
      </c>
      <c r="CA8" s="24" t="s">
        <v>50</v>
      </c>
      <c r="CB8" s="23" t="s">
        <v>51</v>
      </c>
      <c r="CC8" s="25"/>
      <c r="CD8" s="25"/>
      <c r="CE8" s="23" t="s">
        <v>46</v>
      </c>
      <c r="CF8" s="23" t="s">
        <v>59</v>
      </c>
      <c r="CG8" s="24" t="s">
        <v>50</v>
      </c>
      <c r="CH8" s="25" t="s">
        <v>34</v>
      </c>
      <c r="CI8" s="2"/>
      <c r="CK8" s="2"/>
      <c r="CL8" s="2"/>
      <c r="CM8" s="2"/>
      <c r="CN8" s="2"/>
      <c r="CO8" s="2"/>
      <c r="CP8" s="2"/>
      <c r="CQ8" s="2"/>
      <c r="CR8" s="2"/>
      <c r="CS8" s="2"/>
      <c r="CT8" s="2"/>
      <c r="CU8" s="2"/>
      <c r="CV8" s="2"/>
      <c r="CW8" s="2"/>
      <c r="CX8" s="2"/>
      <c r="CY8" s="2"/>
      <c r="CZ8" s="2"/>
    </row>
    <row r="9" spans="1:104" ht="37.5" customHeight="1" x14ac:dyDescent="0.2">
      <c r="A9" s="33">
        <v>8</v>
      </c>
      <c r="B9" s="29"/>
      <c r="C9" s="205"/>
      <c r="D9" s="206"/>
      <c r="E9" s="206"/>
      <c r="F9" s="207"/>
      <c r="G9" s="35">
        <f>IF(C9="",0,(COUNTIF(C2:F17,C9)))</f>
        <v>0</v>
      </c>
      <c r="H9" s="36" t="s">
        <v>13</v>
      </c>
      <c r="I9" s="37">
        <f>IFERROR((VLOOKUP($BO$1&amp;C9,TeamsViejaGloria!D:M,10,0)),0)</f>
        <v>0</v>
      </c>
      <c r="J9" s="38">
        <f t="shared" si="0"/>
        <v>0</v>
      </c>
      <c r="K9" s="38">
        <f t="shared" si="0"/>
        <v>0</v>
      </c>
      <c r="L9" s="38" t="str">
        <f t="shared" si="1"/>
        <v>0+</v>
      </c>
      <c r="M9" s="38" t="str">
        <f t="shared" si="1"/>
        <v>0+</v>
      </c>
      <c r="N9" s="38" t="str">
        <f t="shared" si="1"/>
        <v>0+</v>
      </c>
      <c r="O9" s="200">
        <f>IFERROR((IF(AV9="YES",(VLOOKUP($BO$1&amp;C9,TeamsViejaGloria!D:M,7,0)),AW9)),"")</f>
        <v>0</v>
      </c>
      <c r="P9" s="201"/>
      <c r="Q9" s="201"/>
      <c r="R9" s="201"/>
      <c r="S9" s="201"/>
      <c r="T9" s="201"/>
      <c r="U9" s="201"/>
      <c r="V9" s="201"/>
      <c r="W9" s="201"/>
      <c r="X9" s="201"/>
      <c r="Y9" s="201"/>
      <c r="Z9" s="201"/>
      <c r="AA9" s="201"/>
      <c r="AB9" s="201"/>
      <c r="AC9" s="202"/>
      <c r="AD9" s="208"/>
      <c r="AE9" s="209"/>
      <c r="AF9" s="209"/>
      <c r="AG9" s="208"/>
      <c r="AH9" s="209"/>
      <c r="AI9" s="209"/>
      <c r="AJ9" s="208"/>
      <c r="AK9" s="209"/>
      <c r="AL9" s="209"/>
      <c r="AM9" s="203">
        <f>IFERROR((VLOOKUP($BO$1&amp;C9,TeamsViejaGloria!D:M,8,0)),0)</f>
        <v>0</v>
      </c>
      <c r="AN9" s="211"/>
      <c r="AO9" s="204"/>
      <c r="AP9" s="213"/>
      <c r="AQ9" s="1">
        <f>IFERROR((((VLOOKUP($BO$1&amp;C9,TeamsViejaGloria!D:M,9,0)+(AK9/1000)))),0)</f>
        <v>0</v>
      </c>
      <c r="AR9" s="2">
        <f>IFERROR((VLOOKUP($BO$1&amp;C9,TeamsViejaGloria!D:N,11,0)),0)</f>
        <v>0</v>
      </c>
      <c r="AS9" s="2" t="str">
        <f t="shared" si="9"/>
        <v/>
      </c>
      <c r="AT9" s="2" t="str">
        <f t="shared" si="10"/>
        <v/>
      </c>
      <c r="AU9" s="2"/>
      <c r="AV9" s="2" t="str">
        <f t="shared" si="11"/>
        <v>YES</v>
      </c>
      <c r="AW9" s="2" t="str">
        <f t="shared" si="2"/>
        <v/>
      </c>
      <c r="AX9" s="39" t="str">
        <f t="shared" si="3"/>
        <v/>
      </c>
      <c r="AY9" s="39" t="str">
        <f t="shared" si="4"/>
        <v/>
      </c>
      <c r="AZ9" s="39" t="str">
        <f t="shared" si="5"/>
        <v/>
      </c>
      <c r="BA9" s="39" t="str">
        <f t="shared" si="6"/>
        <v/>
      </c>
      <c r="BB9" s="39"/>
      <c r="BC9" s="39"/>
      <c r="BD9" s="39" t="str">
        <f t="shared" si="7"/>
        <v/>
      </c>
      <c r="BE9" s="39" t="str">
        <f t="shared" si="8"/>
        <v/>
      </c>
      <c r="BF9" s="40" t="e">
        <f>IF(#REF!&lt;0,"",AX9&amp;AY9&amp;AZ9&amp;BA9&amp;BB9&amp;BC9&amp;BD9&amp;BE9)</f>
        <v>#REF!</v>
      </c>
      <c r="BG9" s="4" t="str">
        <f>IFERROR((IF((VLOOKUP($BO$1&amp;C9,TeamsViejaGloria!D:M,7,0))="","",", ")),"")</f>
        <v xml:space="preserve">, </v>
      </c>
      <c r="BH9" t="str">
        <f>IF(AND((VLOOKUP($BO$1&amp;C9,TeamsViejaGloria!D:M,7,0))="",AX9=""),"",", ")</f>
        <v xml:space="preserve">, </v>
      </c>
      <c r="BI9" s="2" t="str">
        <f>$BO$1&amp;8</f>
        <v>Old World Alliance8</v>
      </c>
      <c r="BJ9" t="str">
        <f>IFERROR(IF((VLOOKUP(BI9,TeamsViejaGloria!B:C,2,FALSE))=0,"",(VLOOKUP(BI9,TeamsViejaGloria!B:C,2,FALSE))),"")</f>
        <v>Dwarf Runner</v>
      </c>
      <c r="BK9" s="2"/>
      <c r="BL9" s="2" t="s">
        <v>41</v>
      </c>
      <c r="BM9" s="21" t="str">
        <f t="shared" ref="BM9:BM17" si="13">IF($J$24="Español",CF9,(IF($J$24="Deutsch",CG9,(IF($J$24="Français",CH8,CE9)))))</f>
        <v>Elfos Silvanos</v>
      </c>
      <c r="BN9" s="2" t="s">
        <v>42</v>
      </c>
      <c r="BO9" s="2"/>
      <c r="BP9" s="2">
        <v>70000</v>
      </c>
      <c r="BQ9" s="2">
        <v>50000</v>
      </c>
      <c r="BR9" s="2">
        <v>3</v>
      </c>
      <c r="BS9" s="42" t="str">
        <f>IF($J$24="Español","Elegido de…",(IF($J$24="Deutsch","Auserwählte des…",(IF($J$24="Français","Favoris de...","Favoured of…")))))</f>
        <v>Elegido de…</v>
      </c>
      <c r="BT9" s="3" t="s">
        <v>31</v>
      </c>
      <c r="BU9" s="3"/>
      <c r="BV9" s="3"/>
      <c r="BW9" s="3"/>
      <c r="BX9" s="3"/>
      <c r="BY9" s="23" t="s">
        <v>52</v>
      </c>
      <c r="BZ9" s="23" t="s">
        <v>54</v>
      </c>
      <c r="CA9" s="24" t="s">
        <v>55</v>
      </c>
      <c r="CB9" s="23" t="s">
        <v>56</v>
      </c>
      <c r="CC9" s="23"/>
      <c r="CD9" s="25"/>
      <c r="CE9" s="23" t="s">
        <v>52</v>
      </c>
      <c r="CF9" s="2" t="s">
        <v>162</v>
      </c>
      <c r="CG9" s="3" t="s">
        <v>60</v>
      </c>
      <c r="CH9" s="25" t="s">
        <v>1451</v>
      </c>
      <c r="CI9" s="2"/>
      <c r="CJ9" s="2"/>
      <c r="CK9" s="2"/>
      <c r="CL9" s="2"/>
      <c r="CM9" s="2"/>
      <c r="CN9" s="2"/>
      <c r="CO9" s="2"/>
      <c r="CP9" s="2"/>
      <c r="CQ9" s="2"/>
      <c r="CR9" s="2"/>
      <c r="CS9" s="2"/>
      <c r="CT9" s="2"/>
      <c r="CU9" s="2"/>
      <c r="CV9" s="2"/>
      <c r="CW9" s="2"/>
      <c r="CX9" s="2"/>
      <c r="CY9" s="2"/>
      <c r="CZ9" s="2"/>
    </row>
    <row r="10" spans="1:104" ht="37.5" customHeight="1" x14ac:dyDescent="0.2">
      <c r="A10" s="33">
        <v>9</v>
      </c>
      <c r="B10" s="29"/>
      <c r="C10" s="205"/>
      <c r="D10" s="206"/>
      <c r="E10" s="206"/>
      <c r="F10" s="207"/>
      <c r="G10" s="35">
        <f>IF(C10="",0,(COUNTIF(C2:F17,C10)))</f>
        <v>0</v>
      </c>
      <c r="H10" s="36" t="s">
        <v>13</v>
      </c>
      <c r="I10" s="37">
        <f>IFERROR((VLOOKUP($BO$1&amp;C10,TeamsViejaGloria!D:M,10,0)),0)</f>
        <v>0</v>
      </c>
      <c r="J10" s="38">
        <f t="shared" si="0"/>
        <v>0</v>
      </c>
      <c r="K10" s="38">
        <f t="shared" si="0"/>
        <v>0</v>
      </c>
      <c r="L10" s="38" t="str">
        <f t="shared" si="1"/>
        <v>0+</v>
      </c>
      <c r="M10" s="38" t="str">
        <f t="shared" si="1"/>
        <v>0+</v>
      </c>
      <c r="N10" s="38" t="str">
        <f t="shared" si="1"/>
        <v>0+</v>
      </c>
      <c r="O10" s="200">
        <f>IFERROR((IF(AV10="YES",(VLOOKUP($BO$1&amp;C10,TeamsViejaGloria!D:M,7,0)),AW10)),"")</f>
        <v>0</v>
      </c>
      <c r="P10" s="201"/>
      <c r="Q10" s="201"/>
      <c r="R10" s="201"/>
      <c r="S10" s="201"/>
      <c r="T10" s="201"/>
      <c r="U10" s="201"/>
      <c r="V10" s="201"/>
      <c r="W10" s="201"/>
      <c r="X10" s="201"/>
      <c r="Y10" s="201"/>
      <c r="Z10" s="201"/>
      <c r="AA10" s="201"/>
      <c r="AB10" s="201"/>
      <c r="AC10" s="202"/>
      <c r="AD10" s="208"/>
      <c r="AE10" s="209"/>
      <c r="AF10" s="209"/>
      <c r="AG10" s="208"/>
      <c r="AH10" s="209"/>
      <c r="AI10" s="209"/>
      <c r="AJ10" s="208"/>
      <c r="AK10" s="209"/>
      <c r="AL10" s="209"/>
      <c r="AM10" s="203">
        <f>IFERROR((VLOOKUP($BO$1&amp;C10,TeamsViejaGloria!D:M,8,0)),0)</f>
        <v>0</v>
      </c>
      <c r="AN10" s="211"/>
      <c r="AO10" s="204"/>
      <c r="AP10" s="213"/>
      <c r="AQ10" s="1">
        <f>IFERROR((((VLOOKUP($BO$1&amp;C10,TeamsViejaGloria!D:M,9,0)+(AK10/1000)))),0)</f>
        <v>0</v>
      </c>
      <c r="AR10" s="2">
        <f>IFERROR((VLOOKUP($BO$1&amp;C10,TeamsViejaGloria!D:N,11,0)),0)</f>
        <v>0</v>
      </c>
      <c r="AS10" s="2" t="str">
        <f t="shared" si="9"/>
        <v/>
      </c>
      <c r="AT10" s="2" t="str">
        <f t="shared" si="10"/>
        <v/>
      </c>
      <c r="AU10" s="2"/>
      <c r="AV10" s="2" t="str">
        <f t="shared" si="11"/>
        <v>YES</v>
      </c>
      <c r="AW10" s="2" t="str">
        <f t="shared" si="2"/>
        <v/>
      </c>
      <c r="AX10" s="39" t="str">
        <f t="shared" si="3"/>
        <v/>
      </c>
      <c r="AY10" s="39" t="str">
        <f t="shared" si="4"/>
        <v/>
      </c>
      <c r="AZ10" s="39" t="str">
        <f t="shared" si="5"/>
        <v/>
      </c>
      <c r="BA10" s="39" t="str">
        <f t="shared" si="6"/>
        <v/>
      </c>
      <c r="BB10" s="39"/>
      <c r="BC10" s="39"/>
      <c r="BD10" s="39" t="str">
        <f t="shared" si="7"/>
        <v/>
      </c>
      <c r="BE10" s="39" t="str">
        <f t="shared" si="8"/>
        <v/>
      </c>
      <c r="BF10" s="40" t="e">
        <f>IF(#REF!&lt;0,"",AX10&amp;AY10&amp;AZ10&amp;BA10&amp;BB10&amp;BC10&amp;BD10&amp;BE10)</f>
        <v>#REF!</v>
      </c>
      <c r="BG10" s="4" t="str">
        <f>IFERROR((IF((VLOOKUP($BO$1&amp;C10,TeamsViejaGloria!D:M,7,0))="","",", ")),"")</f>
        <v xml:space="preserve">, </v>
      </c>
      <c r="BH10" t="str">
        <f>IF(AND((VLOOKUP($BO$1&amp;C10,TeamsViejaGloria!D:M,7,0))="",AX10=""),"",", ")</f>
        <v xml:space="preserve">, </v>
      </c>
      <c r="BI10" s="2" t="str">
        <f>$BO$1&amp;9</f>
        <v>Old World Alliance9</v>
      </c>
      <c r="BJ10" t="str">
        <f>IFERROR(IF((VLOOKUP(BI10,TeamsViejaGloria!B:C,2,FALSE))=0,"",(VLOOKUP(BI10,TeamsViejaGloria!B:C,2,FALSE))),"")</f>
        <v>Dwarf Blitzer</v>
      </c>
      <c r="BK10" s="2"/>
      <c r="BL10" s="2" t="s">
        <v>46</v>
      </c>
      <c r="BM10" s="21" t="str">
        <f t="shared" si="13"/>
        <v>Enanos</v>
      </c>
      <c r="BN10" s="2" t="s">
        <v>47</v>
      </c>
      <c r="BO10" s="2"/>
      <c r="BP10" s="2">
        <v>50000</v>
      </c>
      <c r="BQ10" s="2">
        <v>50000</v>
      </c>
      <c r="BR10" s="2">
        <v>0</v>
      </c>
      <c r="BS10" s="42" t="str">
        <f>IF($J$24="Español","Liga de los Reinos Elfos",(IF($J$24="Deutsch","Liga der Elfenkönigreiche",(IF($J$24="Français","Ligue des Royaumes Elfiques","Elven Kingdoms League")))))</f>
        <v>Liga de los Reinos Elfos</v>
      </c>
      <c r="BT10" s="3" t="s">
        <v>48</v>
      </c>
      <c r="BU10" s="3"/>
      <c r="BV10" s="3"/>
      <c r="BW10" s="3"/>
      <c r="BX10" s="3"/>
      <c r="BY10" s="23" t="s">
        <v>57</v>
      </c>
      <c r="BZ10" s="23" t="s">
        <v>59</v>
      </c>
      <c r="CA10" s="3" t="s">
        <v>60</v>
      </c>
      <c r="CB10" s="23" t="s">
        <v>61</v>
      </c>
      <c r="CC10" s="23"/>
      <c r="CD10" s="25"/>
      <c r="CE10" s="23" t="s">
        <v>57</v>
      </c>
      <c r="CF10" s="23" t="s">
        <v>54</v>
      </c>
      <c r="CG10" s="15" t="s">
        <v>1490</v>
      </c>
      <c r="CH10" s="2" t="s">
        <v>66</v>
      </c>
      <c r="CI10" s="2"/>
      <c r="CJ10" s="2"/>
      <c r="CK10" s="2"/>
      <c r="CL10" s="2"/>
      <c r="CM10" s="2"/>
      <c r="CN10" s="2"/>
      <c r="CO10" s="2"/>
      <c r="CP10" s="2"/>
      <c r="CQ10" s="2"/>
      <c r="CR10" s="2"/>
      <c r="CS10" s="2"/>
      <c r="CT10" s="2"/>
      <c r="CU10" s="2"/>
      <c r="CV10" s="2"/>
      <c r="CW10" s="2"/>
      <c r="CX10" s="2"/>
      <c r="CY10" s="2"/>
      <c r="CZ10" s="2"/>
    </row>
    <row r="11" spans="1:104" ht="37.5" customHeight="1" x14ac:dyDescent="0.2">
      <c r="A11" s="33">
        <v>10</v>
      </c>
      <c r="B11" s="29"/>
      <c r="C11" s="205"/>
      <c r="D11" s="206"/>
      <c r="E11" s="206"/>
      <c r="F11" s="207"/>
      <c r="G11" s="35">
        <f>IF(C11="",0,(COUNTIF(C2:F17,C11)))</f>
        <v>0</v>
      </c>
      <c r="H11" s="36" t="s">
        <v>13</v>
      </c>
      <c r="I11" s="37">
        <f>IFERROR((VLOOKUP($BO$1&amp;C11,TeamsViejaGloria!D:M,10,0)),0)</f>
        <v>0</v>
      </c>
      <c r="J11" s="38">
        <f t="shared" si="0"/>
        <v>0</v>
      </c>
      <c r="K11" s="38">
        <f t="shared" si="0"/>
        <v>0</v>
      </c>
      <c r="L11" s="38" t="str">
        <f t="shared" si="1"/>
        <v>0+</v>
      </c>
      <c r="M11" s="38" t="str">
        <f t="shared" si="1"/>
        <v>0+</v>
      </c>
      <c r="N11" s="38" t="str">
        <f t="shared" si="1"/>
        <v>0+</v>
      </c>
      <c r="O11" s="200">
        <f>IFERROR((IF(AV11="YES",(VLOOKUP($BO$1&amp;C11,TeamsViejaGloria!D:M,7,0)),AW11)),"")</f>
        <v>0</v>
      </c>
      <c r="P11" s="201"/>
      <c r="Q11" s="201"/>
      <c r="R11" s="201"/>
      <c r="S11" s="201"/>
      <c r="T11" s="201"/>
      <c r="U11" s="201"/>
      <c r="V11" s="201"/>
      <c r="W11" s="201"/>
      <c r="X11" s="201"/>
      <c r="Y11" s="201"/>
      <c r="Z11" s="201"/>
      <c r="AA11" s="201"/>
      <c r="AB11" s="201"/>
      <c r="AC11" s="202"/>
      <c r="AD11" s="208"/>
      <c r="AE11" s="209"/>
      <c r="AF11" s="209"/>
      <c r="AG11" s="208"/>
      <c r="AH11" s="209"/>
      <c r="AI11" s="209"/>
      <c r="AJ11" s="208"/>
      <c r="AK11" s="209"/>
      <c r="AL11" s="209"/>
      <c r="AM11" s="203">
        <f>IFERROR((VLOOKUP($BO$1&amp;C11,TeamsViejaGloria!D:M,8,0)),0)</f>
        <v>0</v>
      </c>
      <c r="AN11" s="211"/>
      <c r="AO11" s="204"/>
      <c r="AP11" s="213"/>
      <c r="AQ11" s="1">
        <f>IFERROR((((VLOOKUP($BO$1&amp;C11,TeamsViejaGloria!D:M,9,0)+(AK11/1000)))),0)</f>
        <v>0</v>
      </c>
      <c r="AR11" s="2">
        <f>IFERROR((VLOOKUP($BO$1&amp;C11,TeamsViejaGloria!D:N,11,0)),0)</f>
        <v>0</v>
      </c>
      <c r="AS11" s="2" t="str">
        <f t="shared" si="9"/>
        <v/>
      </c>
      <c r="AT11" s="2" t="str">
        <f t="shared" si="10"/>
        <v/>
      </c>
      <c r="AU11" s="2"/>
      <c r="AV11" s="2" t="str">
        <f t="shared" si="11"/>
        <v>YES</v>
      </c>
      <c r="AW11" s="2" t="str">
        <f t="shared" si="2"/>
        <v/>
      </c>
      <c r="AX11" s="39" t="str">
        <f t="shared" si="3"/>
        <v/>
      </c>
      <c r="AY11" s="39" t="str">
        <f t="shared" si="4"/>
        <v/>
      </c>
      <c r="AZ11" s="39" t="str">
        <f t="shared" si="5"/>
        <v/>
      </c>
      <c r="BA11" s="39" t="str">
        <f t="shared" si="6"/>
        <v/>
      </c>
      <c r="BB11" s="39"/>
      <c r="BC11" s="39"/>
      <c r="BD11" s="39" t="str">
        <f t="shared" si="7"/>
        <v/>
      </c>
      <c r="BE11" s="39" t="str">
        <f t="shared" si="8"/>
        <v/>
      </c>
      <c r="BF11" s="40" t="e">
        <f>IF(#REF!&lt;0,"",AX11&amp;AY11&amp;AZ11&amp;BA11&amp;BB11&amp;BC11&amp;BD11&amp;BE11)</f>
        <v>#REF!</v>
      </c>
      <c r="BG11" s="4" t="str">
        <f>IFERROR((IF((VLOOKUP($BO$1&amp;C11,TeamsViejaGloria!D:M,7,0))="","",", ")),"")</f>
        <v xml:space="preserve">, </v>
      </c>
      <c r="BH11" t="str">
        <f>IF(AND((VLOOKUP($BO$1&amp;C11,TeamsViejaGloria!D:M,7,0))="",AX11=""),"",", ")</f>
        <v xml:space="preserve">, </v>
      </c>
      <c r="BI11" s="2" t="str">
        <f>$BO$1&amp;10</f>
        <v>Old World Alliance10</v>
      </c>
      <c r="BJ11" t="str">
        <f>IFERROR(IF((VLOOKUP(BI11,TeamsViejaGloria!B:C,2,FALSE))=0,"",(VLOOKUP(BI11,TeamsViejaGloria!B:C,2,FALSE))),"")</f>
        <v>Dwarf Troll Slayer</v>
      </c>
      <c r="BK11" s="2"/>
      <c r="BL11" s="2" t="s">
        <v>52</v>
      </c>
      <c r="BM11" s="21" t="str">
        <f t="shared" si="13"/>
        <v>Enanos del Caos</v>
      </c>
      <c r="BN11" s="2" t="s">
        <v>52</v>
      </c>
      <c r="BO11" s="2"/>
      <c r="BP11" s="2">
        <v>50000</v>
      </c>
      <c r="BQ11" s="2">
        <v>50000</v>
      </c>
      <c r="BR11" s="2">
        <v>1</v>
      </c>
      <c r="BS11" s="42" t="str">
        <f>IF($J$24="Español","Clásica del Viejo Mundo y Superliga del Fin del Mundo",(IF($J$24="Deutsch","Alte-Welt-Klassiker und Weltrandsuperliga",(IF($J$24="Français","Classique du Vieux Monde et Super-Ligue du Bord du Monde","Old World Classic and Worlds Edge Superleague")))))</f>
        <v>Clásica del Viejo Mundo y Superliga del Fin del Mundo</v>
      </c>
      <c r="BT11" s="3" t="s">
        <v>53</v>
      </c>
      <c r="BU11" s="3"/>
      <c r="BV11" s="3"/>
      <c r="BW11" s="3"/>
      <c r="BX11" s="3"/>
      <c r="BY11" s="23" t="s">
        <v>62</v>
      </c>
      <c r="BZ11" s="23" t="s">
        <v>64</v>
      </c>
      <c r="CA11" s="24" t="s">
        <v>65</v>
      </c>
      <c r="CB11" s="2" t="s">
        <v>66</v>
      </c>
      <c r="CC11" s="23"/>
      <c r="CD11" s="25"/>
      <c r="CE11" s="25" t="s">
        <v>1431</v>
      </c>
      <c r="CF11" s="2" t="s">
        <v>38</v>
      </c>
      <c r="CG11" s="24" t="s">
        <v>65</v>
      </c>
      <c r="CH11" s="23" t="s">
        <v>71</v>
      </c>
      <c r="CI11" s="2"/>
      <c r="CJ11" s="2"/>
      <c r="CK11" s="2"/>
      <c r="CL11" s="2"/>
      <c r="CM11" s="2"/>
      <c r="CN11" s="2"/>
      <c r="CO11" s="2"/>
      <c r="CP11" s="2"/>
      <c r="CQ11" s="2"/>
      <c r="CR11" s="2"/>
      <c r="CS11" s="2"/>
      <c r="CT11" s="2"/>
      <c r="CU11" s="2"/>
      <c r="CV11" s="2"/>
      <c r="CW11" s="2"/>
      <c r="CX11" s="2"/>
      <c r="CY11" s="2"/>
      <c r="CZ11" s="2"/>
    </row>
    <row r="12" spans="1:104" ht="37.5" customHeight="1" x14ac:dyDescent="0.2">
      <c r="A12" s="33">
        <v>11</v>
      </c>
      <c r="B12" s="29"/>
      <c r="C12" s="205"/>
      <c r="D12" s="206"/>
      <c r="E12" s="206"/>
      <c r="F12" s="207"/>
      <c r="G12" s="35">
        <f>IF(C12="",0,(COUNTIF(C2:F17,C12)))</f>
        <v>0</v>
      </c>
      <c r="H12" s="36" t="s">
        <v>13</v>
      </c>
      <c r="I12" s="37">
        <f>IFERROR((VLOOKUP($BO$1&amp;C12,TeamsViejaGloria!D:M,10,0)),0)</f>
        <v>0</v>
      </c>
      <c r="J12" s="38">
        <f t="shared" si="0"/>
        <v>0</v>
      </c>
      <c r="K12" s="38">
        <f t="shared" si="0"/>
        <v>0</v>
      </c>
      <c r="L12" s="38" t="str">
        <f t="shared" si="1"/>
        <v>0+</v>
      </c>
      <c r="M12" s="38" t="str">
        <f t="shared" si="1"/>
        <v>0+</v>
      </c>
      <c r="N12" s="38" t="str">
        <f t="shared" si="1"/>
        <v>0+</v>
      </c>
      <c r="O12" s="200">
        <f>IFERROR((IF(AV12="YES",(VLOOKUP($BO$1&amp;C12,TeamsViejaGloria!D:M,7,0)),AW12)),"")</f>
        <v>0</v>
      </c>
      <c r="P12" s="201"/>
      <c r="Q12" s="201"/>
      <c r="R12" s="201"/>
      <c r="S12" s="201"/>
      <c r="T12" s="201"/>
      <c r="U12" s="201"/>
      <c r="V12" s="201"/>
      <c r="W12" s="201"/>
      <c r="X12" s="201"/>
      <c r="Y12" s="201"/>
      <c r="Z12" s="201"/>
      <c r="AA12" s="201"/>
      <c r="AB12" s="201"/>
      <c r="AC12" s="202"/>
      <c r="AD12" s="208"/>
      <c r="AE12" s="209"/>
      <c r="AF12" s="209"/>
      <c r="AG12" s="208"/>
      <c r="AH12" s="209"/>
      <c r="AI12" s="209"/>
      <c r="AJ12" s="208"/>
      <c r="AK12" s="209"/>
      <c r="AL12" s="209"/>
      <c r="AM12" s="203">
        <f>IFERROR((VLOOKUP($BO$1&amp;C12,TeamsViejaGloria!D:M,8,0)),0)</f>
        <v>0</v>
      </c>
      <c r="AN12" s="211"/>
      <c r="AO12" s="204"/>
      <c r="AP12" s="213"/>
      <c r="AQ12" s="1">
        <f>IFERROR((((VLOOKUP($BO$1&amp;C12,TeamsViejaGloria!D:M,9,0)+(AK12/1000)))),0)</f>
        <v>0</v>
      </c>
      <c r="AR12" s="2">
        <f>IFERROR((VLOOKUP($BO$1&amp;C12,TeamsViejaGloria!D:N,11,0)),0)</f>
        <v>0</v>
      </c>
      <c r="AS12" s="2" t="str">
        <f t="shared" si="9"/>
        <v/>
      </c>
      <c r="AT12" s="2" t="str">
        <f t="shared" si="10"/>
        <v/>
      </c>
      <c r="AU12" s="2"/>
      <c r="AV12" s="2" t="str">
        <f t="shared" si="11"/>
        <v>YES</v>
      </c>
      <c r="AW12" s="2" t="str">
        <f t="shared" si="2"/>
        <v/>
      </c>
      <c r="AX12" s="39" t="str">
        <f t="shared" si="3"/>
        <v/>
      </c>
      <c r="AY12" s="39" t="str">
        <f t="shared" si="4"/>
        <v/>
      </c>
      <c r="AZ12" s="39" t="str">
        <f t="shared" si="5"/>
        <v/>
      </c>
      <c r="BA12" s="39" t="str">
        <f t="shared" si="6"/>
        <v/>
      </c>
      <c r="BB12" s="39"/>
      <c r="BC12" s="39"/>
      <c r="BD12" s="39" t="str">
        <f t="shared" si="7"/>
        <v/>
      </c>
      <c r="BE12" s="39" t="str">
        <f t="shared" si="8"/>
        <v/>
      </c>
      <c r="BF12" s="40" t="e">
        <f>IF(#REF!&lt;0,"",AX12&amp;AY12&amp;AZ12&amp;BA12&amp;BB12&amp;BC12&amp;BD12&amp;BE12)</f>
        <v>#REF!</v>
      </c>
      <c r="BG12" s="4" t="str">
        <f>IFERROR((IF((VLOOKUP($BO$1&amp;C12,TeamsViejaGloria!D:M,7,0))="","",", ")),"")</f>
        <v xml:space="preserve">, </v>
      </c>
      <c r="BH12" t="str">
        <f>IF(AND((VLOOKUP($BO$1&amp;C12,TeamsViejaGloria!D:M,7,0))="",AX12=""),"",", ")</f>
        <v xml:space="preserve">, </v>
      </c>
      <c r="BI12" s="2" t="str">
        <f>$BO$1&amp;11</f>
        <v>Old World Alliance11</v>
      </c>
      <c r="BJ12" t="str">
        <f>IFERROR(IF((VLOOKUP(BI12,TeamsViejaGloria!B:C,2,FALSE))=0,"",(VLOOKUP(BI12,TeamsViejaGloria!B:C,2,FALSE))),"")</f>
        <v>Ogre</v>
      </c>
      <c r="BK12" s="2"/>
      <c r="BL12" s="2" t="s">
        <v>57</v>
      </c>
      <c r="BM12" s="21" t="str">
        <f t="shared" si="13"/>
        <v>Gnomos</v>
      </c>
      <c r="BN12" s="2" t="s">
        <v>58</v>
      </c>
      <c r="BO12" s="2"/>
      <c r="BP12" s="2">
        <v>50000</v>
      </c>
      <c r="BQ12" s="2">
        <v>50000</v>
      </c>
      <c r="BR12" s="2">
        <v>0</v>
      </c>
      <c r="BS12" s="42" t="str">
        <f>IF($J$24="Español","Liga de los Reinos Elfos",(IF($J$24="Deutsch","Liga der Elfenkönigreiche",(IF($J$24="Français","Ligue des Royaumes Elfiques","Elven Kingdoms League")))))</f>
        <v>Liga de los Reinos Elfos</v>
      </c>
      <c r="BT12" s="3" t="s">
        <v>48</v>
      </c>
      <c r="BU12" s="3"/>
      <c r="BV12" s="3"/>
      <c r="BW12" s="3"/>
      <c r="BX12" s="3"/>
      <c r="BY12" s="25" t="s">
        <v>1431</v>
      </c>
      <c r="BZ12" s="25" t="s">
        <v>1450</v>
      </c>
      <c r="CA12" s="15" t="s">
        <v>1490</v>
      </c>
      <c r="CB12" s="25" t="s">
        <v>1451</v>
      </c>
      <c r="CC12" s="23"/>
      <c r="CD12" s="25"/>
      <c r="CE12" s="23" t="s">
        <v>62</v>
      </c>
      <c r="CF12" s="25" t="s">
        <v>1450</v>
      </c>
      <c r="CG12" s="24" t="s">
        <v>70</v>
      </c>
      <c r="CH12" s="25" t="s">
        <v>76</v>
      </c>
      <c r="CI12" s="2"/>
      <c r="CJ12" s="2"/>
      <c r="CK12" s="2"/>
      <c r="CL12" s="2"/>
      <c r="CM12" s="2"/>
      <c r="CN12" s="2"/>
      <c r="CO12" s="2"/>
      <c r="CP12" s="2"/>
      <c r="CQ12" s="2"/>
      <c r="CR12" s="2"/>
      <c r="CS12" s="2"/>
      <c r="CT12" s="2"/>
      <c r="CU12" s="2"/>
      <c r="CV12" s="2"/>
      <c r="CW12" s="2"/>
      <c r="CX12" s="2"/>
      <c r="CY12" s="2"/>
      <c r="CZ12" s="2"/>
    </row>
    <row r="13" spans="1:104" ht="37.5" customHeight="1" x14ac:dyDescent="0.2">
      <c r="A13" s="33">
        <v>12</v>
      </c>
      <c r="B13" s="29"/>
      <c r="C13" s="205"/>
      <c r="D13" s="206"/>
      <c r="E13" s="206"/>
      <c r="F13" s="207"/>
      <c r="G13" s="35">
        <f>IF(C13="",0,(COUNTIF(C2:F17,C13)))</f>
        <v>0</v>
      </c>
      <c r="H13" s="36" t="s">
        <v>13</v>
      </c>
      <c r="I13" s="37">
        <f>IFERROR((VLOOKUP($BO$1&amp;C13,TeamsViejaGloria!D:M,10,0)),0)</f>
        <v>0</v>
      </c>
      <c r="J13" s="38">
        <f t="shared" si="0"/>
        <v>0</v>
      </c>
      <c r="K13" s="38">
        <f t="shared" si="0"/>
        <v>0</v>
      </c>
      <c r="L13" s="38" t="str">
        <f t="shared" si="1"/>
        <v>0+</v>
      </c>
      <c r="M13" s="38" t="str">
        <f t="shared" si="1"/>
        <v>0+</v>
      </c>
      <c r="N13" s="38" t="str">
        <f t="shared" si="1"/>
        <v>0+</v>
      </c>
      <c r="O13" s="200">
        <f>IFERROR((IF(AV13="YES",(VLOOKUP($BO$1&amp;C13,TeamsViejaGloria!D:M,7,0)),AW13)),"")</f>
        <v>0</v>
      </c>
      <c r="P13" s="201"/>
      <c r="Q13" s="201"/>
      <c r="R13" s="201"/>
      <c r="S13" s="201"/>
      <c r="T13" s="201"/>
      <c r="U13" s="201"/>
      <c r="V13" s="201"/>
      <c r="W13" s="201"/>
      <c r="X13" s="201"/>
      <c r="Y13" s="201"/>
      <c r="Z13" s="201"/>
      <c r="AA13" s="201"/>
      <c r="AB13" s="201"/>
      <c r="AC13" s="202"/>
      <c r="AD13" s="208"/>
      <c r="AE13" s="209"/>
      <c r="AF13" s="209"/>
      <c r="AG13" s="208"/>
      <c r="AH13" s="209"/>
      <c r="AI13" s="209"/>
      <c r="AJ13" s="208"/>
      <c r="AK13" s="209"/>
      <c r="AL13" s="209"/>
      <c r="AM13" s="203">
        <f>IFERROR((VLOOKUP($BO$1&amp;C13,TeamsViejaGloria!D:M,8,0)),0)</f>
        <v>0</v>
      </c>
      <c r="AN13" s="211"/>
      <c r="AO13" s="204"/>
      <c r="AP13" s="213"/>
      <c r="AQ13" s="1">
        <f>IFERROR((((VLOOKUP($BO$1&amp;C13,TeamsViejaGloria!D:M,9,0)+(AK13/1000)))),0)</f>
        <v>0</v>
      </c>
      <c r="AR13" s="2">
        <f>IFERROR((VLOOKUP($BO$1&amp;C13,TeamsViejaGloria!D:N,11,0)),0)</f>
        <v>0</v>
      </c>
      <c r="AS13" s="2" t="str">
        <f t="shared" si="9"/>
        <v/>
      </c>
      <c r="AT13" s="2" t="str">
        <f t="shared" si="10"/>
        <v/>
      </c>
      <c r="AU13" s="2"/>
      <c r="AV13" s="2" t="str">
        <f t="shared" si="11"/>
        <v>YES</v>
      </c>
      <c r="AW13" s="2" t="str">
        <f t="shared" si="2"/>
        <v/>
      </c>
      <c r="AX13" s="39" t="str">
        <f t="shared" si="3"/>
        <v/>
      </c>
      <c r="AY13" s="39" t="str">
        <f t="shared" si="4"/>
        <v/>
      </c>
      <c r="AZ13" s="39" t="str">
        <f t="shared" si="5"/>
        <v/>
      </c>
      <c r="BA13" s="39" t="str">
        <f t="shared" si="6"/>
        <v/>
      </c>
      <c r="BB13" s="39"/>
      <c r="BC13" s="39"/>
      <c r="BD13" s="39" t="str">
        <f t="shared" si="7"/>
        <v/>
      </c>
      <c r="BE13" s="39" t="str">
        <f t="shared" si="8"/>
        <v/>
      </c>
      <c r="BF13" s="40" t="e">
        <f>IF(#REF!&lt;0,"",AX13&amp;AY13&amp;AZ13&amp;BA13&amp;BB13&amp;BC13&amp;BD13&amp;BE13)</f>
        <v>#REF!</v>
      </c>
      <c r="BG13" s="4" t="str">
        <f>IFERROR((IF((VLOOKUP($BO$1&amp;C13,TeamsViejaGloria!D:M,7,0))="","",", ")),"")</f>
        <v xml:space="preserve">, </v>
      </c>
      <c r="BH13" t="str">
        <f>IF(AND((VLOOKUP($BO$1&amp;C13,TeamsViejaGloria!D:M,7,0))="",AX13=""),"",", ")</f>
        <v xml:space="preserve">, </v>
      </c>
      <c r="BI13" s="2" t="str">
        <f>$BO$1&amp;12</f>
        <v>Old World Alliance12</v>
      </c>
      <c r="BJ13" t="str">
        <f>IFERROR(IF((VLOOKUP(BI13,TeamsViejaGloria!B:C,2,FALSE))=0,"",(VLOOKUP(BI13,TeamsViejaGloria!B:C,2,FALSE))),"")</f>
        <v>Forest Treeman</v>
      </c>
      <c r="BK13" s="2"/>
      <c r="BL13" s="2" t="s">
        <v>62</v>
      </c>
      <c r="BM13" s="21" t="str">
        <f t="shared" si="13"/>
        <v>Goblins</v>
      </c>
      <c r="BN13" s="2" t="s">
        <v>62</v>
      </c>
      <c r="BO13" s="2"/>
      <c r="BP13" s="2">
        <v>60000</v>
      </c>
      <c r="BQ13" s="2">
        <v>50000</v>
      </c>
      <c r="BR13" s="2">
        <v>2</v>
      </c>
      <c r="BS13" s="42"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Reyerta en las Yermas, Reto del Inframundo y Sobornos y Corrupción</v>
      </c>
      <c r="BT13" s="3" t="s">
        <v>63</v>
      </c>
      <c r="BU13" s="3" t="s">
        <v>25</v>
      </c>
      <c r="BV13" s="3"/>
      <c r="BW13" s="3"/>
      <c r="BX13" s="3"/>
      <c r="BY13" s="23" t="s">
        <v>67</v>
      </c>
      <c r="BZ13" s="23" t="s">
        <v>69</v>
      </c>
      <c r="CA13" s="24" t="s">
        <v>70</v>
      </c>
      <c r="CB13" s="23" t="s">
        <v>71</v>
      </c>
      <c r="CC13" s="23"/>
      <c r="CD13" s="25"/>
      <c r="CE13" s="23" t="s">
        <v>67</v>
      </c>
      <c r="CF13" s="23" t="s">
        <v>64</v>
      </c>
      <c r="CG13" s="43" t="s">
        <v>75</v>
      </c>
      <c r="CH13" s="1" t="s">
        <v>95</v>
      </c>
      <c r="CI13" s="2"/>
      <c r="CJ13" s="2"/>
      <c r="CK13" s="2"/>
      <c r="CL13" s="2"/>
      <c r="CM13" s="2"/>
      <c r="CN13" s="2"/>
      <c r="CO13" s="2"/>
      <c r="CP13" s="2"/>
      <c r="CQ13" s="2"/>
      <c r="CR13" s="2"/>
      <c r="CS13" s="2"/>
      <c r="CT13" s="2"/>
      <c r="CU13" s="2"/>
      <c r="CV13" s="2"/>
      <c r="CW13" s="2"/>
      <c r="CX13" s="2"/>
      <c r="CY13" s="2"/>
      <c r="CZ13" s="2"/>
    </row>
    <row r="14" spans="1:104" ht="37.5" customHeight="1" x14ac:dyDescent="0.2">
      <c r="A14" s="33">
        <v>13</v>
      </c>
      <c r="B14" s="29"/>
      <c r="C14" s="205"/>
      <c r="D14" s="206"/>
      <c r="E14" s="206"/>
      <c r="F14" s="207"/>
      <c r="G14" s="35">
        <f>IF(C14="",0,(COUNTIF(C2:F17,C14)))</f>
        <v>0</v>
      </c>
      <c r="H14" s="36" t="s">
        <v>13</v>
      </c>
      <c r="I14" s="37">
        <f>IFERROR((VLOOKUP($BO$1&amp;C14,TeamsViejaGloria!D:M,10,0)),0)</f>
        <v>0</v>
      </c>
      <c r="J14" s="38">
        <f t="shared" si="0"/>
        <v>0</v>
      </c>
      <c r="K14" s="38">
        <f t="shared" si="0"/>
        <v>0</v>
      </c>
      <c r="L14" s="38" t="str">
        <f t="shared" si="1"/>
        <v>0+</v>
      </c>
      <c r="M14" s="38" t="str">
        <f t="shared" si="1"/>
        <v>0+</v>
      </c>
      <c r="N14" s="38" t="str">
        <f t="shared" si="1"/>
        <v>0+</v>
      </c>
      <c r="O14" s="200">
        <f>IFERROR((IF(AV14="YES",(VLOOKUP($BO$1&amp;C14,TeamsViejaGloria!D:M,7,0)),AW14)),"")</f>
        <v>0</v>
      </c>
      <c r="P14" s="201"/>
      <c r="Q14" s="201"/>
      <c r="R14" s="201"/>
      <c r="S14" s="201"/>
      <c r="T14" s="201"/>
      <c r="U14" s="201"/>
      <c r="V14" s="201"/>
      <c r="W14" s="201"/>
      <c r="X14" s="201"/>
      <c r="Y14" s="201"/>
      <c r="Z14" s="201"/>
      <c r="AA14" s="201"/>
      <c r="AB14" s="201"/>
      <c r="AC14" s="202"/>
      <c r="AD14" s="208"/>
      <c r="AE14" s="209"/>
      <c r="AF14" s="209"/>
      <c r="AG14" s="208"/>
      <c r="AH14" s="209"/>
      <c r="AI14" s="209"/>
      <c r="AJ14" s="208"/>
      <c r="AK14" s="209"/>
      <c r="AL14" s="209"/>
      <c r="AM14" s="203">
        <f>IFERROR((VLOOKUP($BO$1&amp;C14,TeamsViejaGloria!D:M,8,0)),0)</f>
        <v>0</v>
      </c>
      <c r="AN14" s="211"/>
      <c r="AO14" s="204"/>
      <c r="AP14" s="213"/>
      <c r="AQ14" s="1">
        <f>IFERROR((((VLOOKUP($BO$1&amp;C14,TeamsViejaGloria!D:M,9,0)+(AK14/1000)))),0)</f>
        <v>0</v>
      </c>
      <c r="AR14" s="2">
        <f>IFERROR((VLOOKUP($BO$1&amp;C14,TeamsViejaGloria!D:N,11,0)),0)</f>
        <v>0</v>
      </c>
      <c r="AS14" s="2" t="str">
        <f t="shared" si="9"/>
        <v/>
      </c>
      <c r="AT14" s="2" t="str">
        <f t="shared" si="10"/>
        <v/>
      </c>
      <c r="AU14" s="2"/>
      <c r="AV14" s="2" t="str">
        <f t="shared" si="11"/>
        <v>YES</v>
      </c>
      <c r="AW14" s="2" t="str">
        <f t="shared" si="2"/>
        <v/>
      </c>
      <c r="AX14" s="39" t="str">
        <f t="shared" si="3"/>
        <v/>
      </c>
      <c r="AY14" s="39" t="str">
        <f t="shared" si="4"/>
        <v/>
      </c>
      <c r="AZ14" s="39" t="str">
        <f t="shared" si="5"/>
        <v/>
      </c>
      <c r="BA14" s="39" t="str">
        <f t="shared" si="6"/>
        <v/>
      </c>
      <c r="BB14" s="39"/>
      <c r="BC14" s="39"/>
      <c r="BD14" s="39" t="str">
        <f t="shared" si="7"/>
        <v/>
      </c>
      <c r="BE14" s="39" t="str">
        <f t="shared" si="8"/>
        <v/>
      </c>
      <c r="BF14" s="40" t="e">
        <f>IF(#REF!&lt;0,"",AX14&amp;AY14&amp;AZ14&amp;BA14&amp;BB14&amp;BC14&amp;BD14&amp;BE14)</f>
        <v>#REF!</v>
      </c>
      <c r="BG14" s="4" t="str">
        <f>IFERROR((IF((VLOOKUP($BO$1&amp;C14,TeamsViejaGloria!D:M,7,0))="","",", ")),"")</f>
        <v xml:space="preserve">, </v>
      </c>
      <c r="BH14" t="str">
        <f>IF(AND((VLOOKUP($BO$1&amp;C14,TeamsViejaGloria!D:M,7,0))="",AX14=""),"",", ")</f>
        <v xml:space="preserve">, </v>
      </c>
      <c r="BI14" s="2" t="str">
        <f>$BO$1&amp;13</f>
        <v>Old World Alliance13</v>
      </c>
      <c r="BJ14" t="str">
        <f>IFERROR(IF((VLOOKUP(BI14,TeamsViejaGloria!B:C,2,FALSE))=0,"",(VLOOKUP(BI14,TeamsViejaGloria!B:C,2,FALSE))),"")</f>
        <v/>
      </c>
      <c r="BK14" s="2"/>
      <c r="BL14" s="25" t="s">
        <v>1431</v>
      </c>
      <c r="BM14" s="21" t="str">
        <f t="shared" si="13"/>
        <v>Halflings</v>
      </c>
      <c r="BN14" s="25" t="s">
        <v>1431</v>
      </c>
      <c r="BP14" s="2">
        <v>50000</v>
      </c>
      <c r="BQ14" s="2">
        <v>50000</v>
      </c>
      <c r="BR14" s="2">
        <v>2</v>
      </c>
      <c r="BS14" s="42" t="str">
        <f>IF($J$24="Español","Copa Dedal Halfling",(IF($J$24="Deutsch","Halbling-Fingerhut-Pokal",(IF($J$24="Français","Coupe Dé à Coudre Halfling","Halfling Thimble Cup")))))</f>
        <v>Copa Dedal Halfling</v>
      </c>
      <c r="BT14" s="3" t="s">
        <v>1035</v>
      </c>
      <c r="BX14" s="3"/>
      <c r="BY14" s="23" t="s">
        <v>72</v>
      </c>
      <c r="BZ14" s="23" t="s">
        <v>74</v>
      </c>
      <c r="CA14" s="43" t="s">
        <v>75</v>
      </c>
      <c r="CB14" s="25" t="s">
        <v>76</v>
      </c>
      <c r="CC14" s="23"/>
      <c r="CD14" s="25"/>
      <c r="CE14" s="23" t="s">
        <v>72</v>
      </c>
      <c r="CF14" s="23" t="s">
        <v>69</v>
      </c>
      <c r="CG14" s="43" t="s">
        <v>85</v>
      </c>
      <c r="CH14" s="1" t="s">
        <v>101</v>
      </c>
      <c r="CI14" s="2"/>
      <c r="CJ14" s="2"/>
      <c r="CK14" s="2"/>
      <c r="CL14" s="2"/>
      <c r="CM14" s="2"/>
      <c r="CN14" s="2"/>
      <c r="CO14" s="2"/>
      <c r="CP14" s="2"/>
      <c r="CQ14" s="2"/>
      <c r="CR14" s="2"/>
      <c r="CS14" s="2"/>
      <c r="CT14" s="2"/>
      <c r="CU14" s="2"/>
      <c r="CV14" s="2"/>
      <c r="CW14" s="2"/>
      <c r="CX14" s="2"/>
      <c r="CY14" s="2"/>
      <c r="CZ14" s="2"/>
    </row>
    <row r="15" spans="1:104" ht="37.5" customHeight="1" x14ac:dyDescent="0.2">
      <c r="A15" s="33">
        <v>14</v>
      </c>
      <c r="B15" s="29"/>
      <c r="C15" s="205"/>
      <c r="D15" s="206"/>
      <c r="E15" s="206"/>
      <c r="F15" s="207"/>
      <c r="G15" s="35">
        <f>IF(C15="",0,(COUNTIF(C2:F17,C15)))</f>
        <v>0</v>
      </c>
      <c r="H15" s="36" t="s">
        <v>13</v>
      </c>
      <c r="I15" s="37">
        <f>IFERROR((VLOOKUP($BO$1&amp;C15,TeamsViejaGloria!D:M,10,0)),0)</f>
        <v>0</v>
      </c>
      <c r="J15" s="38">
        <f t="shared" si="0"/>
        <v>0</v>
      </c>
      <c r="K15" s="38">
        <f t="shared" si="0"/>
        <v>0</v>
      </c>
      <c r="L15" s="38" t="str">
        <f t="shared" si="1"/>
        <v>0+</v>
      </c>
      <c r="M15" s="38" t="str">
        <f t="shared" si="1"/>
        <v>0+</v>
      </c>
      <c r="N15" s="38" t="str">
        <f t="shared" si="1"/>
        <v>0+</v>
      </c>
      <c r="O15" s="200">
        <f>IFERROR((IF(AV15="YES",(VLOOKUP($BO$1&amp;C15,TeamsViejaGloria!D:M,7,0)),AW15)),"")</f>
        <v>0</v>
      </c>
      <c r="P15" s="201"/>
      <c r="Q15" s="201"/>
      <c r="R15" s="201"/>
      <c r="S15" s="201"/>
      <c r="T15" s="201"/>
      <c r="U15" s="201"/>
      <c r="V15" s="201"/>
      <c r="W15" s="201"/>
      <c r="X15" s="201"/>
      <c r="Y15" s="201"/>
      <c r="Z15" s="201"/>
      <c r="AA15" s="201"/>
      <c r="AB15" s="201"/>
      <c r="AC15" s="202"/>
      <c r="AD15" s="208"/>
      <c r="AE15" s="209"/>
      <c r="AF15" s="209"/>
      <c r="AG15" s="208"/>
      <c r="AH15" s="209"/>
      <c r="AI15" s="209"/>
      <c r="AJ15" s="208"/>
      <c r="AK15" s="209"/>
      <c r="AL15" s="209"/>
      <c r="AM15" s="203">
        <f>IFERROR((VLOOKUP($BO$1&amp;C15,TeamsViejaGloria!D:M,8,0)),0)</f>
        <v>0</v>
      </c>
      <c r="AN15" s="211"/>
      <c r="AO15" s="204"/>
      <c r="AP15" s="213"/>
      <c r="AQ15" s="1">
        <f>IFERROR((((VLOOKUP($BO$1&amp;C15,TeamsViejaGloria!D:M,9,0)+(AK15/1000)))),0)</f>
        <v>0</v>
      </c>
      <c r="AR15" s="2">
        <f>IFERROR((VLOOKUP($BO$1&amp;C15,TeamsViejaGloria!D:N,11,0)),0)</f>
        <v>0</v>
      </c>
      <c r="AS15" s="2" t="str">
        <f t="shared" si="9"/>
        <v/>
      </c>
      <c r="AT15" s="2" t="str">
        <f t="shared" si="10"/>
        <v/>
      </c>
      <c r="AU15" s="2"/>
      <c r="AV15" s="2" t="str">
        <f t="shared" si="11"/>
        <v>YES</v>
      </c>
      <c r="AW15" s="2" t="str">
        <f t="shared" si="2"/>
        <v/>
      </c>
      <c r="AX15" s="39" t="str">
        <f t="shared" si="3"/>
        <v/>
      </c>
      <c r="AY15" s="39" t="str">
        <f t="shared" si="4"/>
        <v/>
      </c>
      <c r="AZ15" s="39" t="str">
        <f t="shared" si="5"/>
        <v/>
      </c>
      <c r="BA15" s="39" t="str">
        <f t="shared" si="6"/>
        <v/>
      </c>
      <c r="BB15" s="39"/>
      <c r="BC15" s="39"/>
      <c r="BD15" s="39" t="str">
        <f t="shared" si="7"/>
        <v/>
      </c>
      <c r="BE15" s="39" t="str">
        <f t="shared" si="8"/>
        <v/>
      </c>
      <c r="BF15" s="40" t="e">
        <f>IF(#REF!&lt;0,"",AX15&amp;AY15&amp;AZ15&amp;BA15&amp;BB15&amp;BC15&amp;BD15&amp;BE15)</f>
        <v>#REF!</v>
      </c>
      <c r="BG15" s="4" t="str">
        <f>IFERROR((IF((VLOOKUP($BO$1&amp;C15,TeamsViejaGloria!D:M,7,0))="","",", ")),"")</f>
        <v xml:space="preserve">, </v>
      </c>
      <c r="BH15" t="str">
        <f>IF(AND((VLOOKUP($BO$1&amp;C15,TeamsViejaGloria!D:M,7,0))="",AX15=""),"",", ")</f>
        <v xml:space="preserve">, </v>
      </c>
      <c r="BI15" s="2"/>
      <c r="BK15" s="2"/>
      <c r="BL15" s="2" t="s">
        <v>67</v>
      </c>
      <c r="BM15" s="21" t="str">
        <f t="shared" si="13"/>
        <v>Humanos</v>
      </c>
      <c r="BN15" s="2" t="s">
        <v>67</v>
      </c>
      <c r="BO15" s="2"/>
      <c r="BP15" s="2">
        <v>60000</v>
      </c>
      <c r="BQ15" s="2">
        <v>50000</v>
      </c>
      <c r="BR15" s="2">
        <v>2</v>
      </c>
      <c r="BS15" s="42" t="str">
        <f>IF($J$24="Español","Copa Dedal Halfling",(IF($J$24="Deutsch","Halbling-Fingerhut-Pokal",(IF($J$24="Français","Coupe Dé à Coudre Halfling","Halfling Thimble Cup")))))</f>
        <v>Copa Dedal Halfling</v>
      </c>
      <c r="BT15" s="3" t="s">
        <v>68</v>
      </c>
      <c r="BU15" s="3"/>
      <c r="BV15" s="3"/>
      <c r="BW15" s="3"/>
      <c r="BX15" s="3"/>
      <c r="BY15" s="23" t="s">
        <v>77</v>
      </c>
      <c r="BZ15" s="23" t="s">
        <v>79</v>
      </c>
      <c r="CA15" s="43" t="s">
        <v>80</v>
      </c>
      <c r="CB15" s="25" t="s">
        <v>81</v>
      </c>
      <c r="CC15" s="25"/>
      <c r="CD15" s="25"/>
      <c r="CE15" s="23" t="s">
        <v>77</v>
      </c>
      <c r="CF15" s="23" t="s">
        <v>79</v>
      </c>
      <c r="CG15" s="46" t="s">
        <v>89</v>
      </c>
      <c r="CH15" s="25" t="s">
        <v>81</v>
      </c>
      <c r="CI15" s="2"/>
      <c r="CJ15" s="2"/>
      <c r="CK15" s="2"/>
      <c r="CL15" s="2"/>
      <c r="CM15" s="2"/>
      <c r="CN15" s="2"/>
      <c r="CO15" s="2"/>
      <c r="CP15" s="2"/>
      <c r="CQ15" s="2"/>
      <c r="CR15" s="2"/>
      <c r="CS15" s="2"/>
      <c r="CT15" s="2"/>
      <c r="CU15" s="2"/>
      <c r="CV15" s="2"/>
      <c r="CW15" s="2"/>
      <c r="CX15" s="2"/>
      <c r="CY15" s="2"/>
      <c r="CZ15" s="2"/>
    </row>
    <row r="16" spans="1:104" ht="37.5" customHeight="1" x14ac:dyDescent="0.2">
      <c r="A16" s="33">
        <v>15</v>
      </c>
      <c r="B16" s="29"/>
      <c r="C16" s="205"/>
      <c r="D16" s="206"/>
      <c r="E16" s="206"/>
      <c r="F16" s="207"/>
      <c r="G16" s="35">
        <f t="shared" ref="G16:G17" si="14">IF(C16="",0,(COUNTIF(C2:F17,C16)))</f>
        <v>0</v>
      </c>
      <c r="H16" s="36" t="s">
        <v>13</v>
      </c>
      <c r="I16" s="37">
        <f>IFERROR((VLOOKUP($BO$1&amp;C16,TeamsViejaGloria!D:M,10,0)),0)</f>
        <v>0</v>
      </c>
      <c r="J16" s="38">
        <f t="shared" si="0"/>
        <v>0</v>
      </c>
      <c r="K16" s="38">
        <f t="shared" si="0"/>
        <v>0</v>
      </c>
      <c r="L16" s="38" t="str">
        <f t="shared" si="1"/>
        <v>0+</v>
      </c>
      <c r="M16" s="38" t="str">
        <f t="shared" si="1"/>
        <v>0+</v>
      </c>
      <c r="N16" s="38" t="str">
        <f t="shared" si="1"/>
        <v>0+</v>
      </c>
      <c r="O16" s="200">
        <f>IFERROR((IF(AV16="YES",(VLOOKUP($BO$1&amp;C16,TeamsViejaGloria!D:M,7,0)),AW16)),"")</f>
        <v>0</v>
      </c>
      <c r="P16" s="201"/>
      <c r="Q16" s="201"/>
      <c r="R16" s="201"/>
      <c r="S16" s="201"/>
      <c r="T16" s="201"/>
      <c r="U16" s="201"/>
      <c r="V16" s="201"/>
      <c r="W16" s="201"/>
      <c r="X16" s="201"/>
      <c r="Y16" s="201"/>
      <c r="Z16" s="201"/>
      <c r="AA16" s="201"/>
      <c r="AB16" s="201"/>
      <c r="AC16" s="202"/>
      <c r="AD16" s="208"/>
      <c r="AE16" s="209"/>
      <c r="AF16" s="209"/>
      <c r="AG16" s="208"/>
      <c r="AH16" s="209"/>
      <c r="AI16" s="209"/>
      <c r="AJ16" s="208"/>
      <c r="AK16" s="209"/>
      <c r="AL16" s="209"/>
      <c r="AM16" s="203">
        <f>IFERROR((VLOOKUP($BO$1&amp;C16,TeamsViejaGloria!D:M,8,0)),0)</f>
        <v>0</v>
      </c>
      <c r="AN16" s="211"/>
      <c r="AO16" s="204"/>
      <c r="AP16" s="213"/>
      <c r="AQ16" s="1">
        <f>IFERROR((((VLOOKUP($BO$1&amp;C16,TeamsViejaGloria!D:M,9,0)+(AK16/1000)))),0)</f>
        <v>0</v>
      </c>
      <c r="AR16" s="2">
        <f>IFERROR((VLOOKUP($BO$1&amp;C16,TeamsViejaGloria!D:N,11,0)),0)</f>
        <v>0</v>
      </c>
      <c r="AS16" s="2" t="str">
        <f t="shared" si="9"/>
        <v/>
      </c>
      <c r="AT16" s="2" t="str">
        <f>IF(AR16&gt;0,(IF($BA$77&gt;$BA$79,(IF($J$24="Italiano","Il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6" s="2"/>
      <c r="AV16" s="2" t="str">
        <f t="shared" si="11"/>
        <v>YES</v>
      </c>
      <c r="AW16" s="2" t="str">
        <f t="shared" si="2"/>
        <v/>
      </c>
      <c r="AX16" s="39" t="str">
        <f t="shared" si="3"/>
        <v/>
      </c>
      <c r="AY16" s="39" t="str">
        <f t="shared" si="4"/>
        <v/>
      </c>
      <c r="AZ16" s="39" t="str">
        <f t="shared" si="5"/>
        <v/>
      </c>
      <c r="BA16" s="39" t="str">
        <f t="shared" si="6"/>
        <v/>
      </c>
      <c r="BB16" s="39"/>
      <c r="BC16" s="39"/>
      <c r="BD16" s="39" t="str">
        <f t="shared" si="7"/>
        <v/>
      </c>
      <c r="BE16" s="39" t="str">
        <f t="shared" si="8"/>
        <v/>
      </c>
      <c r="BF16" s="40" t="e">
        <f>IF(#REF!&lt;0,"",AX16&amp;AY16&amp;AZ16&amp;BA16&amp;BB16&amp;BC16&amp;BD16&amp;BE16)</f>
        <v>#REF!</v>
      </c>
      <c r="BG16" s="4" t="str">
        <f>IFERROR((IF((VLOOKUP($BO$1&amp;C16,TeamsViejaGloria!D:M,7,0))="","",", ")),"")</f>
        <v xml:space="preserve">, </v>
      </c>
      <c r="BH16" t="str">
        <f>IF(AND((VLOOKUP($BO$1&amp;C16,TeamsViejaGloria!D:M,7,0))="",AX16=""),"",", ")</f>
        <v xml:space="preserve">, </v>
      </c>
      <c r="BK16" s="2"/>
      <c r="BL16" s="2" t="s">
        <v>72</v>
      </c>
      <c r="BM16" s="21" t="str">
        <f t="shared" si="13"/>
        <v>Inframundo</v>
      </c>
      <c r="BN16" s="2" t="s">
        <v>73</v>
      </c>
      <c r="BO16" s="2"/>
      <c r="BP16" s="2">
        <v>50000</v>
      </c>
      <c r="BQ16" s="2">
        <v>50000</v>
      </c>
      <c r="BR16" s="2">
        <v>0</v>
      </c>
      <c r="BS16" s="42" t="str">
        <f>IF($J$24="Español","Liga de los Reinos Elfos",(IF($J$24="Deutsch","Liga der Elfenkönigreiche",(IF($J$24="Français","Ligue des Royaumes Elfiques","Elven Kingdoms League")))))</f>
        <v>Liga de los Reinos Elfos</v>
      </c>
      <c r="BT16" s="3" t="s">
        <v>48</v>
      </c>
      <c r="BU16" s="3"/>
      <c r="BV16" s="3"/>
      <c r="BW16" s="3"/>
      <c r="BX16" s="3"/>
      <c r="BY16" s="23" t="s">
        <v>82</v>
      </c>
      <c r="BZ16" s="23" t="s">
        <v>84</v>
      </c>
      <c r="CA16" s="43" t="s">
        <v>85</v>
      </c>
      <c r="CB16" s="25" t="s">
        <v>86</v>
      </c>
      <c r="CC16" s="25"/>
      <c r="CD16" s="25"/>
      <c r="CE16" s="23" t="s">
        <v>82</v>
      </c>
      <c r="CF16" s="2" t="s">
        <v>156</v>
      </c>
      <c r="CG16" s="46" t="s">
        <v>94</v>
      </c>
      <c r="CH16" s="1" t="s">
        <v>90</v>
      </c>
      <c r="CI16" s="2"/>
      <c r="CJ16" s="2"/>
      <c r="CK16" s="2"/>
      <c r="CL16" s="2"/>
      <c r="CM16" s="2"/>
      <c r="CN16" s="2"/>
      <c r="CO16" s="2"/>
      <c r="CP16" s="2"/>
      <c r="CQ16" s="2"/>
      <c r="CR16" s="2"/>
      <c r="CS16" s="2"/>
      <c r="CT16" s="2"/>
      <c r="CU16" s="2"/>
      <c r="CV16" s="2"/>
      <c r="CW16" s="2"/>
      <c r="CX16" s="2"/>
      <c r="CY16" s="2"/>
      <c r="CZ16" s="2"/>
    </row>
    <row r="17" spans="1:104" ht="37.5" customHeight="1" x14ac:dyDescent="0.2">
      <c r="A17" s="33">
        <v>16</v>
      </c>
      <c r="B17" s="29"/>
      <c r="C17" s="205"/>
      <c r="D17" s="206"/>
      <c r="E17" s="206"/>
      <c r="F17" s="207"/>
      <c r="G17" s="35">
        <f t="shared" si="14"/>
        <v>0</v>
      </c>
      <c r="H17" s="36" t="s">
        <v>13</v>
      </c>
      <c r="I17" s="37">
        <f>IFERROR((VLOOKUP($BO$1&amp;C17,TeamsViejaGloria!D:M,10,0)),0)</f>
        <v>0</v>
      </c>
      <c r="J17" s="38">
        <f t="shared" si="0"/>
        <v>0</v>
      </c>
      <c r="K17" s="38">
        <f t="shared" si="0"/>
        <v>0</v>
      </c>
      <c r="L17" s="38" t="str">
        <f t="shared" si="1"/>
        <v>0+</v>
      </c>
      <c r="M17" s="38" t="str">
        <f t="shared" si="1"/>
        <v>0+</v>
      </c>
      <c r="N17" s="38" t="str">
        <f t="shared" si="1"/>
        <v>0+</v>
      </c>
      <c r="O17" s="200">
        <f>IFERROR((IF(AV17="YES",(VLOOKUP($BO$1&amp;C17,TeamsViejaGloria!D:M,7,0)),AW17)),"")</f>
        <v>0</v>
      </c>
      <c r="P17" s="201"/>
      <c r="Q17" s="201"/>
      <c r="R17" s="201"/>
      <c r="S17" s="201"/>
      <c r="T17" s="201"/>
      <c r="U17" s="201"/>
      <c r="V17" s="201"/>
      <c r="W17" s="201"/>
      <c r="X17" s="201"/>
      <c r="Y17" s="201"/>
      <c r="Z17" s="201"/>
      <c r="AA17" s="201"/>
      <c r="AB17" s="201"/>
      <c r="AC17" s="202"/>
      <c r="AD17" s="208"/>
      <c r="AE17" s="209"/>
      <c r="AF17" s="209"/>
      <c r="AG17" s="208"/>
      <c r="AH17" s="209"/>
      <c r="AI17" s="209"/>
      <c r="AJ17" s="208"/>
      <c r="AK17" s="209"/>
      <c r="AL17" s="209"/>
      <c r="AM17" s="203">
        <f>IFERROR((VLOOKUP($BO$1&amp;C17,TeamsViejaGloria!D:M,8,0)),0)</f>
        <v>0</v>
      </c>
      <c r="AN17" s="211"/>
      <c r="AO17" s="204"/>
      <c r="AP17" s="213"/>
      <c r="AQ17" s="1">
        <f>IFERROR((((VLOOKUP($BO$1&amp;C17,TeamsViejaGloria!D:M,9,0)+(AK17/1000)))),0)</f>
        <v>0</v>
      </c>
      <c r="AR17" s="2">
        <f>IFERROR((VLOOKUP($BO$1&amp;C17,TeamsViejaGloria!D:N,11,0)),0)</f>
        <v>0</v>
      </c>
      <c r="AS17" s="2" t="str">
        <f t="shared" si="9"/>
        <v/>
      </c>
      <c r="AT17" s="2" t="str">
        <f>IF(AR17&gt;0,(IF($BA$77&gt;$BA$79,(IF($J$24="Italiano","Il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7" s="2"/>
      <c r="AV17" s="2" t="str">
        <f t="shared" si="11"/>
        <v>YES</v>
      </c>
      <c r="AW17" s="2" t="str">
        <f t="shared" si="2"/>
        <v/>
      </c>
      <c r="AX17" s="39" t="str">
        <f t="shared" si="3"/>
        <v/>
      </c>
      <c r="AY17" s="39" t="str">
        <f t="shared" si="4"/>
        <v/>
      </c>
      <c r="AZ17" s="39" t="str">
        <f t="shared" si="5"/>
        <v/>
      </c>
      <c r="BA17" s="39" t="str">
        <f t="shared" si="6"/>
        <v/>
      </c>
      <c r="BB17" s="39"/>
      <c r="BC17" s="39"/>
      <c r="BD17" s="39" t="str">
        <f t="shared" si="7"/>
        <v/>
      </c>
      <c r="BE17" s="39" t="str">
        <f t="shared" si="8"/>
        <v/>
      </c>
      <c r="BF17" s="40" t="e">
        <f>IF(#REF!&lt;0,"",AX17&amp;AY17&amp;AZ17&amp;BA17&amp;BB17&amp;BC17&amp;BD17&amp;BE17)</f>
        <v>#REF!</v>
      </c>
      <c r="BG17" s="4" t="str">
        <f>IFERROR((IF((VLOOKUP($BO$1&amp;C17,TeamsViejaGloria!D:M,7,0))="","",", ")),"")</f>
        <v xml:space="preserve">, </v>
      </c>
      <c r="BH17" t="str">
        <f>IF(AND((VLOOKUP($BO$1&amp;C17,TeamsViejaGloria!D:M,7,0))="",AX17=""),"",", ")</f>
        <v xml:space="preserve">, </v>
      </c>
      <c r="BK17" s="2"/>
      <c r="BL17" s="2" t="s">
        <v>77</v>
      </c>
      <c r="BM17" s="21" t="str">
        <f t="shared" si="13"/>
        <v>Khemri</v>
      </c>
      <c r="BN17" s="2" t="s">
        <v>77</v>
      </c>
      <c r="BO17" s="2"/>
      <c r="BP17" s="2">
        <v>50000</v>
      </c>
      <c r="BQ17" s="2">
        <v>50000</v>
      </c>
      <c r="BR17" s="2">
        <v>1</v>
      </c>
      <c r="BS17" s="42" t="str">
        <f>IF($J$24="Español","Clásica del Viejo Mundo",(IF($J$24="Deutsch","Alte-Welt-Klassiker",(IF($J$24="Français","Classique du Vieux Monde","Old World Classic")))))</f>
        <v>Clásica del Viejo Mundo</v>
      </c>
      <c r="BT17" s="3" t="s">
        <v>78</v>
      </c>
      <c r="BU17" s="3"/>
      <c r="BV17" s="3"/>
      <c r="BW17" s="3"/>
      <c r="BX17" s="3"/>
      <c r="BY17" s="2" t="s">
        <v>87</v>
      </c>
      <c r="BZ17" s="2" t="s">
        <v>88</v>
      </c>
      <c r="CA17" s="46" t="s">
        <v>89</v>
      </c>
      <c r="CB17" s="1" t="s">
        <v>90</v>
      </c>
      <c r="CC17" s="1"/>
      <c r="CD17" s="1"/>
      <c r="CE17" s="2" t="s">
        <v>87</v>
      </c>
      <c r="CF17" s="2" t="s">
        <v>151</v>
      </c>
      <c r="CG17" s="43" t="s">
        <v>80</v>
      </c>
      <c r="CH17" s="1" t="s">
        <v>132</v>
      </c>
      <c r="CI17" s="2"/>
      <c r="CJ17" s="2"/>
      <c r="CK17" s="2"/>
      <c r="CL17" s="2"/>
      <c r="CM17" s="2"/>
      <c r="CN17" s="2"/>
      <c r="CO17" s="2"/>
      <c r="CP17" s="2"/>
      <c r="CQ17" s="2"/>
      <c r="CR17" s="2"/>
      <c r="CS17" s="2"/>
      <c r="CT17" s="2"/>
      <c r="CU17" s="2"/>
      <c r="CV17" s="2"/>
      <c r="CW17" s="2"/>
      <c r="CX17" s="2"/>
      <c r="CY17" s="2"/>
      <c r="CZ17" s="2"/>
    </row>
    <row r="18" spans="1:104" ht="45" hidden="1" customHeight="1" x14ac:dyDescent="0.2">
      <c r="A18" s="33" t="s">
        <v>91</v>
      </c>
      <c r="B18" s="45"/>
      <c r="C18" s="197"/>
      <c r="D18" s="198"/>
      <c r="E18" s="198"/>
      <c r="F18" s="199"/>
      <c r="G18" s="35"/>
      <c r="H18" s="36"/>
      <c r="I18" s="37"/>
      <c r="J18" s="38"/>
      <c r="K18" s="38"/>
      <c r="L18" s="38"/>
      <c r="M18" s="38"/>
      <c r="N18" s="38"/>
      <c r="O18" s="200"/>
      <c r="P18" s="201"/>
      <c r="Q18" s="201"/>
      <c r="R18" s="201"/>
      <c r="S18" s="201"/>
      <c r="T18" s="201"/>
      <c r="U18" s="201"/>
      <c r="V18" s="201"/>
      <c r="W18" s="201"/>
      <c r="X18" s="201"/>
      <c r="Y18" s="201"/>
      <c r="Z18" s="202"/>
      <c r="AA18" s="200"/>
      <c r="AB18" s="201"/>
      <c r="AC18" s="201"/>
      <c r="AD18" s="201"/>
      <c r="AE18" s="201"/>
      <c r="AF18" s="201"/>
      <c r="AG18" s="201"/>
      <c r="AH18" s="201"/>
      <c r="AI18" s="201"/>
      <c r="AJ18" s="201"/>
      <c r="AK18" s="201"/>
      <c r="AL18" s="201"/>
      <c r="AM18" s="202"/>
      <c r="AN18" s="203"/>
      <c r="AO18" s="204"/>
      <c r="AP18" s="213"/>
      <c r="AQ18" s="1">
        <f t="shared" ref="AQ18:AQ19" si="15">IFERROR(AN18/1000,0)</f>
        <v>0</v>
      </c>
      <c r="AR18" s="1"/>
      <c r="AS18" s="2" t="str">
        <f>IF(G18&gt;I18,(IF($J$24="English","Player limit exceded… You are cheating!",(IF($J$24="Español","Límite de jugadores excedido… ¡Estás haciendo trampas!",(IF($J$24="Deutsch","Spieler-Limit überschritten… Du schummelst!",(IF($J$24="Français","Tu as trop de joueurs… Tricheur!","")))))))),"")</f>
        <v/>
      </c>
      <c r="AT18" s="1"/>
      <c r="AU18" s="1"/>
      <c r="AV18" s="1"/>
      <c r="AW18" s="1"/>
      <c r="AX18" s="2"/>
      <c r="AY18" s="2"/>
      <c r="AZ18" s="2"/>
      <c r="BA18" s="2"/>
      <c r="BB18" s="2"/>
      <c r="BC18" s="2"/>
      <c r="BD18" s="2"/>
      <c r="BE18" s="2"/>
      <c r="BK18" s="2"/>
      <c r="BL18" s="2" t="s">
        <v>82</v>
      </c>
      <c r="BM18" s="21" t="str">
        <f t="shared" si="12"/>
        <v xml:space="preserve">Khorne </v>
      </c>
      <c r="BN18" s="2" t="s">
        <v>83</v>
      </c>
      <c r="BO18" s="2"/>
      <c r="BP18" s="2">
        <v>70000</v>
      </c>
      <c r="BQ18" s="2">
        <v>50000</v>
      </c>
      <c r="BR18" s="2">
        <v>1</v>
      </c>
      <c r="BS18" s="42" t="str">
        <f>IF($J$24="Español","Clásica del Viejo Mundo",(IF($J$24="Deutsch","Alte-Welt-Klassiker",(IF($J$24="Français","Classique du Vieux Monde","Old World Classic")))))</f>
        <v>Clásica del Viejo Mundo</v>
      </c>
      <c r="BT18" s="3" t="s">
        <v>78</v>
      </c>
      <c r="BU18" s="3"/>
      <c r="BV18" s="3"/>
      <c r="BW18" s="3"/>
      <c r="BX18" s="3"/>
      <c r="BY18" s="2" t="s">
        <v>92</v>
      </c>
      <c r="BZ18" s="2" t="s">
        <v>93</v>
      </c>
      <c r="CA18" s="46" t="s">
        <v>94</v>
      </c>
      <c r="CB18" s="1" t="s">
        <v>95</v>
      </c>
      <c r="CC18" s="7"/>
      <c r="CD18" s="1"/>
      <c r="CE18" s="2" t="s">
        <v>92</v>
      </c>
      <c r="CF18" s="2" t="s">
        <v>88</v>
      </c>
      <c r="CG18" s="46" t="s">
        <v>100</v>
      </c>
      <c r="CH18" s="23" t="s">
        <v>56</v>
      </c>
      <c r="CI18" s="2"/>
      <c r="CJ18" s="2"/>
      <c r="CK18" s="2"/>
      <c r="CL18" s="2"/>
      <c r="CM18" s="2"/>
      <c r="CN18" s="2"/>
      <c r="CO18" s="2"/>
      <c r="CP18" s="2"/>
      <c r="CQ18" s="2"/>
      <c r="CR18" s="2"/>
      <c r="CS18" s="2"/>
      <c r="CT18" s="2"/>
      <c r="CU18" s="2"/>
      <c r="CV18" s="2"/>
      <c r="CW18" s="2"/>
      <c r="CX18" s="2"/>
      <c r="CY18" s="2"/>
      <c r="CZ18" s="2"/>
    </row>
    <row r="19" spans="1:104" ht="45" hidden="1" customHeight="1" x14ac:dyDescent="0.2">
      <c r="A19" s="47" t="s">
        <v>91</v>
      </c>
      <c r="B19" s="45"/>
      <c r="C19" s="197"/>
      <c r="D19" s="198"/>
      <c r="E19" s="198"/>
      <c r="F19" s="199"/>
      <c r="G19" s="48"/>
      <c r="H19" s="49"/>
      <c r="I19" s="50"/>
      <c r="J19" s="51"/>
      <c r="K19" s="51"/>
      <c r="L19" s="38"/>
      <c r="M19" s="38"/>
      <c r="N19" s="51"/>
      <c r="O19" s="200"/>
      <c r="P19" s="201"/>
      <c r="Q19" s="201"/>
      <c r="R19" s="201"/>
      <c r="S19" s="201"/>
      <c r="T19" s="201"/>
      <c r="U19" s="201"/>
      <c r="V19" s="201"/>
      <c r="W19" s="201"/>
      <c r="X19" s="201"/>
      <c r="Y19" s="201"/>
      <c r="Z19" s="202"/>
      <c r="AA19" s="200"/>
      <c r="AB19" s="201"/>
      <c r="AC19" s="201"/>
      <c r="AD19" s="201"/>
      <c r="AE19" s="201"/>
      <c r="AF19" s="201"/>
      <c r="AG19" s="201"/>
      <c r="AH19" s="201"/>
      <c r="AI19" s="201"/>
      <c r="AJ19" s="201"/>
      <c r="AK19" s="201"/>
      <c r="AL19" s="201"/>
      <c r="AM19" s="202"/>
      <c r="AN19" s="203"/>
      <c r="AO19" s="204"/>
      <c r="AP19" s="213"/>
      <c r="AQ19" s="1">
        <f t="shared" si="15"/>
        <v>0</v>
      </c>
      <c r="AR19" s="1"/>
      <c r="AS19" s="2" t="str">
        <f t="shared" ref="AS19:AS20" si="16">IF(G19&gt;I19,(IF($J$24="English","Player limit exceded… You are cheating!",(IF($J$24="Español","Límite de jugadores excedido… ¡Estás haciendo trampas!",(IF($J$24="Deutsch","Spieler-Limit überschritten… Du schummelst!",(IF($J$24="Français","Tu as trop de joueurs… Tricheur!","")))))))),"")</f>
        <v/>
      </c>
      <c r="AT19" s="1"/>
      <c r="AU19" s="1"/>
      <c r="AV19" s="1"/>
      <c r="AW19" s="1"/>
      <c r="AX19" s="2"/>
      <c r="AY19" s="2"/>
      <c r="AZ19" s="2"/>
      <c r="BA19" s="2"/>
      <c r="BB19" s="2"/>
      <c r="BC19" s="2"/>
      <c r="BD19" s="2"/>
      <c r="BE19" s="2"/>
      <c r="BK19" s="2"/>
      <c r="BL19" s="2" t="s">
        <v>87</v>
      </c>
      <c r="BM19" s="21" t="str">
        <f t="shared" si="12"/>
        <v>Lagartos</v>
      </c>
      <c r="BN19" s="2" t="s">
        <v>87</v>
      </c>
      <c r="BO19" s="2"/>
      <c r="BP19" s="2">
        <v>60000</v>
      </c>
      <c r="BQ19" s="2">
        <v>50000</v>
      </c>
      <c r="BR19" s="2">
        <v>1</v>
      </c>
      <c r="BS19" s="42" t="str">
        <f>IF($J$24="Español","Elegido de Khorne",(IF($J$24="Deutsch","Auserwählte des Khorne",(IF($J$24="Français","Favori de Khorne","Favoured of Khorne")))))</f>
        <v>Elegido de Khorne</v>
      </c>
      <c r="BT19" s="3" t="s">
        <v>31</v>
      </c>
      <c r="BW19" s="3"/>
      <c r="BX19" s="3"/>
      <c r="BY19" s="2" t="s">
        <v>96</v>
      </c>
      <c r="BZ19" s="2" t="s">
        <v>99</v>
      </c>
      <c r="CA19" s="46" t="s">
        <v>100</v>
      </c>
      <c r="CB19" s="1" t="s">
        <v>101</v>
      </c>
      <c r="CC19" s="2"/>
      <c r="CD19" s="1"/>
      <c r="CE19" s="2" t="s">
        <v>96</v>
      </c>
      <c r="CF19" s="2" t="s">
        <v>93</v>
      </c>
      <c r="CG19" s="46" t="s">
        <v>107</v>
      </c>
      <c r="CH19" s="1" t="s">
        <v>40</v>
      </c>
      <c r="CI19" s="2"/>
      <c r="CJ19" s="2"/>
      <c r="CK19" s="2"/>
      <c r="CL19" s="2"/>
      <c r="CM19" s="2"/>
      <c r="CN19" s="2"/>
      <c r="CO19" s="2"/>
      <c r="CP19" s="2"/>
      <c r="CQ19" s="2"/>
      <c r="CR19" s="2"/>
      <c r="CS19" s="2"/>
      <c r="CT19" s="2"/>
      <c r="CU19" s="2"/>
      <c r="CV19" s="2"/>
      <c r="CW19" s="2"/>
      <c r="CX19" s="2"/>
      <c r="CY19" s="2"/>
      <c r="CZ19" s="2"/>
    </row>
    <row r="20" spans="1:104" ht="45" hidden="1" customHeight="1" x14ac:dyDescent="0.2">
      <c r="A20" s="47" t="s">
        <v>91</v>
      </c>
      <c r="B20" s="45"/>
      <c r="C20" s="197"/>
      <c r="D20" s="198"/>
      <c r="E20" s="198"/>
      <c r="F20" s="199"/>
      <c r="G20" s="48"/>
      <c r="H20" s="49"/>
      <c r="I20" s="50"/>
      <c r="J20" s="51"/>
      <c r="K20" s="51"/>
      <c r="L20" s="38"/>
      <c r="M20" s="38"/>
      <c r="N20" s="51"/>
      <c r="O20" s="200"/>
      <c r="P20" s="201"/>
      <c r="Q20" s="201"/>
      <c r="R20" s="201"/>
      <c r="S20" s="201"/>
      <c r="T20" s="201"/>
      <c r="U20" s="201"/>
      <c r="V20" s="201"/>
      <c r="W20" s="201"/>
      <c r="X20" s="201"/>
      <c r="Y20" s="201"/>
      <c r="Z20" s="202"/>
      <c r="AA20" s="200"/>
      <c r="AB20" s="201"/>
      <c r="AC20" s="201"/>
      <c r="AD20" s="201"/>
      <c r="AE20" s="201"/>
      <c r="AF20" s="201"/>
      <c r="AG20" s="201"/>
      <c r="AH20" s="201"/>
      <c r="AI20" s="201"/>
      <c r="AJ20" s="201"/>
      <c r="AK20" s="201"/>
      <c r="AL20" s="201"/>
      <c r="AM20" s="202"/>
      <c r="AN20" s="203"/>
      <c r="AO20" s="204"/>
      <c r="AP20" s="213"/>
      <c r="AQ20" s="1">
        <f>IFERROR(AN20/1000,0)</f>
        <v>0</v>
      </c>
      <c r="AR20" s="1"/>
      <c r="AS20" s="2" t="str">
        <f t="shared" si="16"/>
        <v/>
      </c>
      <c r="AT20" s="1"/>
      <c r="AU20" s="1"/>
      <c r="AV20" s="1"/>
      <c r="AW20" s="1"/>
      <c r="AX20" s="2"/>
      <c r="AY20" s="2"/>
      <c r="AZ20" s="2"/>
      <c r="BA20" s="2"/>
      <c r="BB20" s="2"/>
      <c r="BC20" s="2"/>
      <c r="BD20" s="2"/>
      <c r="BE20" s="2"/>
      <c r="BK20" s="2"/>
      <c r="BL20" s="2" t="s">
        <v>92</v>
      </c>
      <c r="BM20" s="21" t="str">
        <f t="shared" si="12"/>
        <v>Nórdicos</v>
      </c>
      <c r="BN20" s="2" t="s">
        <v>92</v>
      </c>
      <c r="BO20" s="2"/>
      <c r="BP20" s="2">
        <v>70000</v>
      </c>
      <c r="BQ20" s="2">
        <v>50000</v>
      </c>
      <c r="BR20" s="2">
        <v>1</v>
      </c>
      <c r="BS20" s="42" t="str">
        <f>IF($J$24="Español","Superliga Lustriana",(IF($J$24="Deutsch","Lustria-Superliga",(IF($J$24="Français","Super-Ligue de Lustrie","Lustrian Superleague")))))</f>
        <v>Superliga Lustriana</v>
      </c>
      <c r="BT20" s="3" t="s">
        <v>21</v>
      </c>
      <c r="BU20" s="3"/>
      <c r="BV20" s="3"/>
      <c r="BW20" s="3"/>
      <c r="BY20" s="2" t="s">
        <v>103</v>
      </c>
      <c r="BZ20" s="2" t="s">
        <v>1683</v>
      </c>
      <c r="CA20" s="46" t="s">
        <v>103</v>
      </c>
      <c r="CB20" s="1" t="s">
        <v>1684</v>
      </c>
      <c r="CC20" s="2"/>
      <c r="CD20" s="1"/>
      <c r="CE20" s="2" t="s">
        <v>103</v>
      </c>
      <c r="CF20" s="2" t="s">
        <v>1683</v>
      </c>
      <c r="CG20" s="46" t="s">
        <v>103</v>
      </c>
      <c r="CH20" s="1" t="s">
        <v>1684</v>
      </c>
      <c r="CI20" s="2"/>
      <c r="CJ20" s="2"/>
      <c r="CK20" s="2"/>
      <c r="CL20" s="2"/>
      <c r="CM20" s="2"/>
      <c r="CN20" s="2"/>
      <c r="CO20" s="2"/>
      <c r="CP20" s="2"/>
      <c r="CQ20" s="2"/>
      <c r="CR20" s="2"/>
      <c r="CS20" s="2"/>
      <c r="CT20" s="2"/>
      <c r="CU20" s="2"/>
      <c r="CV20" s="2"/>
      <c r="CW20" s="2"/>
      <c r="CX20" s="2"/>
      <c r="CY20" s="2"/>
      <c r="CZ20" s="2"/>
    </row>
    <row r="21" spans="1:104" ht="18.75" customHeight="1" x14ac:dyDescent="0.2">
      <c r="A21" s="164" t="e" vm="1">
        <v>#VALUE!</v>
      </c>
      <c r="B21" s="165"/>
      <c r="C21" s="178" t="str">
        <f>IF(J24="Italiano","ALLENATORE CAPO",(IF(J24="Español","ENTRENADOR",(IF(J24="Deutsch","CHEFTRAINER",(IF(J24="Français","COACH","COACH")))))))</f>
        <v>ENTRENADOR</v>
      </c>
      <c r="D21" s="179"/>
      <c r="E21" s="179"/>
      <c r="F21" s="179"/>
      <c r="G21" s="179"/>
      <c r="H21" s="179"/>
      <c r="I21" s="180"/>
      <c r="J21" s="188"/>
      <c r="K21" s="189"/>
      <c r="L21" s="189"/>
      <c r="M21" s="189"/>
      <c r="N21" s="189"/>
      <c r="O21" s="189"/>
      <c r="P21" s="189"/>
      <c r="Q21" s="190"/>
      <c r="R21" s="178" t="str">
        <f>IF(J24="Italiano","TIFOSI SFEGATATI",(IF(J24="Español","FANS DEDICADOS",(IF(J24="Deutsch","TREUE FANS",(IF(J24="Français","FANS DÉVOUÉS","DEDICATED FANS")))))))</f>
        <v>FANS DEDICADOS</v>
      </c>
      <c r="S21" s="179"/>
      <c r="T21" s="179"/>
      <c r="U21" s="179"/>
      <c r="V21" s="180"/>
      <c r="W21" s="30">
        <v>0</v>
      </c>
      <c r="X21" s="52" t="s">
        <v>102</v>
      </c>
      <c r="Y21" s="157">
        <v>10000</v>
      </c>
      <c r="Z21" s="157"/>
      <c r="AA21" s="53" t="str">
        <f t="shared" ref="AA21:AA28" si="17">IF($J$24="Español","mo",(IF($J$24="Deutsch","gm",(IF($J$24="Français","po","gp")))))</f>
        <v>mo</v>
      </c>
      <c r="AB21" s="170">
        <f>IFERROR(W21*Y21,0)</f>
        <v>0</v>
      </c>
      <c r="AC21" s="171"/>
      <c r="AD21" s="178"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MÉDICO</v>
      </c>
      <c r="AE21" s="179"/>
      <c r="AF21" s="179"/>
      <c r="AG21" s="179"/>
      <c r="AH21" s="180"/>
      <c r="AI21" s="32">
        <v>0</v>
      </c>
      <c r="AJ21" s="52" t="s">
        <v>102</v>
      </c>
      <c r="AK21" s="157">
        <f>IF(OR(BO1="Necromantic",BO1="Shambling Undead",BO1="Nurgle"),100000,(VLOOKUP(BO1,BL:BQ,6,0)))</f>
        <v>50000</v>
      </c>
      <c r="AL21" s="157"/>
      <c r="AM21" s="53" t="str">
        <f t="shared" ref="AM21:AM28" si="18">IF($J$24="Español","mo",(IF($J$24="Deutsch","gm",(IF($J$24="Français","po","gp")))))</f>
        <v>mo</v>
      </c>
      <c r="AN21" s="170">
        <f>IFERROR(IF(OR(AJ35="NO",AJ35="NON",AJ35="NEIN"),AI21*AK21,0),0)</f>
        <v>0</v>
      </c>
      <c r="AO21" s="171"/>
      <c r="AP21" s="213"/>
      <c r="AQ21" s="54"/>
      <c r="AR21" s="2"/>
      <c r="AS21" s="1"/>
      <c r="AT21" s="1"/>
      <c r="AU21" s="1"/>
      <c r="AV21" s="1"/>
      <c r="AW21" s="1"/>
      <c r="AX21" s="2"/>
      <c r="AY21" s="2"/>
      <c r="AZ21" s="2"/>
      <c r="BA21" s="2"/>
      <c r="BB21" s="2"/>
      <c r="BC21" s="2"/>
      <c r="BD21" s="2"/>
      <c r="BE21" s="2"/>
      <c r="BK21" s="2"/>
      <c r="BL21" s="2" t="s">
        <v>96</v>
      </c>
      <c r="BM21" s="21" t="str">
        <f t="shared" si="12"/>
        <v>Nigromanticos</v>
      </c>
      <c r="BN21" s="2" t="s">
        <v>96</v>
      </c>
      <c r="BO21" s="2"/>
      <c r="BP21" s="2">
        <v>70000</v>
      </c>
      <c r="BQ21" s="2">
        <v>0</v>
      </c>
      <c r="BR21" s="2">
        <v>0</v>
      </c>
      <c r="BS21" s="42" t="str">
        <f>IF($J$24="Español","Señores de los No Muertos, Selectiva de Sylvania",(IF($J$24="Deutsch","Masters of Undeath, Sylvanisches Rampenlicht",(IF($J$24="Français","Masters of Undeath, Spot de Sylvanie","Masters of Undeath, Sylvanian Spotlight")))))</f>
        <v>Señores de los No Muertos, Selectiva de Sylvania</v>
      </c>
      <c r="BT21" s="3" t="s">
        <v>97</v>
      </c>
      <c r="BU21" s="3" t="s">
        <v>98</v>
      </c>
      <c r="BV21" s="3"/>
      <c r="BW21" s="3"/>
      <c r="BX21" s="3"/>
      <c r="BY21" s="2" t="s">
        <v>105</v>
      </c>
      <c r="BZ21" s="2" t="s">
        <v>106</v>
      </c>
      <c r="CA21" s="46" t="s">
        <v>107</v>
      </c>
      <c r="CB21" s="1" t="s">
        <v>108</v>
      </c>
      <c r="CC21"/>
      <c r="CD21"/>
      <c r="CE21" s="2" t="s">
        <v>105</v>
      </c>
      <c r="CF21" s="2" t="s">
        <v>99</v>
      </c>
      <c r="CG21" s="46" t="s">
        <v>114</v>
      </c>
      <c r="CH21" s="25" t="s">
        <v>86</v>
      </c>
      <c r="CI21" s="2"/>
      <c r="CJ21" s="2"/>
      <c r="CK21" s="2"/>
      <c r="CL21" s="2"/>
      <c r="CM21" s="2"/>
      <c r="CN21" s="2"/>
      <c r="CO21" s="2"/>
      <c r="CP21" s="2"/>
      <c r="CQ21" s="2"/>
      <c r="CR21" s="2"/>
      <c r="CS21" s="2"/>
      <c r="CT21" s="2"/>
      <c r="CU21" s="2"/>
      <c r="CV21" s="2"/>
      <c r="CW21" s="2"/>
      <c r="CX21" s="2"/>
      <c r="CY21" s="2"/>
      <c r="CZ21" s="2"/>
    </row>
    <row r="22" spans="1:104" ht="18.75" customHeight="1" x14ac:dyDescent="0.2">
      <c r="A22" s="166"/>
      <c r="B22" s="167"/>
      <c r="C22" s="178" t="str">
        <f>IF(J24="Italiano","NUMERO NAF",(IF(J24="Español","NÚMERO NAF",(IF(J24="Deutsch","NAF-NUMMER",(IF(J24="Français","NUMÉRO NAF","NAF NUMBER")))))))</f>
        <v>NÚMERO NAF</v>
      </c>
      <c r="D22" s="179"/>
      <c r="E22" s="179"/>
      <c r="F22" s="179"/>
      <c r="G22" s="179"/>
      <c r="H22" s="179"/>
      <c r="I22" s="180"/>
      <c r="J22" s="188"/>
      <c r="K22" s="189"/>
      <c r="L22" s="189"/>
      <c r="M22" s="189"/>
      <c r="N22" s="189"/>
      <c r="O22" s="189"/>
      <c r="P22" s="189"/>
      <c r="Q22" s="190"/>
      <c r="R22" s="178" t="str">
        <f>IF(J24="Italiano","REROLLS",(IF(J24="Español","SEGUNDAS OPORTUNIDADES",(IF(J24="Deutsch","NEUWÜRFE",(IF(J24="Français","RELANCES","REROLLS")))))))</f>
        <v>SEGUNDAS OPORTUNIDADES</v>
      </c>
      <c r="S22" s="179"/>
      <c r="T22" s="179"/>
      <c r="U22" s="179"/>
      <c r="V22" s="180"/>
      <c r="W22" s="30">
        <v>0</v>
      </c>
      <c r="X22" s="52" t="s">
        <v>102</v>
      </c>
      <c r="Y22" s="157">
        <f>IFERROR(VLOOKUP(BO1,BL:BP,5,0),0)</f>
        <v>70000</v>
      </c>
      <c r="Z22" s="157"/>
      <c r="AA22" s="53" t="str">
        <f t="shared" si="17"/>
        <v>mo</v>
      </c>
      <c r="AB22" s="170">
        <f t="shared" ref="AB22:AB24" si="19">IFERROR(W22*Y22,0)</f>
        <v>0</v>
      </c>
      <c r="AC22" s="171"/>
      <c r="AD22" s="178" t="str">
        <f>IF(J24="Italiano","MAGO DEL CLIMA",(IF(J24="Español","MAGO DEL TIEMPO",(IF(J24="Deutsch","WETTERMAGIER",(IF(J24="Français","MAGE MÉTÉO","WEATHER MAGE")))))))</f>
        <v>MAGO DEL TIEMPO</v>
      </c>
      <c r="AE22" s="179"/>
      <c r="AF22" s="179"/>
      <c r="AG22" s="179"/>
      <c r="AH22" s="180"/>
      <c r="AI22" s="30">
        <v>0</v>
      </c>
      <c r="AJ22" s="52" t="s">
        <v>102</v>
      </c>
      <c r="AK22" s="157">
        <v>30000</v>
      </c>
      <c r="AL22" s="157"/>
      <c r="AM22" s="53" t="str">
        <f t="shared" si="18"/>
        <v>mo</v>
      </c>
      <c r="AN22" s="170">
        <f t="shared" ref="AN22:AN28" si="20">IFERROR(AI22*AK22,0)</f>
        <v>0</v>
      </c>
      <c r="AO22" s="171"/>
      <c r="AP22" s="213"/>
      <c r="AQ22" s="54"/>
      <c r="AR22" s="2"/>
      <c r="AV22" s="1"/>
      <c r="AW22" s="1"/>
      <c r="AX22" s="2"/>
      <c r="AY22" s="2"/>
      <c r="AZ22" s="2"/>
      <c r="BA22" s="2"/>
      <c r="BB22" s="2"/>
      <c r="BC22" s="2"/>
      <c r="BD22" s="2"/>
      <c r="BE22" s="2"/>
      <c r="BK22" s="2"/>
      <c r="BL22" s="2"/>
      <c r="BM22" s="21" t="str">
        <f t="shared" si="12"/>
        <v>No Muertos</v>
      </c>
      <c r="BN22" s="2"/>
      <c r="BO22" s="2"/>
      <c r="BP22" s="2">
        <v>60000</v>
      </c>
      <c r="BQ22" s="2">
        <v>50000</v>
      </c>
      <c r="BR22" s="2">
        <v>1</v>
      </c>
      <c r="BS22" s="42" t="str">
        <f>IF($J$24="Español","Superliga Lustriana y Clásica del Viejo Mundo",(IF($J$24="Deutsch","Lustria-Superliga und Alte-Welt-Klassiker",(IF($J$24="Français","Super-Ligue de Lustrie et Classique du Vieux Monde","Lustrian Superleague and Old World Classic")))))</f>
        <v>Superliga Lustriana y Clásica del Viejo Mundo</v>
      </c>
      <c r="BT22" s="3" t="s">
        <v>104</v>
      </c>
      <c r="BU22" s="3"/>
      <c r="BV22" s="3"/>
      <c r="BW22" s="3"/>
      <c r="BX22" s="3"/>
      <c r="BY22" s="2" t="s">
        <v>110</v>
      </c>
      <c r="BZ22" s="2" t="s">
        <v>113</v>
      </c>
      <c r="CA22" s="46" t="s">
        <v>114</v>
      </c>
      <c r="CB22" s="1" t="s">
        <v>115</v>
      </c>
      <c r="CC22" s="2"/>
      <c r="CD22" s="1"/>
      <c r="CE22" s="2" t="s">
        <v>110</v>
      </c>
      <c r="CF22" s="2" t="s">
        <v>130</v>
      </c>
      <c r="CG22" s="46" t="s">
        <v>121</v>
      </c>
      <c r="CH22" s="1" t="s">
        <v>108</v>
      </c>
      <c r="CI22" s="2"/>
      <c r="CJ22" s="2"/>
      <c r="CK22" s="2"/>
      <c r="CL22" s="2"/>
      <c r="CM22" s="2"/>
      <c r="CN22" s="2"/>
      <c r="CO22" s="2"/>
      <c r="CP22" s="2"/>
      <c r="CQ22" s="2"/>
      <c r="CR22" s="2"/>
      <c r="CS22" s="2"/>
      <c r="CT22" s="2"/>
      <c r="CU22" s="2"/>
      <c r="CV22" s="2"/>
      <c r="CW22" s="2"/>
      <c r="CX22" s="2"/>
      <c r="CY22" s="2"/>
      <c r="CZ22" s="2"/>
    </row>
    <row r="23" spans="1:104" ht="18.75" customHeight="1" x14ac:dyDescent="0.2">
      <c r="A23" s="166"/>
      <c r="B23" s="167"/>
      <c r="C23" s="172" t="str">
        <f>IF(J24="Italiano","RAZZA",(IF(J24="Español","RAZA",(IF(J24="Deutsch","RASSE",(IF(J24="Français","TYPE D’ÉQUIPE","RACE")))))))</f>
        <v>RAZA</v>
      </c>
      <c r="D23" s="173"/>
      <c r="E23" s="173"/>
      <c r="F23" s="173"/>
      <c r="G23" s="173"/>
      <c r="H23" s="173"/>
      <c r="I23" s="174"/>
      <c r="J23" s="194" t="s">
        <v>120</v>
      </c>
      <c r="K23" s="195"/>
      <c r="L23" s="195"/>
      <c r="M23" s="195"/>
      <c r="N23" s="195"/>
      <c r="O23" s="195"/>
      <c r="P23" s="195"/>
      <c r="Q23" s="196"/>
      <c r="R23" s="178" t="str">
        <f>IF(J24="Español","ANIMADORAS",(IF(J24="Deutsch","CHEERLEADER","CHEERLEADERS")))</f>
        <v>ANIMADORAS</v>
      </c>
      <c r="S23" s="179"/>
      <c r="T23" s="179"/>
      <c r="U23" s="179"/>
      <c r="V23" s="180"/>
      <c r="W23" s="30">
        <v>0</v>
      </c>
      <c r="X23" s="52" t="s">
        <v>102</v>
      </c>
      <c r="Y23" s="157">
        <v>10000</v>
      </c>
      <c r="Z23" s="157"/>
      <c r="AA23" s="53" t="str">
        <f t="shared" si="17"/>
        <v>mo</v>
      </c>
      <c r="AB23" s="170">
        <f t="shared" si="19"/>
        <v>0</v>
      </c>
      <c r="AC23" s="171"/>
      <c r="AD23" s="178"/>
      <c r="AE23" s="179"/>
      <c r="AF23" s="179"/>
      <c r="AG23" s="179"/>
      <c r="AH23" s="179"/>
      <c r="AI23" s="179"/>
      <c r="AJ23" s="179"/>
      <c r="AK23" s="179"/>
      <c r="AL23" s="179"/>
      <c r="AM23" s="179"/>
      <c r="AN23" s="179"/>
      <c r="AO23" s="180"/>
      <c r="AP23" s="213"/>
      <c r="AQ23" s="54"/>
      <c r="AR23" s="2"/>
      <c r="AS23" s="1"/>
      <c r="AT23" s="1"/>
      <c r="AU23" s="1"/>
      <c r="AV23" s="1"/>
      <c r="AW23" s="1"/>
      <c r="AX23" s="2"/>
      <c r="AY23" s="2"/>
      <c r="AZ23" s="2"/>
      <c r="BA23" s="2"/>
      <c r="BB23" s="2"/>
      <c r="BC23" s="2"/>
      <c r="BD23" s="2"/>
      <c r="BE23" s="2"/>
      <c r="BK23" s="2"/>
      <c r="BL23" s="2" t="s">
        <v>103</v>
      </c>
      <c r="BM23" s="21" t="str">
        <f t="shared" si="12"/>
        <v>Nobles Imperiales</v>
      </c>
      <c r="BN23" s="2" t="s">
        <v>103</v>
      </c>
      <c r="BP23" s="2">
        <v>60000</v>
      </c>
      <c r="BQ23" s="2">
        <v>50000</v>
      </c>
      <c r="BR23" s="2">
        <v>1</v>
      </c>
      <c r="BS23" s="3" t="str">
        <f>IF($J$24="Español","Clásica del Viejo Mundo o Elegido de Khorne o Caos",(IF($J$24="Deutsch","Alte-Welt-Klassiker o Auserwählte des Khorne o Chaos",(IF($J$24="Français","Classique du Vieux Monde o Favori de Khorne o Chaos","Old World Classic or Favoured of Khorne or Chaos")))))</f>
        <v>Clásica del Viejo Mundo o Elegido de Khorne o Caos</v>
      </c>
      <c r="BT23" s="3" t="s">
        <v>1182</v>
      </c>
      <c r="BU23" s="3"/>
      <c r="BX23" s="3"/>
      <c r="BY23" s="2" t="s">
        <v>118</v>
      </c>
      <c r="BZ23" s="2" t="s">
        <v>120</v>
      </c>
      <c r="CA23" s="46" t="s">
        <v>121</v>
      </c>
      <c r="CB23" s="1" t="s">
        <v>122</v>
      </c>
      <c r="CC23" s="2"/>
      <c r="CD23" s="1"/>
      <c r="CE23" s="2" t="s">
        <v>118</v>
      </c>
      <c r="CF23" s="23" t="s">
        <v>84</v>
      </c>
      <c r="CG23" s="46" t="s">
        <v>125</v>
      </c>
      <c r="CH23" s="1" t="s">
        <v>115</v>
      </c>
      <c r="CI23" s="2"/>
      <c r="CJ23" s="2"/>
      <c r="CK23" s="2"/>
      <c r="CL23" s="2"/>
      <c r="CM23" s="2"/>
      <c r="CN23" s="2"/>
      <c r="CO23" s="2"/>
      <c r="CP23" s="2"/>
      <c r="CQ23" s="2"/>
      <c r="CR23" s="2"/>
      <c r="CS23" s="2"/>
      <c r="CT23" s="2"/>
      <c r="CU23" s="2"/>
      <c r="CV23" s="2"/>
      <c r="CW23" s="2"/>
      <c r="CX23" s="2"/>
      <c r="CY23" s="2"/>
      <c r="CZ23" s="2"/>
    </row>
    <row r="24" spans="1:104" ht="18.75" customHeight="1" x14ac:dyDescent="0.2">
      <c r="A24" s="166"/>
      <c r="B24" s="167"/>
      <c r="C24" s="172" t="str">
        <f>IF(J24="Italiano","LINGUA",(IF(J24="Español","IDIOMA",(IF(J24="Deutsch","SPRACHE",(IF(J24="Français","LANGUE","LANGUAGE")))))))</f>
        <v>IDIOMA</v>
      </c>
      <c r="D24" s="173"/>
      <c r="E24" s="173"/>
      <c r="F24" s="173"/>
      <c r="G24" s="173"/>
      <c r="H24" s="173"/>
      <c r="I24" s="174"/>
      <c r="J24" s="191" t="s">
        <v>215</v>
      </c>
      <c r="K24" s="192"/>
      <c r="L24" s="192"/>
      <c r="M24" s="192"/>
      <c r="N24" s="192"/>
      <c r="O24" s="192"/>
      <c r="P24" s="192"/>
      <c r="Q24" s="193"/>
      <c r="R24" s="178" t="str">
        <f>IF(J24="Italiano","ASSISTENTI ALLENATORI",(IF(J24="Español","AYUDANTES ENTRENADOR",(IF(J24="Deutsch","TRAINERASSISTENTEN",(IF(J24="Français","COACHS ASSIST","ASSISTANT COACHES")))))))</f>
        <v>AYUDANTES ENTRENADOR</v>
      </c>
      <c r="S24" s="179"/>
      <c r="T24" s="179"/>
      <c r="U24" s="179"/>
      <c r="V24" s="180"/>
      <c r="W24" s="30">
        <v>0</v>
      </c>
      <c r="X24" s="52" t="s">
        <v>102</v>
      </c>
      <c r="Y24" s="157">
        <v>10000</v>
      </c>
      <c r="Z24" s="157"/>
      <c r="AA24" s="53" t="str">
        <f t="shared" si="17"/>
        <v>mo</v>
      </c>
      <c r="AB24" s="170">
        <f t="shared" si="19"/>
        <v>0</v>
      </c>
      <c r="AC24" s="171"/>
      <c r="AD24" s="181" t="s">
        <v>117</v>
      </c>
      <c r="AE24" s="182"/>
      <c r="AF24" s="182"/>
      <c r="AG24" s="182"/>
      <c r="AH24" s="183"/>
      <c r="AI24" s="30">
        <v>0</v>
      </c>
      <c r="AJ24" s="52" t="s">
        <v>102</v>
      </c>
      <c r="AK24" s="157">
        <f>IFERROR(VLOOKUP(AD24,BD64:BE88,2,FALSE),0)</f>
        <v>0</v>
      </c>
      <c r="AL24" s="157"/>
      <c r="AM24" s="53" t="str">
        <f t="shared" si="18"/>
        <v>mo</v>
      </c>
      <c r="AN24" s="170">
        <f t="shared" si="20"/>
        <v>0</v>
      </c>
      <c r="AO24" s="171"/>
      <c r="AP24" s="213"/>
      <c r="AQ24" s="54"/>
      <c r="AR24" s="2"/>
      <c r="AS24" s="1"/>
      <c r="AT24" s="1"/>
      <c r="AU24" s="1"/>
      <c r="AV24" s="1"/>
      <c r="AW24" s="1"/>
      <c r="AX24" s="2"/>
      <c r="AY24" s="2"/>
      <c r="AZ24" s="2"/>
      <c r="BA24" s="2"/>
      <c r="BB24" s="2"/>
      <c r="BC24" s="2"/>
      <c r="BD24" s="2"/>
      <c r="BE24" s="2"/>
      <c r="BK24" s="2"/>
      <c r="BL24" s="2" t="s">
        <v>105</v>
      </c>
      <c r="BM24" s="21" t="str">
        <f t="shared" si="12"/>
        <v xml:space="preserve">Nurgle </v>
      </c>
      <c r="BN24" s="2" t="s">
        <v>105</v>
      </c>
      <c r="BO24" s="2"/>
      <c r="BP24" s="2">
        <v>70000</v>
      </c>
      <c r="BQ24" s="2">
        <v>0</v>
      </c>
      <c r="BR24" s="2">
        <v>1</v>
      </c>
      <c r="BS24" s="42" t="str">
        <f>IF($J$24="Español","Elegido de Nurgle",(IF($J$24="Deutsch","Auserwählte des Nurgle",(IF($J$24="Français","Favori de Nurgle","Favoured of Nurgle")))))</f>
        <v>Elegido de Nurgle</v>
      </c>
      <c r="BT24" s="3" t="s">
        <v>31</v>
      </c>
      <c r="BU24" s="3"/>
      <c r="BV24" s="3"/>
      <c r="BW24" s="3"/>
      <c r="BX24" s="3"/>
      <c r="BY24" s="2" t="s">
        <v>123</v>
      </c>
      <c r="BZ24" s="2" t="s">
        <v>124</v>
      </c>
      <c r="CA24" s="46" t="s">
        <v>125</v>
      </c>
      <c r="CB24" s="1" t="s">
        <v>126</v>
      </c>
      <c r="CC24" s="2"/>
      <c r="CD24" s="1"/>
      <c r="CE24" s="2" t="s">
        <v>123</v>
      </c>
      <c r="CF24" s="2" t="s">
        <v>106</v>
      </c>
      <c r="CG24" s="46" t="s">
        <v>131</v>
      </c>
      <c r="CH24" s="1" t="s">
        <v>126</v>
      </c>
      <c r="CI24" s="2"/>
      <c r="CJ24" s="2"/>
      <c r="CK24" s="2"/>
      <c r="CL24" s="2"/>
      <c r="CM24" s="2"/>
      <c r="CN24" s="2"/>
      <c r="CO24" s="2"/>
      <c r="CP24" s="2"/>
      <c r="CQ24" s="2"/>
      <c r="CR24" s="2"/>
      <c r="CS24" s="2"/>
      <c r="CT24" s="2"/>
      <c r="CU24" s="2"/>
      <c r="CV24" s="2"/>
      <c r="CW24" s="2"/>
      <c r="CX24" s="2"/>
      <c r="CY24" s="2"/>
      <c r="CZ24" s="2"/>
    </row>
    <row r="25" spans="1:104" ht="18.75" customHeight="1" x14ac:dyDescent="0.2">
      <c r="A25" s="166"/>
      <c r="B25" s="167"/>
      <c r="C25" s="172" t="str">
        <f>IF(J24="Italiano","COSTI INCENTIVI &amp; EXTRA",(IF(J24="Español","COSTE INCENTIVOS Y EXTRAS",(IF(J24="Deutsch","GESAMTER TEAMWERT &amp; EXTRAS",(IF(J24="Français","COUPS DE POUCES &amp; STAFF","COST INDUCEMENTS &amp; EXTRAS")))))))</f>
        <v>COSTE INCENTIVOS Y EXTRAS</v>
      </c>
      <c r="D25" s="173"/>
      <c r="E25" s="173"/>
      <c r="F25" s="173"/>
      <c r="G25" s="173"/>
      <c r="H25" s="173"/>
      <c r="I25" s="174"/>
      <c r="J25" s="175">
        <f>(SUM(AB21:AC29,AN18:AO28))/1000</f>
        <v>0</v>
      </c>
      <c r="K25" s="176"/>
      <c r="L25" s="176"/>
      <c r="M25" s="176"/>
      <c r="N25" s="177" t="str">
        <f>IF(J24="Español","k mo",(IF(J24="Deutsch","k gm",(IF(J24="Français","k po","k gp")))))</f>
        <v>k mo</v>
      </c>
      <c r="O25" s="173"/>
      <c r="P25" s="173"/>
      <c r="Q25" s="174"/>
      <c r="R25" s="178" t="str">
        <f>IF(J24="Italiano","FUSTI DI BLOODWEISER",(IF(J24="Español","BARRILES BLOODWEISER",(IF(J24="Français","FÛTS DE BLOODWEISER","BLOODWEISER KEGS")))))</f>
        <v>BARRILES BLOODWEISER</v>
      </c>
      <c r="S25" s="179"/>
      <c r="T25" s="179"/>
      <c r="U25" s="179"/>
      <c r="V25" s="180"/>
      <c r="W25" s="30">
        <v>0</v>
      </c>
      <c r="X25" s="52" t="s">
        <v>102</v>
      </c>
      <c r="Y25" s="157">
        <v>50000</v>
      </c>
      <c r="Z25" s="157"/>
      <c r="AA25" s="53" t="str">
        <f t="shared" si="17"/>
        <v>mo</v>
      </c>
      <c r="AB25" s="170">
        <f>IFERROR((W25*Y25)-(AO35*Y25),0)</f>
        <v>0</v>
      </c>
      <c r="AC25" s="171"/>
      <c r="AD25" s="181" t="s">
        <v>117</v>
      </c>
      <c r="AE25" s="182"/>
      <c r="AF25" s="182"/>
      <c r="AG25" s="182"/>
      <c r="AH25" s="183"/>
      <c r="AI25" s="30">
        <v>0</v>
      </c>
      <c r="AJ25" s="52" t="s">
        <v>102</v>
      </c>
      <c r="AK25" s="157">
        <f>IFERROR(VLOOKUP(AD25,BD64:BE88,2,FALSE),0)</f>
        <v>0</v>
      </c>
      <c r="AL25" s="157"/>
      <c r="AM25" s="53" t="str">
        <f t="shared" si="18"/>
        <v>mo</v>
      </c>
      <c r="AN25" s="170">
        <f t="shared" si="20"/>
        <v>0</v>
      </c>
      <c r="AO25" s="171"/>
      <c r="AP25" s="213"/>
      <c r="AQ25" s="54"/>
      <c r="AR25" s="1"/>
      <c r="AS25" s="2"/>
      <c r="AT25" s="1"/>
      <c r="AU25" s="1"/>
      <c r="AV25" s="1"/>
      <c r="AW25" s="1"/>
      <c r="AX25" s="2"/>
      <c r="AY25" s="2"/>
      <c r="AZ25" s="2"/>
      <c r="BA25" s="2"/>
      <c r="BB25" s="2"/>
      <c r="BC25" s="2"/>
      <c r="BD25" s="2"/>
      <c r="BK25" s="2"/>
      <c r="BL25" s="2" t="s">
        <v>110</v>
      </c>
      <c r="BM25" s="21" t="str">
        <f t="shared" si="12"/>
        <v>Ogros</v>
      </c>
      <c r="BN25" s="2" t="s">
        <v>110</v>
      </c>
      <c r="BO25" s="2"/>
      <c r="BP25" s="2">
        <v>70000</v>
      </c>
      <c r="BQ25" s="2">
        <v>50000</v>
      </c>
      <c r="BR25" s="2">
        <v>6</v>
      </c>
      <c r="BS25" s="42"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Reyerta en las Yermas, Clásica del Viejo Mundo y Líneas Prescindibles</v>
      </c>
      <c r="BT25" s="3" t="s">
        <v>111</v>
      </c>
      <c r="BU25" s="3"/>
      <c r="BV25" s="3" t="s">
        <v>112</v>
      </c>
      <c r="BW25" s="3"/>
      <c r="BX25" s="3"/>
      <c r="BY25" s="2" t="s">
        <v>128</v>
      </c>
      <c r="BZ25" s="2" t="s">
        <v>130</v>
      </c>
      <c r="CA25" s="46" t="s">
        <v>131</v>
      </c>
      <c r="CB25" s="1" t="s">
        <v>132</v>
      </c>
      <c r="CC25" s="2"/>
      <c r="CD25" s="55"/>
      <c r="CE25" s="2" t="s">
        <v>128</v>
      </c>
      <c r="CF25" s="2" t="s">
        <v>113</v>
      </c>
      <c r="CG25" s="46" t="s">
        <v>141</v>
      </c>
      <c r="CH25" s="25" t="s">
        <v>28</v>
      </c>
      <c r="CI25" s="2"/>
      <c r="CJ25" s="2"/>
      <c r="CK25" s="2"/>
      <c r="CL25" s="2"/>
      <c r="CM25" s="2"/>
      <c r="CN25" s="2"/>
      <c r="CO25" s="2"/>
      <c r="CP25" s="2"/>
      <c r="CQ25" s="2"/>
      <c r="CR25" s="2"/>
      <c r="CS25" s="2"/>
      <c r="CT25" s="2"/>
      <c r="CU25" s="2"/>
      <c r="CV25" s="2"/>
      <c r="CW25" s="2"/>
      <c r="CX25" s="2"/>
      <c r="CY25" s="2"/>
      <c r="CZ25" s="2"/>
    </row>
    <row r="26" spans="1:104" ht="18.75" customHeight="1" x14ac:dyDescent="0.2">
      <c r="A26" s="166"/>
      <c r="B26" s="167"/>
      <c r="C26" s="187" t="str">
        <f>IF(J24="Italiano","COSTO GIOCATORI",(IF(J24="Español","PRECIO JUGADORES",(IF(J24="Deutsch","WERT SPIELER",(IF(J24="Français","VALEUR DES JOUEURS","COST PLAYERS")))))))</f>
        <v>PRECIO JUGADORES</v>
      </c>
      <c r="D26" s="173"/>
      <c r="E26" s="173"/>
      <c r="F26" s="173"/>
      <c r="G26" s="173"/>
      <c r="H26" s="173"/>
      <c r="I26" s="174"/>
      <c r="J26" s="175">
        <f>(SUM(AM2:AO17))/1000</f>
        <v>0</v>
      </c>
      <c r="K26" s="176"/>
      <c r="L26" s="176"/>
      <c r="M26" s="176"/>
      <c r="N26" s="177" t="str">
        <f>IF(J24="Español","k mo",(IF(J24="Deutsch","k gm",(IF(J24="Français","k po","k gp")))))</f>
        <v>k mo</v>
      </c>
      <c r="O26" s="173"/>
      <c r="P26" s="173"/>
      <c r="Q26" s="174"/>
      <c r="R26" s="178" t="str">
        <f>IF(J24="Italiano","MAZZETTE",(IF(J24="Español","SOBORNOS",(IF(J24="Deutsch","BESTECHUNGEN",(IF(J24="Français","POTS-DE-VIN","BRIBES")))))))</f>
        <v>SOBORNOS</v>
      </c>
      <c r="S26" s="179"/>
      <c r="T26" s="179"/>
      <c r="U26" s="179"/>
      <c r="V26" s="180"/>
      <c r="W26" s="30">
        <v>0</v>
      </c>
      <c r="X26" s="52" t="s">
        <v>102</v>
      </c>
      <c r="Y26" s="157">
        <f>IFERROR(IF(BV2="Bribery and Corruption",50000,100000),100000)</f>
        <v>100000</v>
      </c>
      <c r="Z26" s="157"/>
      <c r="AA26" s="53" t="str">
        <f t="shared" si="17"/>
        <v>mo</v>
      </c>
      <c r="AB26" s="170">
        <f>IFERROR((W26-Z35)*Y26,0)</f>
        <v>0</v>
      </c>
      <c r="AC26" s="171"/>
      <c r="AD26" s="181" t="s">
        <v>127</v>
      </c>
      <c r="AE26" s="182"/>
      <c r="AF26" s="182"/>
      <c r="AG26" s="182"/>
      <c r="AH26" s="183"/>
      <c r="AI26" s="30">
        <v>0</v>
      </c>
      <c r="AJ26" s="52" t="s">
        <v>102</v>
      </c>
      <c r="AK26" s="157">
        <f>IFERROR(VLOOKUP(AD26,BL64:BM80,2,FALSE),0)</f>
        <v>0</v>
      </c>
      <c r="AL26" s="157"/>
      <c r="AM26" s="53" t="str">
        <f t="shared" si="18"/>
        <v>mo</v>
      </c>
      <c r="AN26" s="170">
        <f t="shared" si="20"/>
        <v>0</v>
      </c>
      <c r="AO26" s="171"/>
      <c r="AP26" s="213"/>
      <c r="AQ26" s="54"/>
      <c r="AR26" s="1"/>
      <c r="AS26" s="2"/>
      <c r="AT26" s="2"/>
      <c r="AU26" s="2"/>
      <c r="AV26" s="2"/>
      <c r="AW26" s="2"/>
      <c r="AX26" s="2"/>
      <c r="AY26" s="2"/>
      <c r="AZ26" s="2"/>
      <c r="BA26" s="2"/>
      <c r="BB26" s="2"/>
      <c r="BC26" s="2"/>
      <c r="BD26" s="2"/>
      <c r="BE26" s="2"/>
      <c r="BF26" s="2"/>
      <c r="BG26" s="2"/>
      <c r="BK26" s="2"/>
      <c r="BL26" s="2" t="s">
        <v>118</v>
      </c>
      <c r="BM26" s="21" t="str">
        <f t="shared" si="12"/>
        <v>Orcos</v>
      </c>
      <c r="BN26" s="2" t="s">
        <v>119</v>
      </c>
      <c r="BO26" s="2"/>
      <c r="BP26" s="2">
        <v>70000</v>
      </c>
      <c r="BQ26" s="2">
        <v>50000</v>
      </c>
      <c r="BR26" s="2">
        <v>1</v>
      </c>
      <c r="BS26" s="42" t="str">
        <f>IF($J$24="Español","Clásica del Viejo Mundo",(IF($J$24="Deutsch","Alte-Welt-Klassiker",(IF($J$24="Français","Classique du Vieux Monde","Old World Classic")))))</f>
        <v>Clásica del Viejo Mundo</v>
      </c>
      <c r="BT26" s="3" t="s">
        <v>78</v>
      </c>
      <c r="BU26" s="3"/>
      <c r="BV26" s="3"/>
      <c r="BW26" s="3"/>
      <c r="BX26" s="3"/>
      <c r="BY26" s="2" t="s">
        <v>134</v>
      </c>
      <c r="BZ26" s="2" t="s">
        <v>135</v>
      </c>
      <c r="CA26" s="46" t="s">
        <v>136</v>
      </c>
      <c r="CB26" s="1" t="s">
        <v>137</v>
      </c>
      <c r="CC26" s="2"/>
      <c r="CD26" s="1"/>
      <c r="CE26" s="2" t="s">
        <v>138</v>
      </c>
      <c r="CF26" s="2" t="s">
        <v>124</v>
      </c>
      <c r="CG26" s="46" t="s">
        <v>136</v>
      </c>
      <c r="CH26" s="1" t="s">
        <v>45</v>
      </c>
      <c r="CI26" s="2"/>
      <c r="CJ26" s="2"/>
      <c r="CK26" s="2"/>
      <c r="CL26" s="2"/>
      <c r="CM26" s="2"/>
      <c r="CN26" s="2"/>
      <c r="CO26" s="2"/>
      <c r="CP26" s="2"/>
      <c r="CQ26" s="2"/>
      <c r="CR26" s="2"/>
      <c r="CS26" s="2"/>
      <c r="CT26" s="2"/>
      <c r="CU26" s="2"/>
      <c r="CV26" s="2"/>
      <c r="CW26" s="2"/>
      <c r="CX26" s="2"/>
      <c r="CY26" s="2"/>
      <c r="CZ26" s="2"/>
    </row>
    <row r="27" spans="1:104" ht="18.75" customHeight="1" x14ac:dyDescent="0.2">
      <c r="A27" s="166"/>
      <c r="B27" s="167"/>
      <c r="C27" s="172" t="str">
        <f>IF(J24="Italiano","COSTO SQUADRA",(IF(J24="Español","PRECIO EQUIPO",(IF(J24="Deutsch","GESAMTER TEAMWERT",(IF(J24="Français","VALEUR D’ÉQUIPE","TEAM COST")))))))</f>
        <v>PRECIO EQUIPO</v>
      </c>
      <c r="D27" s="173"/>
      <c r="E27" s="173"/>
      <c r="F27" s="173"/>
      <c r="G27" s="173"/>
      <c r="H27" s="173"/>
      <c r="I27" s="174"/>
      <c r="J27" s="175">
        <f>J25+J26</f>
        <v>0</v>
      </c>
      <c r="K27" s="176"/>
      <c r="L27" s="176"/>
      <c r="M27" s="176"/>
      <c r="N27" s="177" t="str">
        <f>IF(J24="Español","k mo",(IF(J24="Deutsch","k gm",(IF(J24="Français","k po","k gp")))))</f>
        <v>k mo</v>
      </c>
      <c r="O27" s="173"/>
      <c r="P27" s="173"/>
      <c r="Q27" s="174"/>
      <c r="R27" s="178" t="str">
        <f>IF(J24="Italiano","CAPOCUOCO",(IF(J24="Español","MASTER CHEF",(IF(J24="Deutsch","HALBLING-MEISTERKOCH",(IF(J24="Français","CHEF CUISTOT","MASTER CHEF")))))))</f>
        <v>MASTER CHEF</v>
      </c>
      <c r="S27" s="179"/>
      <c r="T27" s="179"/>
      <c r="U27" s="179"/>
      <c r="V27" s="180"/>
      <c r="W27" s="30">
        <v>0</v>
      </c>
      <c r="X27" s="52" t="s">
        <v>102</v>
      </c>
      <c r="Y27" s="157">
        <f>IFERROR(IF(OR(BO1="Halfling",BO1="Halflings",BO1="Halflinge"),100000,300000),300000)</f>
        <v>300000</v>
      </c>
      <c r="Z27" s="157"/>
      <c r="AA27" s="53" t="str">
        <f t="shared" si="17"/>
        <v>mo</v>
      </c>
      <c r="AB27" s="170">
        <f>IFERROR(IF(U35="NO",W27*Y27,0),0)</f>
        <v>0</v>
      </c>
      <c r="AC27" s="171"/>
      <c r="AD27" s="181" t="s">
        <v>133</v>
      </c>
      <c r="AE27" s="182"/>
      <c r="AF27" s="182"/>
      <c r="AG27" s="182"/>
      <c r="AH27" s="183"/>
      <c r="AI27" s="30">
        <v>0</v>
      </c>
      <c r="AJ27" s="52" t="s">
        <v>102</v>
      </c>
      <c r="AK27" s="157">
        <f>IFERROR(VLOOKUP(AD27,BO65:BP80,2,FALSE),0)</f>
        <v>0</v>
      </c>
      <c r="AL27" s="157"/>
      <c r="AM27" s="53" t="str">
        <f t="shared" si="18"/>
        <v>mo</v>
      </c>
      <c r="AN27" s="170">
        <f t="shared" si="20"/>
        <v>0</v>
      </c>
      <c r="AO27" s="171"/>
      <c r="AP27" s="213"/>
      <c r="AQ27" s="54"/>
      <c r="AR27" s="1"/>
      <c r="AS27" s="2"/>
      <c r="AT27" s="1"/>
      <c r="AU27" s="1"/>
      <c r="AV27" s="1"/>
      <c r="AW27" s="1"/>
      <c r="AX27" s="2"/>
      <c r="AY27" s="2"/>
      <c r="BA27" s="2"/>
      <c r="BB27" s="2"/>
      <c r="BC27" s="2"/>
      <c r="BD27" s="2"/>
      <c r="BK27" s="2"/>
      <c r="BL27" s="2" t="s">
        <v>123</v>
      </c>
      <c r="BM27" s="21" t="str">
        <f t="shared" si="12"/>
        <v>Orcos Negros</v>
      </c>
      <c r="BN27" s="2" t="s">
        <v>123</v>
      </c>
      <c r="BO27" s="2"/>
      <c r="BP27" s="2">
        <v>60000</v>
      </c>
      <c r="BQ27" s="2">
        <v>50000</v>
      </c>
      <c r="BR27" s="2">
        <v>1</v>
      </c>
      <c r="BS27" s="42" t="str">
        <f>IF($J$24="Español","Reyerta en las Yermas",(IF($J$24="Deutsch","Düsterland-Rauferei",(IF($J$24="Français","Bagarre des Terres Arides","Badlands Brawl")))))</f>
        <v>Reyerta en las Yermas</v>
      </c>
      <c r="BT27" s="3" t="s">
        <v>24</v>
      </c>
      <c r="BU27" s="3"/>
      <c r="BV27" s="3"/>
      <c r="BW27" s="3"/>
      <c r="BX27" s="3"/>
      <c r="BY27" s="2" t="s">
        <v>138</v>
      </c>
      <c r="BZ27" s="2" t="s">
        <v>140</v>
      </c>
      <c r="CA27" s="46" t="s">
        <v>141</v>
      </c>
      <c r="CB27" s="1" t="s">
        <v>142</v>
      </c>
      <c r="CC27" s="2"/>
      <c r="CD27" s="1"/>
      <c r="CE27" s="2" t="s">
        <v>134</v>
      </c>
      <c r="CF27" s="23" t="s">
        <v>26</v>
      </c>
      <c r="CG27" s="46" t="s">
        <v>146</v>
      </c>
      <c r="CH27" s="1" t="s">
        <v>153</v>
      </c>
      <c r="CI27" s="2"/>
      <c r="CJ27" s="2"/>
      <c r="CK27" s="2"/>
      <c r="CL27" s="2"/>
      <c r="CM27" s="2"/>
      <c r="CN27" s="2"/>
      <c r="CO27" s="2"/>
      <c r="CP27" s="2"/>
      <c r="CQ27" s="2"/>
      <c r="CR27" s="2"/>
      <c r="CS27" s="2"/>
      <c r="CT27" s="2"/>
      <c r="CU27" s="2"/>
      <c r="CV27" s="2"/>
      <c r="CW27" s="2"/>
      <c r="CX27" s="2"/>
      <c r="CY27" s="2"/>
      <c r="CZ27" s="2"/>
    </row>
    <row r="28" spans="1:104" ht="18.75" customHeight="1" x14ac:dyDescent="0.2">
      <c r="A28" s="166"/>
      <c r="B28" s="167"/>
      <c r="C28" s="172" t="str">
        <f>IF(J24="Italiano","COSTO AVANZAMENTI",(IF(J24="Español","PRECIO SUBIDAS",(IF(J24="Deutsch","WERT DER VERBESSERUNG",(IF(J24="Français","VALEUR AMÉLIORATION","COST UPGRADES")))))))</f>
        <v>PRECIO SUBIDAS</v>
      </c>
      <c r="D28" s="173"/>
      <c r="E28" s="173"/>
      <c r="F28" s="173"/>
      <c r="G28" s="173"/>
      <c r="H28" s="173"/>
      <c r="I28" s="174"/>
      <c r="J28" s="175">
        <f>(SUM(BI46:BI61))/1000</f>
        <v>0</v>
      </c>
      <c r="K28" s="176"/>
      <c r="L28" s="176"/>
      <c r="M28" s="176"/>
      <c r="N28" s="177" t="str">
        <f>IF(J24="Español","k mo",(IF(J24="Deutsch","k gm",(IF(J24="Français","k po","k gp")))))</f>
        <v>k mo</v>
      </c>
      <c r="O28" s="173"/>
      <c r="P28" s="173"/>
      <c r="Q28" s="174"/>
      <c r="R28" s="156" t="str">
        <f>IF(J24="Italiano","ESORDIENTI RIBELLI",(IF(J24="Español","NOVATOS ALBOROTADORES",(IF(J24="Deutsch","RANDALIERENDE NEULINGE",(IF(J24="Français","DÉBUTANTS DÉCHAINÉS","RIOTOUS ROOKIES")))))))</f>
        <v>NOVATOS ALBOROTADORES</v>
      </c>
      <c r="S28" s="157"/>
      <c r="T28" s="157"/>
      <c r="U28" s="157"/>
      <c r="V28" s="158"/>
      <c r="W28" s="31">
        <v>0</v>
      </c>
      <c r="X28" s="52" t="s">
        <v>102</v>
      </c>
      <c r="Y28" s="157">
        <f>IFERROR(IF(BW2="LowCost",100000,0),0)</f>
        <v>0</v>
      </c>
      <c r="Z28" s="157"/>
      <c r="AA28" s="56" t="str">
        <f t="shared" si="17"/>
        <v>mo</v>
      </c>
      <c r="AB28" s="170">
        <f>IFERROR(IF(AE35="NO",W28*Y28,0),0)</f>
        <v>0</v>
      </c>
      <c r="AC28" s="171"/>
      <c r="AD28" s="178" t="str">
        <f>IF(J24="Italiano","MEDICI VAGABONDI",(IF(J24="Español","MÉDICO ERRANTE",(IF(J24="Deutsch","WANDERNDER SANITÄTER",(IF(J24="Français","APO ITINÉRANT","WANDERING APO")))))))</f>
        <v>MÉDICO ERRANTE</v>
      </c>
      <c r="AE28" s="179"/>
      <c r="AF28" s="179"/>
      <c r="AG28" s="179"/>
      <c r="AH28" s="180"/>
      <c r="AI28" s="30">
        <v>0</v>
      </c>
      <c r="AJ28" s="52" t="s">
        <v>102</v>
      </c>
      <c r="AK28" s="157">
        <f>IFERROR(IF(AK21=0,0,100000),0)</f>
        <v>100000</v>
      </c>
      <c r="AL28" s="157"/>
      <c r="AM28" s="53" t="str">
        <f t="shared" si="18"/>
        <v>mo</v>
      </c>
      <c r="AN28" s="170">
        <f t="shared" si="20"/>
        <v>0</v>
      </c>
      <c r="AO28" s="171"/>
      <c r="AP28" s="213"/>
      <c r="AQ28" s="54"/>
      <c r="AR28" s="1"/>
      <c r="AS28" s="2"/>
      <c r="AT28" s="1"/>
      <c r="AU28" s="1"/>
      <c r="AV28" s="1"/>
      <c r="AW28" s="1"/>
      <c r="AX28" s="2"/>
      <c r="AY28" s="2"/>
      <c r="BA28" s="2"/>
      <c r="BB28" s="2"/>
      <c r="BC28" s="2"/>
      <c r="BD28" s="2"/>
      <c r="BK28" s="2"/>
      <c r="BL28" s="2" t="s">
        <v>128</v>
      </c>
      <c r="BM28" s="21" t="str">
        <f t="shared" si="12"/>
        <v>Pacto del Caos</v>
      </c>
      <c r="BN28" s="2" t="s">
        <v>129</v>
      </c>
      <c r="BO28" s="2"/>
      <c r="BP28" s="2">
        <v>70000</v>
      </c>
      <c r="BQ28" s="2">
        <v>0</v>
      </c>
      <c r="BR28" s="2">
        <v>0</v>
      </c>
      <c r="BS28" s="42" t="str">
        <f>IF($J$24="Español","Señores de los No Muertos, Selectiva de Sylvania",(IF($J$24="Deutsch","Masters of Undeath, Sylvanisches Rampenlicht",(IF($J$24="Français","Masters of Undeath, Spot de Sylvanie","Masters of Undeath, Sylvanian Spotlight")))))</f>
        <v>Señores de los No Muertos, Selectiva de Sylvania</v>
      </c>
      <c r="BT28" s="3" t="s">
        <v>97</v>
      </c>
      <c r="BU28" s="3" t="s">
        <v>98</v>
      </c>
      <c r="BV28" s="3"/>
      <c r="BW28" s="3"/>
      <c r="BX28" s="3"/>
      <c r="BY28" s="2" t="s">
        <v>144</v>
      </c>
      <c r="BZ28" s="2" t="s">
        <v>145</v>
      </c>
      <c r="CA28" s="46" t="s">
        <v>146</v>
      </c>
      <c r="CB28" s="1" t="s">
        <v>147</v>
      </c>
      <c r="CC28" s="2"/>
      <c r="CD28" s="1"/>
      <c r="CE28" s="2" t="s">
        <v>144</v>
      </c>
      <c r="CF28" s="23" t="s">
        <v>43</v>
      </c>
      <c r="CG28" s="46" t="s">
        <v>152</v>
      </c>
      <c r="CH28" s="1" t="s">
        <v>142</v>
      </c>
      <c r="CI28" s="2"/>
      <c r="CJ28" s="2"/>
      <c r="CK28" s="2"/>
      <c r="CL28" s="2"/>
      <c r="CM28" s="2"/>
      <c r="CN28" s="2"/>
      <c r="CO28" s="2"/>
      <c r="CP28" s="2"/>
      <c r="CQ28" s="2"/>
      <c r="CR28" s="2"/>
      <c r="CS28" s="2"/>
      <c r="CT28" s="2"/>
      <c r="CU28" s="2"/>
      <c r="CV28" s="2"/>
      <c r="CW28" s="2"/>
      <c r="CX28" s="2"/>
      <c r="CY28" s="2"/>
      <c r="CZ28" s="2"/>
    </row>
    <row r="29" spans="1:104" ht="18.75" customHeight="1" x14ac:dyDescent="0.2">
      <c r="A29" s="166"/>
      <c r="B29" s="167"/>
      <c r="C29" s="184" t="str">
        <f>IF(J24="Italiano","TESORERIA",(IF(J24="Español","TESORERÍA",(IF(J24="Deutsch","TEAMKASSE",(IF(J24="Français","TRÉSORERIE","TREASURY")))))))</f>
        <v>TESORERÍA</v>
      </c>
      <c r="D29" s="185"/>
      <c r="E29" s="185"/>
      <c r="F29" s="185"/>
      <c r="G29" s="185"/>
      <c r="H29" s="185"/>
      <c r="I29" s="186"/>
      <c r="J29" s="175">
        <f>(C35/1000)-J27</f>
        <v>1105</v>
      </c>
      <c r="K29" s="176"/>
      <c r="L29" s="176"/>
      <c r="M29" s="176"/>
      <c r="N29" s="177" t="str">
        <f>IF(J24="Español","k mo",(IF(J24="Deutsch","k gm",(IF(J24="Français","k po","k gp")))))</f>
        <v>k mo</v>
      </c>
      <c r="O29" s="173"/>
      <c r="P29" s="173"/>
      <c r="Q29" s="174"/>
      <c r="R29" s="178"/>
      <c r="S29" s="179"/>
      <c r="T29" s="179"/>
      <c r="U29" s="179"/>
      <c r="V29" s="179"/>
      <c r="W29" s="179"/>
      <c r="X29" s="179"/>
      <c r="Y29" s="179"/>
      <c r="Z29" s="179"/>
      <c r="AA29" s="179"/>
      <c r="AB29" s="179"/>
      <c r="AC29" s="180"/>
      <c r="AD29" s="178"/>
      <c r="AE29" s="179"/>
      <c r="AF29" s="179"/>
      <c r="AG29" s="179"/>
      <c r="AH29" s="179"/>
      <c r="AI29" s="179"/>
      <c r="AJ29" s="179"/>
      <c r="AK29" s="179"/>
      <c r="AL29" s="179"/>
      <c r="AM29" s="179"/>
      <c r="AN29" s="179"/>
      <c r="AO29" s="180"/>
      <c r="AP29" s="213"/>
      <c r="AQ29" s="54"/>
      <c r="AR29" s="2"/>
      <c r="AS29" s="1"/>
      <c r="AT29" s="2"/>
      <c r="AU29" s="1"/>
      <c r="AV29" s="1"/>
      <c r="AW29" s="1"/>
      <c r="AX29" s="2"/>
      <c r="AY29" s="2"/>
      <c r="BA29" s="2"/>
      <c r="BB29" s="2"/>
      <c r="BC29" s="2"/>
      <c r="BD29" s="2"/>
      <c r="BK29" s="2"/>
      <c r="BL29" s="2" t="s">
        <v>134</v>
      </c>
      <c r="BM29" s="21" t="str">
        <f t="shared" si="12"/>
        <v xml:space="preserve">Skaven </v>
      </c>
      <c r="BN29" s="2" t="s">
        <v>134</v>
      </c>
      <c r="BO29" s="2"/>
      <c r="BP29" s="2">
        <v>50000</v>
      </c>
      <c r="BQ29" s="2">
        <v>50000</v>
      </c>
      <c r="BR29" s="2">
        <v>1</v>
      </c>
      <c r="BS29" s="42" t="str">
        <f>IF($J$24="Español","Superliga Lustriana",(IF($J$24="Deutsch","Lustria-Superliga",(IF($J$24="Français","Super-Ligue de Lustrie","Lustrian Superleague")))))</f>
        <v>Superliga Lustriana</v>
      </c>
      <c r="BT29" s="3" t="s">
        <v>21</v>
      </c>
      <c r="BU29" s="3"/>
      <c r="BV29" s="3"/>
      <c r="BW29" s="3"/>
      <c r="BX29" s="3"/>
      <c r="BY29" s="2" t="s">
        <v>149</v>
      </c>
      <c r="BZ29" s="2" t="s">
        <v>151</v>
      </c>
      <c r="CA29" s="46" t="s">
        <v>152</v>
      </c>
      <c r="CB29" s="1" t="s">
        <v>153</v>
      </c>
      <c r="CC29" s="1"/>
      <c r="CD29" s="1"/>
      <c r="CE29" s="2" t="s">
        <v>149</v>
      </c>
      <c r="CF29" s="2" t="s">
        <v>140</v>
      </c>
      <c r="CG29" s="46" t="s">
        <v>157</v>
      </c>
      <c r="CH29" s="1" t="s">
        <v>137</v>
      </c>
      <c r="CI29" s="2"/>
      <c r="CJ29" s="2"/>
      <c r="CK29" s="2"/>
      <c r="CL29" s="2"/>
      <c r="CM29" s="2"/>
      <c r="CN29" s="2"/>
      <c r="CO29" s="2"/>
      <c r="CP29" s="2"/>
      <c r="CQ29" s="2"/>
      <c r="CR29" s="2"/>
      <c r="CS29" s="2"/>
      <c r="CT29" s="2"/>
      <c r="CU29" s="2"/>
      <c r="CV29" s="2"/>
      <c r="CW29" s="2"/>
      <c r="CX29" s="2"/>
      <c r="CY29" s="2"/>
      <c r="CZ29" s="2"/>
    </row>
    <row r="30" spans="1:104" ht="18.75" customHeight="1" x14ac:dyDescent="0.2">
      <c r="A30" s="168"/>
      <c r="B30" s="169"/>
      <c r="C30" s="151" t="str">
        <f>IF(J24="Italiano","VALORE SQUADRA",(IF(J24="Español","VALOR DEL EQUIPO",(IF(J24="Deutsch","TEAMWERT",(IF(J24="Français","VALEUR D’ÉQUIPE ACTUELLE","TEAM VALUE")))))))</f>
        <v>VALOR DEL EQUIPO</v>
      </c>
      <c r="D30" s="152"/>
      <c r="E30" s="152"/>
      <c r="F30" s="152"/>
      <c r="G30" s="152"/>
      <c r="H30" s="152"/>
      <c r="I30" s="153"/>
      <c r="J30" s="154">
        <f>(J25+(SUM(AQ2:AQ17)))</f>
        <v>0</v>
      </c>
      <c r="K30" s="154"/>
      <c r="L30" s="154"/>
      <c r="M30" s="154"/>
      <c r="N30" s="154"/>
      <c r="O30" s="154"/>
      <c r="P30" s="154"/>
      <c r="Q30" s="155"/>
      <c r="R30" s="156" t="str">
        <f>IF(J24="Italiano","REGOLE SPECIALI",(IF(J24="Español","REGLA ESPECIAL",(IF(J24="Deutsch","SONDERREGELN",(IF(J24="Français","RÈGLES SPÉCIALES","SPECIAL RULES")))))))</f>
        <v>REGLA ESPECIAL</v>
      </c>
      <c r="S30" s="157"/>
      <c r="T30" s="157"/>
      <c r="U30" s="157"/>
      <c r="V30" s="158"/>
      <c r="W30" s="159" t="str">
        <f>IFERROR(VLOOKUP(BO1,BL:BU,8,0),"")</f>
        <v>Clásica del Viejo Mundo</v>
      </c>
      <c r="X30" s="160"/>
      <c r="Y30" s="160"/>
      <c r="Z30" s="160"/>
      <c r="AA30" s="160"/>
      <c r="AB30" s="160"/>
      <c r="AC30" s="160"/>
      <c r="AD30" s="160"/>
      <c r="AE30" s="160"/>
      <c r="AF30" s="160"/>
      <c r="AG30" s="160"/>
      <c r="AH30" s="160"/>
      <c r="AI30" s="160"/>
      <c r="AJ30" s="161" t="s">
        <v>148</v>
      </c>
      <c r="AK30" s="161"/>
      <c r="AL30" s="161"/>
      <c r="AM30" s="162"/>
      <c r="AN30" s="162"/>
      <c r="AO30" s="163"/>
      <c r="AP30" s="213"/>
      <c r="AQ30" s="54"/>
      <c r="AR30" s="2"/>
      <c r="AS30" s="2"/>
      <c r="AT30" s="2"/>
      <c r="AU30" s="2"/>
      <c r="AV30" s="2"/>
      <c r="AW30" s="2"/>
      <c r="AX30" s="2"/>
      <c r="AY30" s="2"/>
      <c r="AZ30" s="2"/>
      <c r="BA30" s="2"/>
      <c r="BB30" s="2"/>
      <c r="BC30" s="2"/>
      <c r="BD30" s="2"/>
      <c r="BK30" s="2"/>
      <c r="BL30" s="2" t="s">
        <v>138</v>
      </c>
      <c r="BM30" s="21" t="str">
        <f t="shared" si="12"/>
        <v xml:space="preserve">Slann </v>
      </c>
      <c r="BN30" s="2" t="s">
        <v>138</v>
      </c>
      <c r="BO30" s="2"/>
      <c r="BP30" s="2">
        <v>50000</v>
      </c>
      <c r="BQ30" s="2">
        <v>50000</v>
      </c>
      <c r="BR30" s="2">
        <v>1</v>
      </c>
      <c r="BS30" s="42" t="str">
        <f>IF($J$24="Español","Reto del Inframundo",(IF($J$24="Deutsch","Unterwelt-Herausforderung",(IF($J$24="Français","Défi des Bas-Fonds","Underworld Challenge")))))</f>
        <v>Reto del Inframundo</v>
      </c>
      <c r="BT30" s="3" t="s">
        <v>139</v>
      </c>
      <c r="BU30" s="3"/>
      <c r="BV30" s="3"/>
      <c r="BW30" s="3"/>
      <c r="BX30" s="3"/>
      <c r="BY30" s="2" t="s">
        <v>154</v>
      </c>
      <c r="BZ30" s="2" t="s">
        <v>156</v>
      </c>
      <c r="CA30" s="46" t="s">
        <v>157</v>
      </c>
      <c r="CB30" s="1" t="s">
        <v>158</v>
      </c>
      <c r="CC30" s="1"/>
      <c r="CD30" s="1"/>
      <c r="CE30" s="2" t="s">
        <v>154</v>
      </c>
      <c r="CF30" s="2" t="s">
        <v>135</v>
      </c>
      <c r="CG30" s="46" t="s">
        <v>1686</v>
      </c>
      <c r="CH30" s="1" t="s">
        <v>147</v>
      </c>
      <c r="CI30" s="2"/>
      <c r="CJ30" s="2"/>
      <c r="CK30" s="2"/>
      <c r="CL30" s="2"/>
      <c r="CM30" s="2"/>
      <c r="CN30" s="2"/>
      <c r="CO30" s="2"/>
      <c r="CP30" s="2"/>
      <c r="CQ30" s="2"/>
      <c r="CR30" s="2"/>
      <c r="CS30" s="2"/>
      <c r="CT30" s="2"/>
      <c r="CU30" s="2"/>
      <c r="CV30" s="2"/>
      <c r="CW30" s="2"/>
      <c r="CX30" s="2"/>
      <c r="CY30" s="2"/>
      <c r="CZ30" s="2"/>
    </row>
    <row r="31" spans="1:104" ht="45" customHeight="1" x14ac:dyDescent="0.2">
      <c r="A31" s="145" t="str">
        <f>IF(J24="Italiano","Creato da dreamscreator",(IF(J24="Español","Creado por dreamscreator",(IF(J24="Deutsch","Erstellt von dreamscreator",(IF(J24="Français","Créé par dreamscreator","Created by dreamscreator")))))))</f>
        <v>Creado por dreamscreator</v>
      </c>
      <c r="B31" s="145"/>
      <c r="C31" s="145"/>
      <c r="D31" s="146" t="str">
        <f>B65&amp;B66&amp;B67&amp;B68&amp;B69&amp;B70&amp;B71&amp;B72&amp;B73&amp;B74&amp;B75&amp;B76</f>
        <v xml:space="preserve">¡NECESITAS 11 JUGADORES!   ¡DEBES PONER EL NOMBRE DEL ENTRENADOR!   ¡DEBES PONER EL NUMERO NAF (si no tienes pon 0)!   ¡DEBES TENER TRES HABILIDADES PRIMARIAS EL PRIMER DÍA!   ¡DEBES TENER DOS HABILIDADES PRIMARIAS Y UNA SECUNDARIA O TRES PRIMARIAS EL SEGUNDO DÍA!   ¡DEBES TENER DOS HABILIDADES PRIMARIAS EL TERCER DÍA!   </v>
      </c>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213"/>
      <c r="AQ31" s="54"/>
      <c r="AR31" s="1"/>
      <c r="AS31" s="2"/>
      <c r="AT31" s="1"/>
      <c r="AU31" s="1"/>
      <c r="AV31" s="1"/>
      <c r="AW31" s="1"/>
      <c r="AX31" s="2"/>
      <c r="AY31" s="2"/>
      <c r="BC31" s="2"/>
      <c r="BD31" s="2"/>
      <c r="BK31" s="2"/>
      <c r="BL31" s="2" t="s">
        <v>144</v>
      </c>
      <c r="BM31" s="21" t="str">
        <f t="shared" si="12"/>
        <v xml:space="preserve">Snotling </v>
      </c>
      <c r="BN31" s="2" t="s">
        <v>144</v>
      </c>
      <c r="BO31" s="2"/>
      <c r="BP31" s="2">
        <v>60000</v>
      </c>
      <c r="BQ31" s="2">
        <v>50000</v>
      </c>
      <c r="BR31" s="2">
        <v>4</v>
      </c>
      <c r="BS31" s="42"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Reto del Inframundo, Sobornos y Corrupción y Líneas Prescindibles</v>
      </c>
      <c r="BT31" s="3" t="s">
        <v>139</v>
      </c>
      <c r="BU31" s="3" t="s">
        <v>25</v>
      </c>
      <c r="BV31" s="3" t="s">
        <v>112</v>
      </c>
      <c r="BW31" s="3"/>
      <c r="BX31" s="3"/>
      <c r="BY31" s="2" t="s">
        <v>159</v>
      </c>
      <c r="BZ31" s="2" t="s">
        <v>1685</v>
      </c>
      <c r="CA31" s="46" t="s">
        <v>1686</v>
      </c>
      <c r="CB31" s="1" t="s">
        <v>1687</v>
      </c>
      <c r="CC31" s="1"/>
      <c r="CD31" s="1"/>
      <c r="CE31" s="2" t="s">
        <v>159</v>
      </c>
      <c r="CF31" s="2" t="s">
        <v>145</v>
      </c>
      <c r="CG31" s="46" t="s">
        <v>163</v>
      </c>
      <c r="CH31" s="23" t="s">
        <v>61</v>
      </c>
      <c r="CI31" s="2"/>
      <c r="CJ31" s="2"/>
      <c r="CK31" s="2"/>
      <c r="CL31" s="2"/>
      <c r="CM31" s="2"/>
      <c r="CN31" s="2"/>
      <c r="CO31" s="2"/>
      <c r="CP31" s="2"/>
      <c r="CQ31" s="2"/>
      <c r="CR31" s="2"/>
      <c r="CS31" s="2"/>
      <c r="CT31" s="2"/>
      <c r="CU31" s="2"/>
      <c r="CV31" s="2"/>
      <c r="CW31" s="2"/>
      <c r="CX31" s="2"/>
      <c r="CY31" s="2"/>
      <c r="CZ31" s="2"/>
    </row>
    <row r="32" spans="1:104" ht="18" customHeight="1" x14ac:dyDescent="0.2">
      <c r="A32" s="147" t="str">
        <f>IF(J24="Italiano","REGOLE",(IF(J24="Español","REGLAS",(IF(J24="Deutsch","REGELN",(IF(J24="Français","RÈGLES","RULESET")))))))</f>
        <v>REGLAS</v>
      </c>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213"/>
      <c r="AQ32" s="54"/>
      <c r="AR32" s="148" t="s">
        <v>1634</v>
      </c>
      <c r="AS32" s="148"/>
      <c r="AT32" s="148"/>
      <c r="AU32" s="148"/>
      <c r="AV32" s="148"/>
      <c r="AW32" s="1"/>
      <c r="AX32" s="2"/>
      <c r="AY32" s="2"/>
      <c r="BC32" s="2"/>
      <c r="BD32" s="2"/>
      <c r="BK32" s="2"/>
      <c r="BL32" s="2" t="s">
        <v>149</v>
      </c>
      <c r="BM32" s="21" t="str">
        <f t="shared" si="12"/>
        <v>Vampiros</v>
      </c>
      <c r="BN32" s="2" t="s">
        <v>150</v>
      </c>
      <c r="BO32" s="2"/>
      <c r="BP32" s="2">
        <v>70000</v>
      </c>
      <c r="BQ32" s="2">
        <v>0</v>
      </c>
      <c r="BR32" s="2">
        <v>0</v>
      </c>
      <c r="BS32" s="42" t="str">
        <f>IF($J$24="Español","Selectiva de Sylvania",(IF($J$24="Deutsch","Sylvanisches Rampenlicht",(IF($J$24="Français","Spot de Sylvanie","Sylvanian Spotlight")))))</f>
        <v>Selectiva de Sylvania</v>
      </c>
      <c r="BT32" s="3" t="s">
        <v>97</v>
      </c>
      <c r="BU32" s="3" t="s">
        <v>98</v>
      </c>
      <c r="BV32" s="3"/>
      <c r="BW32" s="3"/>
      <c r="BX32" s="3"/>
      <c r="BY32" s="2" t="s">
        <v>160</v>
      </c>
      <c r="BZ32" s="2" t="s">
        <v>162</v>
      </c>
      <c r="CA32" s="46" t="s">
        <v>163</v>
      </c>
      <c r="CB32" s="1" t="s">
        <v>164</v>
      </c>
      <c r="CC32" s="7"/>
      <c r="CD32" s="1"/>
      <c r="CE32" s="2" t="s">
        <v>160</v>
      </c>
      <c r="CF32" s="2" t="s">
        <v>1685</v>
      </c>
      <c r="CG32" s="24" t="s">
        <v>55</v>
      </c>
      <c r="CH32" s="1" t="s">
        <v>1687</v>
      </c>
      <c r="CI32" s="2"/>
      <c r="CJ32" s="2"/>
      <c r="CK32" s="2"/>
      <c r="CL32" s="2"/>
      <c r="CM32" s="2"/>
      <c r="CN32" s="2"/>
      <c r="CO32" s="2"/>
      <c r="CP32" s="2"/>
      <c r="CQ32" s="2"/>
      <c r="CR32" s="2"/>
      <c r="CS32" s="2"/>
      <c r="CT32" s="2"/>
      <c r="CU32" s="2"/>
      <c r="CV32" s="2"/>
      <c r="CW32" s="2"/>
      <c r="CX32" s="2"/>
      <c r="CY32" s="2"/>
      <c r="CZ32" s="2"/>
    </row>
    <row r="33" spans="1:104" ht="45.75" customHeight="1" x14ac:dyDescent="0.2">
      <c r="A33" s="57"/>
      <c r="B33" s="149" t="str">
        <f>IF(J24="Italiano",AV33,(IF(J24="Español",AS33,(IF(J24="Deutsch",AT33,(IF(J24="Français",AU33,AR33)))))))</f>
        <v>1.105.000GC + 3 Habilidades Primarias el Día 1 + 2 Habilidades Primarias y 1 Habilidad Secundaria (se pueden elegir Habilidad Primaria en lugar de Habilidad Secundaria) el Día 2 + 2 Habilidades Primarias el Día 3.
No se permite apilar habilidades.</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213"/>
      <c r="AQ33" s="54"/>
      <c r="AR33" s="58" t="s">
        <v>1697</v>
      </c>
      <c r="AS33" s="58" t="s">
        <v>1693</v>
      </c>
      <c r="AT33" s="58" t="s">
        <v>1696</v>
      </c>
      <c r="AU33" s="58" t="s">
        <v>1695</v>
      </c>
      <c r="AV33" s="58" t="s">
        <v>1694</v>
      </c>
      <c r="BL33" s="2" t="s">
        <v>154</v>
      </c>
      <c r="BM33" s="21"/>
      <c r="BN33" s="2" t="s">
        <v>155</v>
      </c>
      <c r="BO33" s="2"/>
      <c r="BP33" s="2">
        <v>70000</v>
      </c>
      <c r="BQ33" s="2">
        <v>50000</v>
      </c>
      <c r="BR33" s="2">
        <v>1</v>
      </c>
      <c r="BS33" s="42" t="str">
        <f>IF($J$24="Español","Reto del Inframundo y Sobornos y Corrupción",(IF($J$24="Deutsch","Unterwelt-Herausforderung, Bestechung und Korruption",(IF($J$24="Français","Défi des Bas-Fonds et Chantage &amp; Corruption","Underworld Challenge and Bribery and Corruption")))))</f>
        <v>Reto del Inframundo y Sobornos y Corrupción</v>
      </c>
      <c r="BT33" s="3" t="s">
        <v>139</v>
      </c>
      <c r="BU33" s="3" t="s">
        <v>25</v>
      </c>
      <c r="BV33" s="3"/>
      <c r="BW33" s="3"/>
      <c r="CC33" s="7"/>
      <c r="CD33" s="1"/>
    </row>
    <row r="34" spans="1:104" ht="21" hidden="1" customHeight="1" x14ac:dyDescent="0.2">
      <c r="A34" s="57"/>
      <c r="B34" s="150" t="str">
        <f>IF(J24="Italiano","Regole Generali",(IF(J24="Español","Reglas generales",(IF(J24="Deutsch","Allgemeine Regeln",(IF(J24="Français","Règles générales","General rules")))))))</f>
        <v>Reglas generales</v>
      </c>
      <c r="C34" s="150"/>
      <c r="D34" s="150"/>
      <c r="E34" s="150"/>
      <c r="F34" s="150"/>
      <c r="G34" s="150"/>
      <c r="H34" s="150"/>
      <c r="I34" s="150"/>
      <c r="J34" s="150"/>
      <c r="K34" s="150"/>
      <c r="L34" s="150"/>
      <c r="M34" s="150"/>
      <c r="N34" s="150"/>
      <c r="O34" s="150"/>
      <c r="P34" s="138"/>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213"/>
      <c r="AQ34" s="54"/>
      <c r="BL34" s="2"/>
      <c r="BM34" s="21"/>
      <c r="BN34" s="2"/>
      <c r="BO34" s="2"/>
      <c r="BP34" s="2">
        <v>70000</v>
      </c>
      <c r="BQ34" s="2">
        <v>50000</v>
      </c>
      <c r="BR34" s="2">
        <v>0</v>
      </c>
      <c r="BS34" s="42" t="str">
        <f>IF($J$24="Español","Selectiva de Sylvania",(IF($J$24="Deutsch","Sylvanisches Rampenlicht",(IF($J$24="Français","Spot de Sylvanie","Sylvanian Spotlight")))))</f>
        <v>Selectiva de Sylvania</v>
      </c>
      <c r="BT34" s="3" t="s">
        <v>97</v>
      </c>
      <c r="BU34" s="3" t="s">
        <v>98</v>
      </c>
      <c r="BV34" s="3"/>
      <c r="BW34" s="3"/>
      <c r="CC34"/>
      <c r="CD34"/>
    </row>
    <row r="35" spans="1:104" ht="21" hidden="1" customHeight="1" x14ac:dyDescent="0.2">
      <c r="A35" s="57"/>
      <c r="B35" s="59" t="str">
        <f>IF(J24="Italiano","VALORE SQUADRA",(IF(J24="Español","VALOR DEL EQUIPO",(IF(J24="Deutsch","TEAMWERT",(IF(J24="Français","VALEUR D’ÉQUIPE ACTUELLE","TEAM VALUE")))))))</f>
        <v>VALOR DEL EQUIPO</v>
      </c>
      <c r="C35" s="143">
        <v>1105000</v>
      </c>
      <c r="D35" s="144"/>
      <c r="E35" s="139" t="str">
        <f>IF(J24="Español","MAX. ESTRELLAS Y MERCENARIOS",(IF(J24="Deutsch","MAX. STARSPIELER &amp; MERCENARIES",(IF(J24="Français","MERCENAIRE &amp; STARS MAX","MAX. STARS &amp; MERCENARIES")))))</f>
        <v>MAX. ESTRELLAS Y MERCENARIOS</v>
      </c>
      <c r="F35" s="140"/>
      <c r="G35" s="140"/>
      <c r="H35" s="140"/>
      <c r="I35" s="140"/>
      <c r="J35" s="141"/>
      <c r="K35" s="61">
        <v>0</v>
      </c>
      <c r="L35" s="139" t="str">
        <f>IF(J24="Español","LINEMEN PRESCINDIBLES",(IF(J24="Deutsch","BILLIGE LINEMEN",(IF(J24="Français","LINEMEN A VIL PRIX","LOW COST LINEMEN")))))</f>
        <v>LINEMEN PRESCINDIBLES</v>
      </c>
      <c r="M35" s="140"/>
      <c r="N35" s="140"/>
      <c r="O35" s="140"/>
      <c r="P35" s="62" t="s">
        <v>165</v>
      </c>
      <c r="Q35" s="140" t="str">
        <f>IF(J24="Italiano","CAPOCUOCO GRATUITO",(IF(J24="Español","MASTER CHEF GRATIS",(IF(J24="Deutsch","FREIER HALBLING-MEISTERKOCH",(IF(J24="Français","CHEF CUISTOT GRATUIT","FREE MASTER CHEF")))))))</f>
        <v>MASTER CHEF GRATIS</v>
      </c>
      <c r="R35" s="140"/>
      <c r="S35" s="140"/>
      <c r="T35" s="141"/>
      <c r="U35" s="63" t="s">
        <v>165</v>
      </c>
      <c r="V35" s="139" t="str">
        <f>IF(J24="Italiano","MAZZETTE GRATUITE",(IF(J24="Español","SOBORNOS GRATIS",(IF(J24="Deutsch","FREIE BESTECHUNGEN",(IF(J24="Français","POTS-DE-VIN GRATUIT","FREE BRIBES")))))))</f>
        <v>SOBORNOS GRATIS</v>
      </c>
      <c r="W35" s="140"/>
      <c r="X35" s="140"/>
      <c r="Y35" s="141"/>
      <c r="Z35" s="63">
        <v>0</v>
      </c>
      <c r="AA35" s="139" t="str">
        <f>IF(J24="Italiano","ESORDIENTI RIBELLI GRATUITI",(IF(J24="Español","NOVATOS ALBOROTADORES GRATIS",(IF(J24="Deutsch","FREIE RANDALIE- RENDE NEULINGE",(IF(J24="Français","DÉBUTANTS DÉCHAÎNÉS GRATUITS","FREE RIOTOUS ROOKIES")))))))</f>
        <v>NOVATOS ALBOROTADORES GRATIS</v>
      </c>
      <c r="AB35" s="140"/>
      <c r="AC35" s="140"/>
      <c r="AD35" s="141"/>
      <c r="AE35" s="63" t="s">
        <v>165</v>
      </c>
      <c r="AF35" s="139" t="str">
        <f>IF(J24="Italiano","MEDICO GRATUITO",(IF(J24="Español","MÉDICO GRATIS",(IF(J24="Deutsch","FREIER SANITÄTER",(IF(J24="Français","APOTHICAIRE GRATUIT","FREE APOTHECARY")))))))</f>
        <v>MÉDICO GRATIS</v>
      </c>
      <c r="AG35" s="140"/>
      <c r="AH35" s="140"/>
      <c r="AI35" s="141"/>
      <c r="AJ35" s="61" t="s">
        <v>165</v>
      </c>
      <c r="AK35" s="139" t="str">
        <f>IF(J24="Italiano","FUSTO BLOODWEISER GRATUITO",(IF(J24="Español","BARRILES BLOODWEISER GRATIS",(IF(J24="Deutsch","FREIE BLOOD- WEISER FÄSSER",(IF(J24="Français","FÛTS DE BLOOWEISER GRATUIT","FREE BLOODWEISER KEGS")))))))</f>
        <v>BARRILES BLOODWEISER GRATIS</v>
      </c>
      <c r="AL35" s="140"/>
      <c r="AM35" s="140"/>
      <c r="AN35" s="141"/>
      <c r="AO35" s="63">
        <v>0</v>
      </c>
      <c r="AP35" s="213"/>
      <c r="AQ35" s="54"/>
      <c r="AR35" s="1"/>
      <c r="AS35" s="122" t="s">
        <v>1633</v>
      </c>
      <c r="AT35" s="122"/>
      <c r="AU35" s="122"/>
      <c r="AV35" s="122"/>
      <c r="AW35" s="1"/>
      <c r="AX35" s="2"/>
      <c r="AY35" s="2"/>
      <c r="BC35" s="2"/>
      <c r="BD35" s="2"/>
      <c r="BK35" s="2"/>
      <c r="BL35" s="2" t="s">
        <v>159</v>
      </c>
      <c r="BM35" s="21"/>
      <c r="BN35" s="2" t="s">
        <v>159</v>
      </c>
      <c r="BO35" s="2"/>
      <c r="BP35" s="2">
        <v>60000</v>
      </c>
      <c r="BQ35" s="2">
        <v>50000</v>
      </c>
      <c r="BR35" s="2">
        <v>1</v>
      </c>
      <c r="BS35" s="42" t="str">
        <f>IF($J$24="Español","Selectiva de Sylvania",(IF($J$24="Deutsch","Sylvanisches Rampenlicht",(IF($J$24="Français","Spot de Sylvanie","Sylvanian Spotlight")))))</f>
        <v>Selectiva de Sylvania</v>
      </c>
      <c r="BT35" s="3" t="s">
        <v>97</v>
      </c>
      <c r="BU35" s="3" t="s">
        <v>98</v>
      </c>
      <c r="BV35" s="3"/>
      <c r="BW35" s="3"/>
      <c r="BX35" s="3"/>
      <c r="CC35"/>
      <c r="CD35"/>
      <c r="CI35" s="2"/>
      <c r="CJ35" s="2"/>
      <c r="CK35" s="2"/>
      <c r="CL35" s="2"/>
      <c r="CM35" s="2"/>
      <c r="CN35" s="2"/>
      <c r="CO35" s="2"/>
      <c r="CP35" s="2"/>
      <c r="CQ35" s="2"/>
      <c r="CR35" s="2"/>
      <c r="CS35" s="2"/>
      <c r="CT35" s="2"/>
      <c r="CU35" s="2"/>
      <c r="CV35" s="2"/>
      <c r="CW35" s="2"/>
      <c r="CX35" s="2"/>
      <c r="CY35" s="2"/>
      <c r="CZ35" s="2"/>
    </row>
    <row r="36" spans="1:104" ht="21" hidden="1" customHeight="1" x14ac:dyDescent="0.2">
      <c r="A36" s="57"/>
      <c r="B36" s="142" t="str">
        <f>IF(J24="Italiano","Regole Abilità",(IF(J24="Español","Reglas habilidades",(IF(J24="Deutsch","Regelkenntnisse",(IF(J24="Français","Compétences en matière de règles","Rules skills")))))))</f>
        <v>Reglas habilidades</v>
      </c>
      <c r="C36" s="142"/>
      <c r="D36" s="142"/>
      <c r="E36" s="142"/>
      <c r="F36" s="142"/>
      <c r="G36" s="142"/>
      <c r="H36" s="142"/>
      <c r="I36" s="142"/>
      <c r="J36" s="142"/>
      <c r="K36" s="142"/>
      <c r="L36" s="142"/>
      <c r="M36" s="142"/>
      <c r="N36" s="142"/>
      <c r="O36" s="142"/>
      <c r="P36" s="138"/>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213"/>
      <c r="AQ36" s="54"/>
      <c r="AR36" s="1"/>
      <c r="AS36" s="23" t="s">
        <v>1241</v>
      </c>
      <c r="AT36" s="1">
        <f>IF($C$18=AS36,1,0)</f>
        <v>0</v>
      </c>
      <c r="AU36" s="1">
        <f>IF($C$19=AS36,1,0)</f>
        <v>0</v>
      </c>
      <c r="AV36" s="1">
        <f>(SUM(AT36:AU41))</f>
        <v>0</v>
      </c>
      <c r="AW36" s="1"/>
      <c r="AX36" s="2"/>
      <c r="AY36" s="2"/>
      <c r="BC36" s="2"/>
      <c r="BD36" s="2"/>
      <c r="BK36" s="2"/>
      <c r="BL36" s="2" t="s">
        <v>160</v>
      </c>
      <c r="BM36" s="21"/>
      <c r="BN36" s="2" t="s">
        <v>161</v>
      </c>
      <c r="BO36" s="2"/>
      <c r="BP36" s="2">
        <v>50000</v>
      </c>
      <c r="BQ36" s="2">
        <v>50000</v>
      </c>
      <c r="BR36" s="2">
        <v>1</v>
      </c>
      <c r="BS36" s="42" t="str">
        <f>IF($J$24="Español","Liga de los Reinos Elfos",(IF($J$24="Deutsch","Liga der Elfenkönigreiche",(IF($J$24="Français","Ligue des Royaumes Elfiques","Elven Kingdoms League")))))</f>
        <v>Liga de los Reinos Elfos</v>
      </c>
      <c r="BT36" s="3" t="s">
        <v>48</v>
      </c>
      <c r="BX36" s="3"/>
      <c r="CC36" s="7"/>
      <c r="CD36" s="1"/>
      <c r="CI36" s="2"/>
      <c r="CJ36" s="2"/>
      <c r="CK36" s="2"/>
      <c r="CL36" s="2"/>
      <c r="CM36" s="2"/>
      <c r="CN36" s="2"/>
      <c r="CO36" s="2"/>
      <c r="CP36" s="2"/>
      <c r="CQ36" s="2"/>
      <c r="CR36" s="2"/>
      <c r="CS36" s="2"/>
      <c r="CT36" s="2"/>
      <c r="CU36" s="2"/>
      <c r="CV36" s="2"/>
      <c r="CW36" s="2"/>
      <c r="CX36" s="2"/>
      <c r="CY36" s="2"/>
      <c r="CZ36" s="2"/>
    </row>
    <row r="37" spans="1:104" ht="21" hidden="1" customHeight="1" x14ac:dyDescent="0.2">
      <c r="A37" s="57"/>
      <c r="B37" s="60" t="str">
        <f>IF(J24="Italiano","MAX. ABILITÀ TOTALI",(IF(J24="Español","MAX. TOTAL HABILIDADES",(IF(J24="Deutsch","MAX. FERTIG- KEITEN GESAMT",(IF(J24="Français","NB COMPÉTENCES MAX","MAX. TOTAL SKILLS")))))))</f>
        <v>MAX. TOTAL HABILIDADES</v>
      </c>
      <c r="C37" s="133">
        <v>8</v>
      </c>
      <c r="D37" s="134"/>
      <c r="E37" s="139" t="str">
        <f>IF(J24="Italiano","MAX. PRIMARIE",(IF(J24="Español","MAX. PRIMARIAS",(IF(J24="Deutsch","MAX. PRIMÄRE",(IF(J24="Français","COMP PRIMAIRES MAX","MAX. PRIMARY")))))))</f>
        <v>MAX. PRIMARIAS</v>
      </c>
      <c r="F37" s="140"/>
      <c r="G37" s="140"/>
      <c r="H37" s="140"/>
      <c r="I37" s="140"/>
      <c r="J37" s="141"/>
      <c r="K37" s="133">
        <v>8</v>
      </c>
      <c r="L37" s="134"/>
      <c r="M37" s="139" t="str">
        <f>IF(J24="Italiano","MAX. SECONDARIE",(IF(J24="Español","MAX. SECUNDARIAS",(IF(J24="Deutsch","MAX. SEKUNDÄRE",(IF(J24="Français","COMP SECONDAIRES MAX","MAX. SECONDARY")))))))</f>
        <v>MAX. SECUNDARIAS</v>
      </c>
      <c r="N37" s="140"/>
      <c r="O37" s="140"/>
      <c r="P37" s="141"/>
      <c r="Q37" s="143">
        <v>1</v>
      </c>
      <c r="R37" s="134"/>
      <c r="S37" s="139" t="str">
        <f>IF(J24="Italiano","MAX. STATISTICHE",(IF(J24="Español","MAX. ATRIBUTOS",(IF(J24="Deutsch","MAX. EIGENSCHAFTEN",(IF(J24="Français","CARACTÉRISTIQUES MAX","MAX. STATS")))))))</f>
        <v>MAX. ATRIBUTOS</v>
      </c>
      <c r="T37" s="140"/>
      <c r="U37" s="140"/>
      <c r="V37" s="141"/>
      <c r="W37" s="133" t="s">
        <v>165</v>
      </c>
      <c r="X37" s="134"/>
      <c r="Y37" s="135" t="str">
        <f>IF(J24="Italiano","SPP DA SPENDERE",(IF(J24="Español","SPP PARA GASTAR",(IF(J24="Deutsch","SPP ZUM AUSGEBEN",(IF(J24="Français","PSP À DÉPENSER","SPP TO EXPEND")))))))</f>
        <v>SPP PARA GASTAR</v>
      </c>
      <c r="Z37" s="136"/>
      <c r="AA37" s="136"/>
      <c r="AB37" s="137"/>
      <c r="AC37" s="133" t="s">
        <v>165</v>
      </c>
      <c r="AD37" s="134"/>
      <c r="AE37" s="135" t="str">
        <f>IF(J24="Italiano","MAX. TESORO PER ABILITÀ E STATISTICHE",(IF(J24="Español","MAX. DINERO PARA HABILIDADES Y ATRIBUTOS",(IF(J24="Deutsch","MAX. GELD FÜR FERTIGKEITEN UND EIGENSCHAFTEN",(IF(J24="Français","ARGENT POUR COMPÉTENCES ET CARACTÉRISTIQUES MAX","MAX. MONEY TO SKILLS AND STATS")))))))</f>
        <v>MAX. DINERO PARA HABILIDADES Y ATRIBUTOS</v>
      </c>
      <c r="AF37" s="136"/>
      <c r="AG37" s="136"/>
      <c r="AH37" s="136"/>
      <c r="AI37" s="137"/>
      <c r="AJ37" s="133" t="s">
        <v>165</v>
      </c>
      <c r="AK37" s="134"/>
      <c r="AL37" s="54"/>
      <c r="AM37" s="54"/>
      <c r="AN37" s="54"/>
      <c r="AO37" s="54"/>
      <c r="AP37" s="213"/>
      <c r="AQ37" s="54"/>
      <c r="AR37" s="1"/>
      <c r="AS37" s="23" t="s">
        <v>1111</v>
      </c>
      <c r="AT37" s="1">
        <f t="shared" ref="AT37:AT41" si="21">IF($C$18=AS37,1,0)</f>
        <v>0</v>
      </c>
      <c r="AU37" s="1">
        <f t="shared" ref="AU37:AU41" si="22">IF($C$19=AS37,1,0)</f>
        <v>0</v>
      </c>
      <c r="AV37" s="1">
        <f>IF(AV36&gt;0,3,0)</f>
        <v>0</v>
      </c>
      <c r="AW37" s="1"/>
      <c r="AX37" s="2"/>
      <c r="AY37" s="2"/>
      <c r="BC37" s="2"/>
      <c r="BD37" s="2"/>
      <c r="BK37" s="2"/>
      <c r="BL37" s="2"/>
      <c r="BM37" s="2"/>
      <c r="BN37" s="2"/>
      <c r="BP37" s="2"/>
      <c r="BQ37" s="2"/>
      <c r="BR37" s="2"/>
      <c r="BS37" s="3"/>
      <c r="BT37" s="3"/>
      <c r="BU37" s="3"/>
      <c r="BV37" s="3"/>
      <c r="BW37" s="3"/>
      <c r="BX37" s="3"/>
      <c r="BY37" s="2"/>
      <c r="BZ37" s="2"/>
      <c r="CA37" s="46"/>
      <c r="CB37" s="1"/>
      <c r="CC37" s="7"/>
      <c r="CD37" s="1"/>
      <c r="CE37" s="1"/>
      <c r="CF37" s="1"/>
      <c r="CG37" s="1"/>
      <c r="CH37" s="1"/>
      <c r="CI37" s="2"/>
      <c r="CJ37" s="2"/>
      <c r="CK37" s="2"/>
      <c r="CL37" s="2"/>
      <c r="CM37" s="2"/>
      <c r="CN37" s="2"/>
      <c r="CO37" s="2"/>
      <c r="CP37" s="2"/>
      <c r="CQ37" s="2"/>
      <c r="CR37" s="2"/>
      <c r="CS37" s="2"/>
      <c r="CT37" s="2"/>
      <c r="CU37" s="2"/>
      <c r="CV37" s="2"/>
      <c r="CW37" s="2"/>
      <c r="CX37" s="2"/>
      <c r="CY37" s="2"/>
      <c r="CZ37" s="2"/>
    </row>
    <row r="38" spans="1:104" ht="21" hidden="1" customHeight="1" x14ac:dyDescent="0.2">
      <c r="A38" s="57"/>
      <c r="B38" s="64" t="str">
        <f>IF(J24="Italiano","COSTO PRIMARIE",(IF(J24="Español","COSTE PRIMARIAS",(IF(J24="Deutsch","Σ PRIMÄRE",(IF(J24="Français","COÛT EN PRIMAIRES","COST PRIMARY")))))))</f>
        <v>COSTE PRIMARIAS</v>
      </c>
      <c r="C38" s="133" t="s">
        <v>165</v>
      </c>
      <c r="D38" s="134"/>
      <c r="E38" s="135" t="str">
        <f>IF(J24="Italiano","COSTO SECONDARIE",(IF(J24="Español","COSTE SECUNDARIAS",(IF(J24="Deutsch","Σ SEKUNDÄRE",(IF(J24="Français","COÛT EN SECONDAIRES","COST SECONDARY")))))))</f>
        <v>COSTE SECUNDARIAS</v>
      </c>
      <c r="F38" s="136"/>
      <c r="G38" s="136"/>
      <c r="H38" s="136"/>
      <c r="I38" s="136"/>
      <c r="J38" s="137"/>
      <c r="K38" s="133" t="s">
        <v>165</v>
      </c>
      <c r="L38" s="134"/>
      <c r="M38" s="135" t="str">
        <f>IF(J24="Italiano","COSTO MA",(IF(J24="Español","COSTE MO",(IF(J24="Deutsch","Σ BE",(IF(J24="Français","COÛT EN M","COST MA")))))))</f>
        <v>COSTE MO</v>
      </c>
      <c r="N38" s="136"/>
      <c r="O38" s="137"/>
      <c r="P38" s="133" t="s">
        <v>165</v>
      </c>
      <c r="Q38" s="134"/>
      <c r="R38" s="135" t="str">
        <f>IF(J24="Italiano","COSTO ST",(IF(J24="Español","COSTE FU",(IF(J24="Deutsch","Σ ST",(IF(J24="Français","COÛT EN F","COST ST")))))))</f>
        <v>COSTE FU</v>
      </c>
      <c r="S38" s="136"/>
      <c r="T38" s="137"/>
      <c r="U38" s="133" t="s">
        <v>165</v>
      </c>
      <c r="V38" s="134"/>
      <c r="W38" s="135" t="str">
        <f>IF(J24="Italiano","COSTO PA",(IF(J24="Español","COSTE PA",(IF(J24="Deutsch","Σ WG",(IF(J24="Français","COÛT EN CP","COST PA")))))))</f>
        <v>COSTE PA</v>
      </c>
      <c r="X38" s="136"/>
      <c r="Y38" s="137"/>
      <c r="Z38" s="133" t="s">
        <v>165</v>
      </c>
      <c r="AA38" s="134"/>
      <c r="AB38" s="135" t="str">
        <f>IF(J24="Italiano","COSTO AG",(IF(J24="Español","COSTE AG",(IF(J24="Deutsch","Σ GE",(IF(J24="Français","COÛT EN AG","COST AG")))))))</f>
        <v>COSTE AG</v>
      </c>
      <c r="AC38" s="136"/>
      <c r="AD38" s="137"/>
      <c r="AE38" s="133" t="s">
        <v>165</v>
      </c>
      <c r="AF38" s="134"/>
      <c r="AG38" s="135" t="str">
        <f>IF(J24="Italiano","COSTO AV",(IF(J24="Español","COSTE AR",(IF(J24="Deutsch","Σ RW",(IF(J24="Français","COÛT EN AR","COST AV")))))))</f>
        <v>COSTE AR</v>
      </c>
      <c r="AH38" s="136"/>
      <c r="AI38" s="137"/>
      <c r="AJ38" s="133" t="s">
        <v>165</v>
      </c>
      <c r="AK38" s="134"/>
      <c r="AL38" s="54"/>
      <c r="AM38" s="54"/>
      <c r="AN38" s="54"/>
      <c r="AO38" s="54"/>
      <c r="AP38" s="213"/>
      <c r="AQ38" s="54"/>
      <c r="AR38" s="1"/>
      <c r="AS38" s="23" t="s">
        <v>1420</v>
      </c>
      <c r="AT38" s="1">
        <f t="shared" si="21"/>
        <v>0</v>
      </c>
      <c r="AU38" s="1">
        <f t="shared" si="22"/>
        <v>0</v>
      </c>
      <c r="AV38" s="1"/>
      <c r="AW38" s="1"/>
      <c r="AX38" s="2"/>
      <c r="AY38" s="2"/>
      <c r="BC38" s="2"/>
      <c r="BD38" s="2"/>
      <c r="BK38" s="2"/>
      <c r="BL38" s="2"/>
      <c r="BM38" s="2"/>
      <c r="BN38" s="2"/>
      <c r="BO38" s="2"/>
      <c r="BP38" s="2"/>
      <c r="BQ38" s="2"/>
      <c r="BR38" s="2"/>
      <c r="BS38" s="3"/>
      <c r="BT38" s="3"/>
      <c r="BU38" s="3"/>
      <c r="BV38" s="3"/>
      <c r="BW38" s="3"/>
      <c r="BX38" s="3"/>
      <c r="BY38" s="2"/>
      <c r="BZ38" s="2"/>
      <c r="CA38" s="46"/>
      <c r="CB38" s="1"/>
      <c r="CC38" s="7"/>
      <c r="CD38" s="1"/>
      <c r="CE38" s="1"/>
      <c r="CF38" s="1"/>
      <c r="CG38" s="1"/>
      <c r="CH38" s="1"/>
      <c r="CI38" s="2"/>
      <c r="CJ38" s="2"/>
      <c r="CK38" s="2"/>
      <c r="CL38" s="2"/>
      <c r="CM38" s="2"/>
      <c r="CN38" s="2"/>
      <c r="CO38" s="2"/>
      <c r="CP38" s="2"/>
      <c r="CQ38" s="2"/>
      <c r="CR38" s="2"/>
      <c r="CS38" s="2"/>
      <c r="CT38" s="2"/>
      <c r="CU38" s="2"/>
      <c r="CV38" s="2"/>
      <c r="CW38" s="2"/>
      <c r="CX38" s="2"/>
      <c r="CY38" s="2"/>
      <c r="CZ38" s="2"/>
    </row>
    <row r="39" spans="1:104" ht="21" hidden="1" customHeight="1" x14ac:dyDescent="0.2">
      <c r="A39" s="57"/>
      <c r="B39" s="138" t="str">
        <f>IF(J24="Italiano","Riassunto della squadra",(IF(J24="Español","Resumen del equipo",(IF(J24="Deutsch","Zusammenfassung der Mannschaft",(IF(J24="Français","Résumé de l'équipe","Team summary")))))))</f>
        <v>Resumen del equipo</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213"/>
      <c r="AQ39" s="2"/>
      <c r="AR39" s="2"/>
      <c r="AS39" s="23" t="s">
        <v>789</v>
      </c>
      <c r="AT39" s="1">
        <f t="shared" si="21"/>
        <v>0</v>
      </c>
      <c r="AU39" s="1">
        <f t="shared" si="22"/>
        <v>0</v>
      </c>
      <c r="AV39" s="1"/>
      <c r="AW39" s="1"/>
      <c r="AX39" s="2"/>
      <c r="AY39" s="2"/>
      <c r="BC39" s="2"/>
      <c r="BD39" s="2"/>
      <c r="BK39" s="2"/>
      <c r="BL39" s="2"/>
      <c r="BM39" s="2"/>
      <c r="BN39" s="2"/>
      <c r="BO39" s="2"/>
      <c r="BP39" s="2"/>
      <c r="BQ39" s="2"/>
      <c r="BR39" s="2"/>
      <c r="BS39" s="3"/>
      <c r="BT39" s="3"/>
      <c r="BU39" s="3"/>
      <c r="BV39" s="3"/>
      <c r="BW39" s="3"/>
      <c r="BX39" s="3"/>
      <c r="BY39" s="2"/>
      <c r="BZ39" s="2"/>
      <c r="CA39" s="46"/>
      <c r="CB39" s="1"/>
      <c r="CC39" s="7"/>
      <c r="CD39" s="1"/>
      <c r="CE39" s="1"/>
      <c r="CF39" s="1"/>
      <c r="CG39" s="1"/>
      <c r="CH39" s="1"/>
      <c r="CI39" s="2"/>
      <c r="CJ39" s="2"/>
      <c r="CK39" s="2"/>
      <c r="CL39" s="2"/>
      <c r="CM39" s="2"/>
      <c r="CN39" s="2"/>
      <c r="CO39" s="2"/>
      <c r="CP39" s="2"/>
      <c r="CQ39" s="2"/>
      <c r="CR39" s="2"/>
      <c r="CS39" s="2"/>
      <c r="CT39" s="2"/>
      <c r="CU39" s="2"/>
      <c r="CV39" s="2"/>
      <c r="CW39" s="2"/>
      <c r="CX39" s="2"/>
      <c r="CY39" s="2"/>
      <c r="CZ39" s="2"/>
    </row>
    <row r="40" spans="1:104" ht="21" hidden="1" customHeight="1" x14ac:dyDescent="0.2">
      <c r="A40" s="65"/>
      <c r="B40" s="66" t="str">
        <f>IF(J24="Italiano","VALORE SQUADRA",(IF(J24="Español","VALOR DEL EQUIPO",(IF(J24="Deutsch","TEAMWERT",(IF(J24="Français","VALEUR D’ÉQUIPE ACTUELLE","TEAM VALUE")))))))</f>
        <v>VALOR DEL EQUIPO</v>
      </c>
      <c r="C40" s="132">
        <f>J30</f>
        <v>0</v>
      </c>
      <c r="D40" s="132"/>
      <c r="E40" s="130" t="str">
        <f>IF(J24="Italiano","NUMERO DI GIOCATORI",(IF(J24="Español","NÚMERO JUGADORES",(IF(J24="Deutsch","ANZAHL DER SPIELER",(IF(J24="Français","NOMBRE DE JOUEURS","NUMBER OF PLAYERS")))))))</f>
        <v>NÚMERO JUGADORES</v>
      </c>
      <c r="F40" s="130"/>
      <c r="G40" s="130"/>
      <c r="H40" s="130"/>
      <c r="I40" s="130"/>
      <c r="J40" s="130"/>
      <c r="K40" s="130"/>
      <c r="L40" s="132">
        <f>COUNTA(C2:F17)</f>
        <v>0</v>
      </c>
      <c r="M40" s="132"/>
      <c r="N40" s="130" t="str">
        <f>IF(J24="Italiano","NUMERO DI GIOCATORI DI SPICCO",(IF(J24="Español","NÚMERO JUGADORES ESTRELLA",(IF(J24="Deutsch","ANZAHL DER STARSPIELER",(IF(J24="Français","NOMBRE DE JOUEURS VEDETTES","NUMBER OF STAR PLAYERS")))))))</f>
        <v>NÚMERO JUGADORES ESTRELLA</v>
      </c>
      <c r="O40" s="130"/>
      <c r="P40" s="130"/>
      <c r="Q40" s="130"/>
      <c r="R40" s="130"/>
      <c r="S40" s="132">
        <f>COUNTA(C18:F20)</f>
        <v>0</v>
      </c>
      <c r="T40" s="132"/>
      <c r="U40" s="130" t="str">
        <f>IF(J24="Italiano","NUMERO DI ABILITÀ",(IF(J24="Español","NÚMERO HABILIDADES",(IF(J24="Deutsch","ZIFFERNKENNTNISSE",(IF(J24="Français","NOMBRE DE COMPÉTENCES","NUMBER OF SKILLS")))))))</f>
        <v>NÚMERO HABILIDADES</v>
      </c>
      <c r="V40" s="130"/>
      <c r="W40" s="130"/>
      <c r="X40" s="130"/>
      <c r="Y40" s="130"/>
      <c r="Z40" s="129">
        <f>AZ65</f>
        <v>0</v>
      </c>
      <c r="AA40" s="129"/>
      <c r="AB40" s="130" t="str">
        <f>IF(J24="Italiano","COSTO TOTAL ABILITÀ",(IF(J24="Español","COSTE TOTAL HABILIDADES",(IF(J24="Deutsch","TOTAL KOSTENKOMPETENZEN",(IF(J24="Français","TOTAL COÛT EN COMPÉTENCES","TOTAL COST SKILLS")))))))</f>
        <v>COSTE TOTAL HABILIDADES</v>
      </c>
      <c r="AC40" s="130"/>
      <c r="AD40" s="130"/>
      <c r="AE40" s="130"/>
      <c r="AF40" s="130"/>
      <c r="AG40" s="128">
        <f>L41+Z41+AN41</f>
        <v>0</v>
      </c>
      <c r="AH40" s="129"/>
      <c r="AI40" s="130" t="str">
        <f>IF(J24="Italiano","SPP TOTALI",(IF(J24="Español","SPP TOTALES",(IF(J24="Deutsch","GESAMTE SPP",(IF(J24="Français","TOTAL PSP","TOTAL SPP")))))))</f>
        <v>SPP TOTALES</v>
      </c>
      <c r="AJ40" s="130"/>
      <c r="AK40" s="130"/>
      <c r="AL40" s="130"/>
      <c r="AM40" s="130"/>
      <c r="AN40" s="128">
        <f>SUM(AM2:AM17)</f>
        <v>0</v>
      </c>
      <c r="AO40" s="129"/>
      <c r="AP40" s="65"/>
      <c r="AQ40" s="65"/>
      <c r="AR40" s="2"/>
      <c r="AS40" s="23" t="s">
        <v>860</v>
      </c>
      <c r="AT40" s="1">
        <f t="shared" si="21"/>
        <v>0</v>
      </c>
      <c r="AU40" s="1">
        <f t="shared" si="22"/>
        <v>0</v>
      </c>
      <c r="AV40" s="10"/>
      <c r="AW40" s="10"/>
      <c r="AX40" s="2"/>
      <c r="AY40" s="2"/>
      <c r="AZ40" s="2"/>
      <c r="BA40" s="2"/>
      <c r="BB40" s="2"/>
      <c r="BC40" s="2"/>
      <c r="BD40" s="2"/>
      <c r="BK40" s="2"/>
      <c r="BM40" s="2"/>
      <c r="BN40" s="2"/>
      <c r="BO40" s="2"/>
      <c r="BP40" s="2"/>
      <c r="BQ40" s="2"/>
      <c r="BR40" s="2"/>
      <c r="BS40" s="2"/>
      <c r="BT40" s="2"/>
      <c r="BU40" s="3"/>
      <c r="BV40" s="3"/>
      <c r="BW40" s="3"/>
      <c r="BX40" s="3"/>
      <c r="BY40" s="2"/>
      <c r="BZ40" s="2"/>
      <c r="CA40" s="2"/>
      <c r="CB40" s="2"/>
      <c r="CC40" s="2"/>
      <c r="CD40" s="1"/>
      <c r="CE40" s="1"/>
      <c r="CF40" s="1"/>
      <c r="CG40" s="1"/>
      <c r="CH40" s="1"/>
      <c r="CI40" s="2"/>
      <c r="CJ40" s="2"/>
      <c r="CK40" s="2"/>
      <c r="CL40" s="2"/>
      <c r="CM40" s="2"/>
      <c r="CN40" s="2"/>
      <c r="CO40" s="2"/>
      <c r="CP40" s="2"/>
      <c r="CQ40" s="2"/>
      <c r="CR40" s="2"/>
      <c r="CS40" s="2"/>
      <c r="CT40" s="2"/>
      <c r="CU40" s="2"/>
      <c r="CV40" s="2"/>
      <c r="CW40" s="2"/>
      <c r="CX40" s="2"/>
      <c r="CY40" s="2"/>
      <c r="CZ40" s="2"/>
    </row>
    <row r="41" spans="1:104" ht="21" hidden="1" customHeight="1" x14ac:dyDescent="0.2">
      <c r="A41" s="65"/>
      <c r="B41" s="66" t="str">
        <f>IF(J24="Italiano","NUMERO DI ABILITÀ PRIMARIE",(IF(J24="Español","NÚMERO HABILIDADES PRIMARIAS",(IF(J24="Deutsch","ANZAHL DER GRUNDFERTIGKEITEN",(IF(J24="Français","NOMBRE DE COMPÉTENCES PRIMAIRES","NUMBER OF PRIMARY SKILLS")))))))</f>
        <v>NÚMERO HABILIDADES PRIMARIAS</v>
      </c>
      <c r="C41" s="132">
        <f>AX65</f>
        <v>0</v>
      </c>
      <c r="D41" s="132"/>
      <c r="E41" s="130" t="str">
        <f>IF(J24="Italiano","COSTO PRIMARIE",(IF(J24="Español","COSTE PRIMARIAS",(IF(J24="Deutsch","Σ PRIMÄRE",(IF(J24="Français","COÛT EN PRIMAIRES","COST PRIMARY")))))))</f>
        <v>COSTE PRIMARIAS</v>
      </c>
      <c r="F41" s="130"/>
      <c r="G41" s="130"/>
      <c r="H41" s="130"/>
      <c r="I41" s="130"/>
      <c r="J41" s="130"/>
      <c r="K41" s="130"/>
      <c r="L41" s="132">
        <f>IFERROR(((COUNTIF(CG46:CL61,C38))*C38),0)</f>
        <v>0</v>
      </c>
      <c r="M41" s="132"/>
      <c r="N41" s="130" t="str">
        <f>IF(J24="Italiano","NUMERO DI ABILITÀ SECONDARIE",(IF(J24="Español","NÚMERO HABILIDADES SECUNDARIAS",(IF(J24="Deutsch","ANZAHL DER SEKUNDÄREN FÄHIGKEITEN",(IF(J24="Français","NOMBRE DE COMPÉTENCES SECONDAIRES","NUMBER OF SECONDARY SKILLS")))))))</f>
        <v>NÚMERO HABILIDADES SECUNDARIAS</v>
      </c>
      <c r="O41" s="130"/>
      <c r="P41" s="130"/>
      <c r="Q41" s="130"/>
      <c r="R41" s="130"/>
      <c r="S41" s="129">
        <f>AY65</f>
        <v>0</v>
      </c>
      <c r="T41" s="129"/>
      <c r="U41" s="130" t="str">
        <f>IF(J24="Italiano","COSTO SECONDARIE",(IF(J24="Español","COSTE SECUNDARIAS",(IF(J24="Deutsch","Σ SEKUNDÄRE",(IF(J24="Français","COÛT EN SECONDAIRES","COST SECONDARY")))))))</f>
        <v>COSTE SECUNDARIAS</v>
      </c>
      <c r="V41" s="130"/>
      <c r="W41" s="130"/>
      <c r="X41" s="130"/>
      <c r="Y41" s="130"/>
      <c r="Z41" s="128">
        <f>IFERROR(((COUNTIF(CG46:CL61,K38))*K38),0)</f>
        <v>0</v>
      </c>
      <c r="AA41" s="129"/>
      <c r="AB41" s="130" t="str">
        <f>IF(J24="Italiano","NUMERO DI STATISTICHE",(IF(J24="Español","NÚMERO ATRIBUTOS",(IF(J24="Deutsch","ANZAHL DER ATTRIBUTE",(IF(J24="Français","NOMBRE DE CARACTÉRISTIQUES","NUMBER OF STATS")))))))</f>
        <v>NÚMERO ATRIBUTOS</v>
      </c>
      <c r="AC41" s="130"/>
      <c r="AD41" s="130"/>
      <c r="AE41" s="130"/>
      <c r="AF41" s="130"/>
      <c r="AG41" s="129">
        <f>BA65</f>
        <v>0</v>
      </c>
      <c r="AH41" s="129"/>
      <c r="AI41" s="130" t="str">
        <f>IF(J24="Italiano","COSTO STATISTICHE",(IF(J24="Español","COSTE ATRIBUTOS",(IF(J24="Deutsch","Σ  EIGENSCHAFTEN",(IF(J24="Français","COÛT EN CARACTÉRISTIQUES","COST STATS")))))))</f>
        <v>COSTE ATRIBUTOS</v>
      </c>
      <c r="AJ41" s="130"/>
      <c r="AK41" s="130"/>
      <c r="AL41" s="130"/>
      <c r="AM41" s="130"/>
      <c r="AN41" s="128">
        <f>SUM(CN46:CS61)</f>
        <v>0</v>
      </c>
      <c r="AO41" s="129"/>
      <c r="AP41" s="65"/>
      <c r="AQ41" s="65"/>
      <c r="AR41" s="2"/>
      <c r="AS41" s="23" t="s">
        <v>778</v>
      </c>
      <c r="AT41" s="1">
        <f t="shared" si="21"/>
        <v>0</v>
      </c>
      <c r="AU41" s="1">
        <f t="shared" si="22"/>
        <v>0</v>
      </c>
      <c r="AV41" s="10"/>
      <c r="AW41" s="10"/>
      <c r="AX41" s="2"/>
      <c r="AY41" s="2"/>
      <c r="AZ41" s="2"/>
      <c r="BA41" s="2"/>
      <c r="BB41" s="2"/>
      <c r="BC41" s="2"/>
      <c r="BD41" s="2"/>
      <c r="BK41" s="2"/>
      <c r="BM41" s="2"/>
      <c r="BN41" s="2"/>
      <c r="BO41" s="2"/>
      <c r="BP41" s="2"/>
      <c r="BQ41" s="2"/>
      <c r="BR41" s="2"/>
      <c r="BS41" s="2"/>
      <c r="BT41" s="2"/>
      <c r="BU41" s="2"/>
      <c r="BV41" s="2"/>
      <c r="BW41" s="2"/>
      <c r="BX41" s="2"/>
      <c r="BY41" s="2"/>
      <c r="BZ41" s="2"/>
      <c r="CA41" s="2"/>
      <c r="CB41" s="2"/>
      <c r="CC41" s="2"/>
      <c r="CD41" s="1"/>
      <c r="CE41" s="1"/>
      <c r="CF41" s="1"/>
      <c r="CG41" s="1"/>
      <c r="CH41" s="1"/>
      <c r="CI41" s="2"/>
      <c r="CJ41" s="2"/>
      <c r="CK41" s="2"/>
      <c r="CL41" s="2"/>
      <c r="CM41" s="2"/>
      <c r="CN41" s="2"/>
      <c r="CO41" s="2"/>
      <c r="CP41" s="2"/>
      <c r="CQ41" s="2"/>
      <c r="CR41" s="2"/>
      <c r="CS41" s="2"/>
      <c r="CT41" s="2"/>
      <c r="CU41" s="2"/>
      <c r="CV41" s="2"/>
      <c r="CW41" s="2"/>
      <c r="CX41" s="2"/>
      <c r="CY41" s="2"/>
      <c r="CZ41" s="2"/>
    </row>
    <row r="42" spans="1:104" ht="11.25" hidden="1" customHeight="1" x14ac:dyDescent="0.2">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0"/>
      <c r="AS42" s="10"/>
      <c r="AT42" s="10"/>
      <c r="AU42" s="10"/>
      <c r="AV42" s="10"/>
      <c r="AW42" s="10"/>
      <c r="AX42" s="2"/>
      <c r="AY42" s="2"/>
      <c r="AZ42" s="2"/>
      <c r="BA42" s="2"/>
      <c r="BB42" s="2"/>
      <c r="BC42" s="2"/>
      <c r="BD42" s="2"/>
      <c r="BK42" s="2"/>
      <c r="BM42" s="2"/>
      <c r="BN42" s="2"/>
      <c r="BO42" s="2"/>
      <c r="BP42" s="2"/>
      <c r="BQ42" s="2"/>
      <c r="BR42" s="2">
        <f>SUM(BS42:BU42)</f>
        <v>3</v>
      </c>
      <c r="BS42" s="2">
        <f>IF(OR(BS43&lt;&gt;3,BS44&lt;&gt;0),1,0)</f>
        <v>1</v>
      </c>
      <c r="BT42" s="2">
        <f>IF(OR(BT43&lt;&gt;2,BT44&lt;&gt;1),(IF(OR(BT43&lt;&gt;3,BT44&lt;&gt;0),1,0)),0)</f>
        <v>1</v>
      </c>
      <c r="BU42" s="2">
        <f>IF(OR(BU43&lt;&gt;2,BU44&lt;&gt;0),1,0)</f>
        <v>1</v>
      </c>
      <c r="BV42" s="3"/>
      <c r="BW42" s="2"/>
      <c r="BX42" s="2"/>
      <c r="BY42" s="2"/>
      <c r="BZ42" s="2"/>
      <c r="CA42" s="2"/>
      <c r="CB42" s="2"/>
      <c r="CC42" s="2"/>
      <c r="CD42" s="1"/>
      <c r="CE42" s="1"/>
      <c r="CF42" s="1"/>
      <c r="CG42" s="1"/>
      <c r="CH42" s="1"/>
      <c r="CI42" s="2"/>
      <c r="CJ42" s="2"/>
      <c r="CK42" s="2"/>
      <c r="CL42" s="2"/>
      <c r="CM42" s="2"/>
      <c r="CN42" s="2"/>
      <c r="CO42" s="2"/>
      <c r="CP42" s="2"/>
      <c r="CQ42" s="2"/>
      <c r="CR42" s="2"/>
      <c r="CS42" s="2"/>
      <c r="CT42" s="2"/>
      <c r="CU42" s="2"/>
      <c r="CV42" s="2"/>
      <c r="CW42" s="2"/>
      <c r="CX42" s="2"/>
      <c r="CY42" s="2"/>
      <c r="CZ42" s="2"/>
    </row>
    <row r="43" spans="1:104" ht="18" hidden="1"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0" t="s">
        <v>1635</v>
      </c>
      <c r="AS43" s="10"/>
      <c r="AT43" s="10"/>
      <c r="AU43" s="10"/>
      <c r="AV43" s="10"/>
      <c r="AW43" s="10"/>
      <c r="AX43" s="2"/>
      <c r="AY43" s="2"/>
      <c r="AZ43" s="2"/>
      <c r="BA43" s="2"/>
      <c r="BB43" s="2"/>
      <c r="BC43" s="2"/>
      <c r="BD43" s="2"/>
      <c r="BK43" s="2"/>
      <c r="BM43" s="2"/>
      <c r="BN43" s="2"/>
      <c r="BO43" s="2"/>
      <c r="BP43" s="2"/>
      <c r="BQ43" s="2"/>
      <c r="BR43" s="2" t="s">
        <v>170</v>
      </c>
      <c r="BS43" s="2">
        <f>COUNTIF(BS46:BS61,"P")</f>
        <v>0</v>
      </c>
      <c r="BT43" s="2">
        <f t="shared" ref="BT43:BU43" si="23">COUNTIF(BT46:BT61,"P")</f>
        <v>0</v>
      </c>
      <c r="BU43" s="2">
        <f t="shared" si="23"/>
        <v>0</v>
      </c>
      <c r="BV43" s="3"/>
      <c r="BW43" s="2"/>
      <c r="BX43" s="2"/>
      <c r="BY43" s="2"/>
      <c r="BZ43" s="2"/>
      <c r="CA43" s="2"/>
      <c r="CB43" s="2"/>
      <c r="CC43" s="2"/>
      <c r="CD43" s="1"/>
      <c r="CE43" s="1"/>
      <c r="CF43" s="1"/>
      <c r="CG43" s="1"/>
      <c r="CH43" s="1"/>
      <c r="CI43" s="2"/>
      <c r="CJ43" s="2"/>
      <c r="CK43" s="2"/>
      <c r="CL43" s="2"/>
      <c r="CM43" s="2"/>
      <c r="CN43" s="2"/>
      <c r="CO43" s="2"/>
      <c r="CP43" s="2"/>
      <c r="CQ43" s="2"/>
      <c r="CR43" s="2"/>
      <c r="CS43" s="2"/>
      <c r="CT43" s="2"/>
      <c r="CU43" s="2"/>
      <c r="CV43" s="2"/>
      <c r="CW43" s="2"/>
      <c r="CX43" s="2"/>
      <c r="CY43" s="2"/>
      <c r="CZ43" s="2"/>
    </row>
    <row r="44" spans="1:104" ht="18" hidden="1"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f>16-(COUNTIF(J2:J17,0))</f>
        <v>0</v>
      </c>
      <c r="AS44" s="10"/>
      <c r="AT44" s="10"/>
      <c r="AU44" s="10"/>
      <c r="AV44" s="10"/>
      <c r="AW44" s="10"/>
      <c r="AX44" s="2"/>
      <c r="AY44" s="1"/>
      <c r="AZ44" s="2"/>
      <c r="BA44" s="2"/>
      <c r="BB44" s="2"/>
      <c r="BC44" s="2"/>
      <c r="BD44" s="2"/>
      <c r="BJ44">
        <f>COUNT(BT46:BT61)</f>
        <v>16</v>
      </c>
      <c r="BK44" s="2"/>
      <c r="BM44" s="2"/>
      <c r="BN44" s="2"/>
      <c r="BO44" s="2"/>
      <c r="BP44" s="2"/>
      <c r="BQ44" s="2"/>
      <c r="BR44" s="2" t="s">
        <v>169</v>
      </c>
      <c r="BS44" s="2">
        <f>COUNTIF(BS46:BS61,"S")</f>
        <v>0</v>
      </c>
      <c r="BT44" s="2">
        <f t="shared" ref="BT44:BU44" si="24">COUNTIF(BT46:BT61,"S")</f>
        <v>0</v>
      </c>
      <c r="BU44" s="2">
        <f t="shared" si="24"/>
        <v>0</v>
      </c>
      <c r="BV44" s="67"/>
      <c r="BW44" s="67"/>
      <c r="BX44" s="67"/>
      <c r="BY44" s="2"/>
      <c r="BZ44" s="2"/>
      <c r="CA44" s="2"/>
      <c r="CB44" s="2"/>
      <c r="CC44" s="2"/>
      <c r="CD44" s="2"/>
      <c r="CE44" s="2"/>
      <c r="CF44" s="1"/>
      <c r="CG44" s="2"/>
      <c r="CH44" s="5"/>
      <c r="CI44" s="67"/>
      <c r="CJ44" s="67"/>
      <c r="CK44" s="67"/>
      <c r="CL44" s="67"/>
      <c r="CM44" s="2"/>
      <c r="CN44" s="2"/>
      <c r="CO44" s="2"/>
      <c r="CP44" s="2"/>
      <c r="CQ44" s="2"/>
      <c r="CR44" s="2"/>
      <c r="CS44" s="2"/>
      <c r="CT44" s="2"/>
      <c r="CU44" s="2"/>
      <c r="CV44" s="2"/>
      <c r="CW44" s="2"/>
      <c r="CX44" s="2"/>
      <c r="CY44" s="2"/>
      <c r="CZ44" s="2"/>
    </row>
    <row r="45" spans="1:104" ht="18" hidden="1"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S45" s="10"/>
      <c r="AT45" s="10"/>
      <c r="AU45" s="10"/>
      <c r="AV45" s="10" t="s">
        <v>1677</v>
      </c>
      <c r="AW45" s="10"/>
      <c r="AX45" s="68" t="s">
        <v>166</v>
      </c>
      <c r="AY45" s="5" t="s">
        <v>167</v>
      </c>
      <c r="AZ45" s="5" t="s">
        <v>168</v>
      </c>
      <c r="BA45" s="5" t="s">
        <v>169</v>
      </c>
      <c r="BB45" s="5" t="s">
        <v>170</v>
      </c>
      <c r="BC45" s="5" t="s">
        <v>171</v>
      </c>
      <c r="BD45" s="5" t="s">
        <v>172</v>
      </c>
      <c r="BE45" s="5" t="s">
        <v>173</v>
      </c>
      <c r="BF45" s="5" t="s">
        <v>174</v>
      </c>
      <c r="BG45" s="5" t="s">
        <v>175</v>
      </c>
      <c r="BH45" s="5" t="s">
        <v>176</v>
      </c>
      <c r="BI45" s="5" t="s">
        <v>177</v>
      </c>
      <c r="BJ45" s="2"/>
      <c r="BK45" s="126" t="s">
        <v>178</v>
      </c>
      <c r="BL45" s="123"/>
      <c r="BM45" s="123"/>
      <c r="BN45" s="123"/>
      <c r="BO45" s="123"/>
      <c r="BP45" s="123"/>
      <c r="BQ45" s="2"/>
      <c r="BR45" s="2">
        <f>SUM(BR46:BR61)</f>
        <v>0</v>
      </c>
      <c r="BS45" s="126" t="s">
        <v>179</v>
      </c>
      <c r="BT45" s="123"/>
      <c r="BU45" s="123"/>
      <c r="BV45" s="123"/>
      <c r="BW45" s="123"/>
      <c r="BX45" s="123"/>
      <c r="BY45" s="2"/>
      <c r="BZ45" s="126" t="s">
        <v>180</v>
      </c>
      <c r="CA45" s="127"/>
      <c r="CB45" s="127"/>
      <c r="CC45" s="127"/>
      <c r="CD45" s="127"/>
      <c r="CE45" s="127"/>
      <c r="CF45" s="2"/>
      <c r="CG45" s="126" t="s">
        <v>181</v>
      </c>
      <c r="CH45" s="123"/>
      <c r="CI45" s="123"/>
      <c r="CJ45" s="123"/>
      <c r="CK45" s="123"/>
      <c r="CL45" s="123"/>
      <c r="CM45" s="2"/>
      <c r="CN45" s="126" t="s">
        <v>182</v>
      </c>
      <c r="CO45" s="123"/>
      <c r="CP45" s="123"/>
      <c r="CQ45" s="123"/>
      <c r="CR45" s="123"/>
      <c r="CS45" s="123"/>
      <c r="CT45" s="2"/>
      <c r="CU45" s="126" t="s">
        <v>183</v>
      </c>
      <c r="CV45" s="123"/>
      <c r="CW45" s="123"/>
      <c r="CX45" s="123"/>
      <c r="CY45" s="123"/>
      <c r="CZ45" s="123"/>
    </row>
    <row r="46" spans="1:104" ht="18" hidden="1"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0" t="s">
        <v>1636</v>
      </c>
      <c r="AS46" s="10"/>
      <c r="AT46" s="10"/>
      <c r="AU46" s="10"/>
      <c r="AV46" s="10">
        <f>(IF(AD2="",0,(IF(ISNUMBER(SEARCH(AD2,O2)),1,0))))+(IF(AG2="",0,(IF(ISNUMBER(SEARCH(AG2,O2)),1,0))))+(IF(AJ2="",0,(IF(ISNUMBER(SEARCH(AJ2,O2)),1,0))))</f>
        <v>0</v>
      </c>
      <c r="AW46" s="10"/>
      <c r="AX46" s="2">
        <f t="shared" ref="AX46:AX61" si="25">C2</f>
        <v>0</v>
      </c>
      <c r="AY46" s="2">
        <f>IFERROR((VLOOKUP($BO$1&amp;C2,TeamsViejaGloria!D:S,12,0)),0)</f>
        <v>0</v>
      </c>
      <c r="AZ46" s="2">
        <f>IFERROR((VLOOKUP($BO$1&amp;C2,TeamsViejaGloria!D:S,13,0)),0)</f>
        <v>0</v>
      </c>
      <c r="BA46" s="2">
        <f>IFERROR((VLOOKUP($BO$1&amp;C2,TeamsViejaGloria!D:S,14,0)),0)</f>
        <v>0</v>
      </c>
      <c r="BB46" s="2">
        <f>IFERROR((VLOOKUP($BO$1&amp;C2,TeamsViejaGloria!D:S,15,0)),0)</f>
        <v>0</v>
      </c>
      <c r="BC46" s="2">
        <f>IFERROR((VLOOKUP($BO$1&amp;C2,TeamsViejaGloria!D:S,16,0)),0)</f>
        <v>0</v>
      </c>
      <c r="BD46" s="2">
        <f>IF($P$38="NO",0,$P$38)</f>
        <v>0</v>
      </c>
      <c r="BE46" s="2">
        <f t="shared" ref="BE46:BE61" si="26">IF($AJ$38="NO",0,$AJ$38)</f>
        <v>0</v>
      </c>
      <c r="BF46" s="2">
        <f t="shared" ref="BF46:BF61" si="27">IF($AE$38="NO",0,$AE$38)</f>
        <v>0</v>
      </c>
      <c r="BG46" s="2">
        <f t="shared" ref="BG46:BG61" si="28">IF($Z$38="NO",0,$Z$38)</f>
        <v>0</v>
      </c>
      <c r="BH46" s="2">
        <f t="shared" ref="BH46:BH61" si="29">IF($U$38="NO",0,$U$38)</f>
        <v>0</v>
      </c>
      <c r="BI46" s="2">
        <f t="shared" ref="BI46:BI60" si="30">SUM(CG46:CS46)</f>
        <v>0</v>
      </c>
      <c r="BJ46">
        <f>IF(BS46="S",(IF(BT46="P",1,0)),(IF(BS46="P",(IF(BT46="S",1,0)),0)))</f>
        <v>0</v>
      </c>
      <c r="BK46" s="2">
        <f>IF(AD2="",0,(VLOOKUP(AD2,$CC$64:$CD$164,2,0)))</f>
        <v>0</v>
      </c>
      <c r="BL46" s="2">
        <f>IF(AG2="",0,(VLOOKUP(AG2,$CC$64:$CD$164,2,0)))</f>
        <v>0</v>
      </c>
      <c r="BM46" s="2">
        <f>IF(AJ2="",0,(VLOOKUP(AJ2,$CC$64:$CD$164,2,0)))</f>
        <v>0</v>
      </c>
      <c r="BN46" s="2"/>
      <c r="BO46" s="2"/>
      <c r="BP46" s="2"/>
      <c r="BR46">
        <f>IF((COUNT(BK46:BM46))&lt;2,1,0)</f>
        <v>0</v>
      </c>
      <c r="BS46" s="2">
        <f>(IF(BK46="G",AY46,IF(BK46="A",AZ46,IF(BK46="S",BA46,IF(BK46="P",BB46,IF(BK46="M",BC46,IF(BK46="X",0,IF(OR(BK46="MA",BK46="AV",BK46="ST",BK46="PA",BK46="AG"),"STAT",0))))))))</f>
        <v>0</v>
      </c>
      <c r="BT46" s="2">
        <f>(IF(BL46="G",AY46,IF(BL46="A",AZ46,IF(BL46="S",BA46,IF(BL46="P",BB46,IF(BL46="M",BC46,IF(BL46="X",0,IF(OR(BL46="MA",BL46="AV",BL46="ST",BL46="PA",BL46="AG"),"STAT",0))))))))</f>
        <v>0</v>
      </c>
      <c r="BU46" s="2">
        <f>(IF(BM46="G",AY46,IF(BM46="A",AZ46,IF(BM46="S",BA46,IF(BM46="P",BB46,IF(BM46="M",BC46,IF(BM46="X",0,IF(OR(BM46="MA",BM46="AV",BM46="ST",BM46="PA",BM46="AG"),"STAT",0))))))))</f>
        <v>0</v>
      </c>
      <c r="BV46" s="2"/>
      <c r="BW46" s="2"/>
      <c r="BX46" s="2">
        <f t="shared" ref="BX46:BX60" si="31">(IF(BP46="G",AY46,IF(BP46="A",AZ46,IF(BP46="S",BA46,IF(BP46="P",BB46,IF(BP46="M",BC46,IF(BP46="X",0,IF(OR(BP46="MA",BP46="AV",BP46="ST",BP46="PA",BP46="AG"),"STAT",0))))))))</f>
        <v>0</v>
      </c>
      <c r="BY46" s="2"/>
      <c r="BZ46" s="2">
        <f t="shared" ref="BZ46:BZ61" si="32">IF(E43="Chosen","Chosen",(IF(E43="Elegida","Chosen",(IF(E43="Gewählt","Chosen",(IF(E43="Choisie","Chosen",(IF(E43="Random","Random",(IF(E43="Aleatoria","Random",(IF(E43="Zufällig","Random",(IF(E43="Aléatoire","Random",0)))))))))))))))</f>
        <v>0</v>
      </c>
      <c r="CA46" s="2">
        <f t="shared" ref="CA46:CA61" si="33">IF(K43="Chosen","Chosen",(IF(K43="Elegida","Chosen",(IF(K43="Gewählt","Chosen",(IF(K43="Choisie","Chosen",(IF(K43="Random","Random",(IF(K43="Aleatoria","Random",(IF(K43="Zufällig","Random",(IF(K43="Aléatoire","Random",0)))))))))))))))</f>
        <v>0</v>
      </c>
      <c r="CB46" s="2">
        <f t="shared" ref="CB46:CB61" si="34">IF(O43="Chosen","Chosen",(IF(O43="Elegida","Chosen",(IF(O43="Gewählt","Chosen",(IF(O43="Choisie","Chosen",(IF(O43="Random","Random",(IF(O43="Aleatoria","Random",(IF(O43="Zufällig","Random",(IF(O43="Aléatoire","Random",0)))))))))))))))</f>
        <v>0</v>
      </c>
      <c r="CC46" s="2">
        <f t="shared" ref="CC46:CC61" si="35">IF(S43="Chosen","Chosen",(IF(S43="Elegida","Chosen",(IF(S43="Gewählt","Chosen",(IF(S43="Choisie","Chosen",(IF(S43="Random","Random",(IF(S43="Aleatoria","Random",(IF(S43="Zufällig","Random",(IF(S43="Aléatoire","Random",0)))))))))))))))</f>
        <v>0</v>
      </c>
      <c r="CD46" s="2">
        <f t="shared" ref="CD46:CD61" si="36">IF(W43="Chosen","Chosen",(IF(W43="Elegida","Chosen",(IF(W43="Gewählt","Chosen",(IF(W43="Choisie","Chosen",(IF(W43="Random","Random",(IF(T43="Aleatoria","Random",(IF(W43="Zufällig","Random",(IF(W43="Aléatoire","Random",0)))))))))))))))</f>
        <v>0</v>
      </c>
      <c r="CE46" s="2">
        <f t="shared" ref="CE46:CE61" si="37">IF(AA43="Chosen","Chosen",(IF(AA43="Elegida","Chosen",(IF(AA43="Gewählt","Chosen",(IF(AA43="Choisie","Chosen",(IF(AA43="Random","Random",(IF(U43="Aleatoria","Random",(IF(AA43="Zufällig","Random",(IF(AA43="Aléatoire","Random",0)))))))))))))))</f>
        <v>0</v>
      </c>
      <c r="CF46" s="2"/>
      <c r="CG46" s="2">
        <f>IF(BS46="P",$C$38,(IF(BS46="S",$K$38,0)))</f>
        <v>0</v>
      </c>
      <c r="CH46" s="2">
        <f t="shared" ref="CH46:CL46" si="38">IF(BT46="P",$C$38,(IF(BT46="S",$K$38,0)))</f>
        <v>0</v>
      </c>
      <c r="CI46" s="2">
        <f>IF(BU46="P",$C$38,(IF(BU46="S",$K$38,0)))</f>
        <v>0</v>
      </c>
      <c r="CJ46" s="2">
        <f t="shared" si="38"/>
        <v>0</v>
      </c>
      <c r="CK46" s="2">
        <f t="shared" si="38"/>
        <v>0</v>
      </c>
      <c r="CL46" s="2">
        <f t="shared" si="38"/>
        <v>0</v>
      </c>
      <c r="CM46" s="2"/>
      <c r="CN46" s="2">
        <f>IF(BK46="MA",$P$38,(IF(BK46="ST",$U$38,(IF(BK46="PA",$Z$38,(IF(BK46="AG",$AE$38,(IF(BK46="AV",$AJ$38,0)))))))))</f>
        <v>0</v>
      </c>
      <c r="CO46" s="2">
        <f t="shared" ref="CO46:CS61" si="39">IF(BL46="MA",$P$38,(IF(BL46="ST",$U$38,(IF(BL46="PA",$Z$38,(IF(BL46="AG",$AE$38,(IF(BL46="AV",$AJ$38,0)))))))))</f>
        <v>0</v>
      </c>
      <c r="CP46" s="2">
        <f t="shared" si="39"/>
        <v>0</v>
      </c>
      <c r="CQ46" s="2">
        <f t="shared" si="39"/>
        <v>0</v>
      </c>
      <c r="CR46" s="2">
        <f t="shared" si="39"/>
        <v>0</v>
      </c>
      <c r="CS46" s="2">
        <f t="shared" si="39"/>
        <v>0</v>
      </c>
      <c r="CT46" s="2"/>
      <c r="CU46" s="2">
        <f t="shared" ref="CU46:CU61" si="40">IF(BS46="P",6,IF(BS46="S",12,IF(BS46="STAT",18,0)))</f>
        <v>0</v>
      </c>
      <c r="CV46" s="2">
        <f t="shared" ref="CV46:CV61" si="41">IF(BT46="P",8,IF(BT46="S",14,IF(BT46="STAT",20,0)))</f>
        <v>0</v>
      </c>
      <c r="CW46" s="2">
        <f t="shared" ref="CW46:CW61" si="42">IF(BU46="P",12,IF(BU46="S",18,IF(BU46="STAT",24,0)))</f>
        <v>0</v>
      </c>
      <c r="CX46" s="2">
        <f>IF(BV46="P",16,IF(BV46="S",22,IF(BV46="STAT",28,0)))</f>
        <v>0</v>
      </c>
      <c r="CY46" s="2">
        <f>IF(BW46="P",20,IF(BW46="S",26,IF(BW46="STAT",32,0)))</f>
        <v>0</v>
      </c>
      <c r="CZ46" s="2">
        <f>IF(BX46="P",30,IF(BX46="S",40,IF(BX46="STAT",50,0)))</f>
        <v>0</v>
      </c>
    </row>
    <row r="47" spans="1:104" ht="18" hidden="1"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f>2-(COUNTIF(J18:J19,0))</f>
        <v>2</v>
      </c>
      <c r="AS47" s="10"/>
      <c r="AT47" s="10"/>
      <c r="AU47" s="10"/>
      <c r="AV47" s="10">
        <f t="shared" ref="AV47:AV61" si="43">(IF(AD3="",0,(IF(ISNUMBER(SEARCH(AD3,O3)),1,0))))+(IF(AG3="",0,(IF(ISNUMBER(SEARCH(AG3,O3)),1,0))))+(IF(AJ3="",0,(IF(ISNUMBER(SEARCH(AJ3,O3)),1,0))))</f>
        <v>0</v>
      </c>
      <c r="AW47" s="10"/>
      <c r="AX47" s="2">
        <f t="shared" si="25"/>
        <v>0</v>
      </c>
      <c r="AY47" s="2">
        <f>IFERROR((VLOOKUP($BO$1&amp;C3,TeamsViejaGloria!D:S,12,0)),0)</f>
        <v>0</v>
      </c>
      <c r="AZ47" s="2">
        <f>IFERROR((VLOOKUP($BO$1&amp;C3,TeamsViejaGloria!D:S,13,0)),0)</f>
        <v>0</v>
      </c>
      <c r="BA47" s="2">
        <f>IFERROR((VLOOKUP($BO$1&amp;C3,TeamsViejaGloria!D:S,14,0)),0)</f>
        <v>0</v>
      </c>
      <c r="BB47" s="2">
        <f>IFERROR((VLOOKUP($BO$1&amp;C3,TeamsViejaGloria!D:S,15,0)),0)</f>
        <v>0</v>
      </c>
      <c r="BC47" s="2">
        <f>IFERROR((VLOOKUP($BO$1&amp;C3,TeamsViejaGloria!D:S,16,0)),0)</f>
        <v>0</v>
      </c>
      <c r="BD47" s="2">
        <f t="shared" ref="BD47:BD61" si="44">IF($P$38="NO",0,$P$38)</f>
        <v>0</v>
      </c>
      <c r="BE47" s="2">
        <f t="shared" si="26"/>
        <v>0</v>
      </c>
      <c r="BF47" s="2">
        <f t="shared" si="27"/>
        <v>0</v>
      </c>
      <c r="BG47" s="2">
        <f t="shared" si="28"/>
        <v>0</v>
      </c>
      <c r="BH47" s="2">
        <f t="shared" si="29"/>
        <v>0</v>
      </c>
      <c r="BI47" s="2">
        <f t="shared" si="30"/>
        <v>0</v>
      </c>
      <c r="BJ47">
        <f t="shared" ref="BJ47:BJ61" si="45">IF(BS47="S",(IF(BT47="P",1,0)),(IF(BS47="P",(IF(BT47="S",1,0)),0)))</f>
        <v>0</v>
      </c>
      <c r="BK47" s="2">
        <f t="shared" ref="BK47:BK61" si="46">IF(AD3="",0,(VLOOKUP(AD3,$CC$64:$CD$164,2,0)))</f>
        <v>0</v>
      </c>
      <c r="BL47" s="2">
        <f t="shared" ref="BL47:BL61" si="47">IF(AG3="",0,(VLOOKUP(AG3,$CC$64:$CD$164,2,0)))</f>
        <v>0</v>
      </c>
      <c r="BM47" s="2">
        <f t="shared" ref="BM47:BM61" si="48">IF(AJ3="",0,(VLOOKUP(AJ3,$CC$64:$CD$164,2,0)))</f>
        <v>0</v>
      </c>
      <c r="BN47" s="2"/>
      <c r="BO47" s="2"/>
      <c r="BP47" s="2"/>
      <c r="BR47">
        <f t="shared" ref="BR47:BR61" si="49">IF((COUNT(BK47:BM47))&lt;2,1,0)</f>
        <v>0</v>
      </c>
      <c r="BS47" s="2">
        <f t="shared" ref="BS47:BS61" si="50">(IF(BK47="G",AY47,IF(BK47="A",AZ47,IF(BK47="S",BA47,IF(BK47="P",BB47,IF(BK47="M",BC47,IF(BK47="X",0,IF(OR(BK47="MA",BK47="AV",BK47="ST",BK47="PA",BK47="AG"),"STAT",0))))))))</f>
        <v>0</v>
      </c>
      <c r="BT47" s="2">
        <f t="shared" ref="BT47:BT61" si="51">(IF(BL47="G",AY47,IF(BL47="A",AZ47,IF(BL47="S",BA47,IF(BL47="P",BB47,IF(BL47="M",BC47,IF(BL47="X",0,IF(OR(BL47="MA",BL47="AV",BL47="ST",BL47="PA",BL47="AG"),"STAT",0))))))))</f>
        <v>0</v>
      </c>
      <c r="BU47" s="2">
        <f t="shared" ref="BU47:BU61" si="52">(IF(BM47="G",AY47,IF(BM47="A",AZ47,IF(BM47="S",BA47,IF(BM47="P",BB47,IF(BM47="M",BC47,IF(BM47="X",0,IF(OR(BM47="MA",BM47="AV",BM47="ST",BM47="PA",BM47="AG"),"STAT",0))))))))</f>
        <v>0</v>
      </c>
      <c r="BV47" s="2"/>
      <c r="BW47" s="2"/>
      <c r="BX47" s="2">
        <f t="shared" si="31"/>
        <v>0</v>
      </c>
      <c r="BY47" s="2"/>
      <c r="BZ47" s="2">
        <f t="shared" si="32"/>
        <v>0</v>
      </c>
      <c r="CA47" s="2">
        <f t="shared" si="33"/>
        <v>0</v>
      </c>
      <c r="CB47" s="2">
        <f t="shared" si="34"/>
        <v>0</v>
      </c>
      <c r="CC47" s="2">
        <f t="shared" si="35"/>
        <v>0</v>
      </c>
      <c r="CD47" s="2">
        <f t="shared" si="36"/>
        <v>0</v>
      </c>
      <c r="CE47" s="2">
        <f t="shared" si="37"/>
        <v>0</v>
      </c>
      <c r="CF47" s="2"/>
      <c r="CG47" s="2">
        <f t="shared" ref="CG47:CL61" si="53">IF(BS47="P",$C$38,(IF(BS47="S",$K$38,0)))</f>
        <v>0</v>
      </c>
      <c r="CH47" s="2">
        <f t="shared" si="53"/>
        <v>0</v>
      </c>
      <c r="CI47" s="2">
        <f t="shared" si="53"/>
        <v>0</v>
      </c>
      <c r="CJ47" s="2">
        <f t="shared" si="53"/>
        <v>0</v>
      </c>
      <c r="CK47" s="2">
        <f t="shared" si="53"/>
        <v>0</v>
      </c>
      <c r="CL47" s="2">
        <f t="shared" si="53"/>
        <v>0</v>
      </c>
      <c r="CM47" s="2"/>
      <c r="CN47" s="2">
        <f t="shared" ref="CN47:CN61" si="54">IF(BK47="MA",$P$38,(IF(BK47="ST",$U$38,(IF(BK47="PA",$Z$38,(IF(BK47="AG",$AE$38,(IF(BK47="AV",$AJ$38,0)))))))))</f>
        <v>0</v>
      </c>
      <c r="CO47" s="2">
        <f t="shared" si="39"/>
        <v>0</v>
      </c>
      <c r="CP47" s="2">
        <f t="shared" si="39"/>
        <v>0</v>
      </c>
      <c r="CQ47" s="2">
        <f t="shared" si="39"/>
        <v>0</v>
      </c>
      <c r="CR47" s="2">
        <f t="shared" si="39"/>
        <v>0</v>
      </c>
      <c r="CS47" s="2">
        <f t="shared" si="39"/>
        <v>0</v>
      </c>
      <c r="CT47" s="2"/>
      <c r="CU47" s="2">
        <f t="shared" si="40"/>
        <v>0</v>
      </c>
      <c r="CV47" s="2">
        <f t="shared" si="41"/>
        <v>0</v>
      </c>
      <c r="CW47" s="2">
        <f t="shared" si="42"/>
        <v>0</v>
      </c>
      <c r="CX47" s="2">
        <f t="shared" ref="CX47:CX61" si="55">IF(BV47="P",16,IF(BV47="S",22,IF(BV47="STAT",28,0)))</f>
        <v>0</v>
      </c>
      <c r="CY47" s="2">
        <f t="shared" ref="CY47:CY61" si="56">IF(BW47="P",20,IF(BW47="S",26,IF(BW47="STAT",32,0)))</f>
        <v>0</v>
      </c>
      <c r="CZ47" s="2">
        <f t="shared" ref="CZ47:CZ61" si="57">IF(AND(BX47="P",CE47="Random"),15,IF(AND(BX47="P",CE47="Chosen"),30,IF(AND(BX47="S",CE47="Random"),30,IF(AND(BX47="S",CE47="Chosen"),40,IF(OR(BX47="STAT"),50,0)))))</f>
        <v>0</v>
      </c>
    </row>
    <row r="48" spans="1:104" ht="18" hidden="1"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S48" s="10"/>
      <c r="AT48" s="10"/>
      <c r="AU48" s="10"/>
      <c r="AV48" s="10">
        <f t="shared" si="43"/>
        <v>0</v>
      </c>
      <c r="AW48" s="10"/>
      <c r="AX48" s="2">
        <f t="shared" si="25"/>
        <v>0</v>
      </c>
      <c r="AY48" s="2">
        <f>IFERROR((VLOOKUP($BO$1&amp;C4,TeamsViejaGloria!D:S,12,0)),0)</f>
        <v>0</v>
      </c>
      <c r="AZ48" s="2">
        <f>IFERROR((VLOOKUP($BO$1&amp;C4,TeamsViejaGloria!D:S,13,0)),0)</f>
        <v>0</v>
      </c>
      <c r="BA48" s="2">
        <f>IFERROR((VLOOKUP($BO$1&amp;C4,TeamsViejaGloria!D:S,14,0)),0)</f>
        <v>0</v>
      </c>
      <c r="BB48" s="2">
        <f>IFERROR((VLOOKUP($BO$1&amp;C4,TeamsViejaGloria!D:S,15,0)),0)</f>
        <v>0</v>
      </c>
      <c r="BC48" s="2">
        <f>IFERROR((VLOOKUP($BO$1&amp;C4,TeamsViejaGloria!D:S,16,0)),0)</f>
        <v>0</v>
      </c>
      <c r="BD48" s="2">
        <f t="shared" si="44"/>
        <v>0</v>
      </c>
      <c r="BE48" s="2">
        <f t="shared" si="26"/>
        <v>0</v>
      </c>
      <c r="BF48" s="2">
        <f t="shared" si="27"/>
        <v>0</v>
      </c>
      <c r="BG48" s="2">
        <f t="shared" si="28"/>
        <v>0</v>
      </c>
      <c r="BH48" s="2">
        <f t="shared" si="29"/>
        <v>0</v>
      </c>
      <c r="BI48" s="2">
        <f t="shared" si="30"/>
        <v>0</v>
      </c>
      <c r="BJ48">
        <f t="shared" si="45"/>
        <v>0</v>
      </c>
      <c r="BK48" s="2">
        <f t="shared" si="46"/>
        <v>0</v>
      </c>
      <c r="BL48" s="2">
        <f t="shared" si="47"/>
        <v>0</v>
      </c>
      <c r="BM48" s="2">
        <f t="shared" si="48"/>
        <v>0</v>
      </c>
      <c r="BN48" s="2"/>
      <c r="BO48" s="2"/>
      <c r="BP48" s="2"/>
      <c r="BR48">
        <f t="shared" si="49"/>
        <v>0</v>
      </c>
      <c r="BS48" s="2">
        <f t="shared" si="50"/>
        <v>0</v>
      </c>
      <c r="BT48" s="2">
        <f t="shared" si="51"/>
        <v>0</v>
      </c>
      <c r="BU48" s="2">
        <f t="shared" si="52"/>
        <v>0</v>
      </c>
      <c r="BV48" s="2"/>
      <c r="BW48" s="2"/>
      <c r="BX48" s="2">
        <f t="shared" si="31"/>
        <v>0</v>
      </c>
      <c r="BY48" s="2"/>
      <c r="BZ48" s="2">
        <f t="shared" si="32"/>
        <v>0</v>
      </c>
      <c r="CA48" s="2">
        <f t="shared" si="33"/>
        <v>0</v>
      </c>
      <c r="CB48" s="2">
        <f t="shared" si="34"/>
        <v>0</v>
      </c>
      <c r="CC48" s="2">
        <f t="shared" si="35"/>
        <v>0</v>
      </c>
      <c r="CD48" s="2">
        <f t="shared" si="36"/>
        <v>0</v>
      </c>
      <c r="CE48" s="2">
        <f t="shared" si="37"/>
        <v>0</v>
      </c>
      <c r="CF48" s="2"/>
      <c r="CG48" s="2">
        <f t="shared" si="53"/>
        <v>0</v>
      </c>
      <c r="CH48" s="2">
        <f t="shared" si="53"/>
        <v>0</v>
      </c>
      <c r="CI48" s="2">
        <f t="shared" si="53"/>
        <v>0</v>
      </c>
      <c r="CJ48" s="2">
        <f t="shared" si="53"/>
        <v>0</v>
      </c>
      <c r="CK48" s="2">
        <f t="shared" si="53"/>
        <v>0</v>
      </c>
      <c r="CL48" s="2">
        <f t="shared" si="53"/>
        <v>0</v>
      </c>
      <c r="CM48" s="2"/>
      <c r="CN48" s="2">
        <f t="shared" si="54"/>
        <v>0</v>
      </c>
      <c r="CO48" s="2">
        <f t="shared" si="39"/>
        <v>0</v>
      </c>
      <c r="CP48" s="2">
        <f t="shared" si="39"/>
        <v>0</v>
      </c>
      <c r="CQ48" s="2">
        <f t="shared" si="39"/>
        <v>0</v>
      </c>
      <c r="CR48" s="2">
        <f t="shared" si="39"/>
        <v>0</v>
      </c>
      <c r="CS48" s="2">
        <f t="shared" si="39"/>
        <v>0</v>
      </c>
      <c r="CT48" s="2"/>
      <c r="CU48" s="2">
        <f t="shared" si="40"/>
        <v>0</v>
      </c>
      <c r="CV48" s="2">
        <f t="shared" si="41"/>
        <v>0</v>
      </c>
      <c r="CW48" s="2">
        <f t="shared" si="42"/>
        <v>0</v>
      </c>
      <c r="CX48" s="2">
        <f t="shared" si="55"/>
        <v>0</v>
      </c>
      <c r="CY48" s="2">
        <f t="shared" si="56"/>
        <v>0</v>
      </c>
      <c r="CZ48" s="2">
        <f t="shared" si="57"/>
        <v>0</v>
      </c>
    </row>
    <row r="49" spans="2:104" ht="18" hidden="1" customHeight="1" x14ac:dyDescent="0.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S49" s="10"/>
      <c r="AT49" s="10"/>
      <c r="AU49" s="10"/>
      <c r="AV49" s="10">
        <f t="shared" si="43"/>
        <v>0</v>
      </c>
      <c r="AW49" s="10"/>
      <c r="AX49" s="2">
        <f t="shared" si="25"/>
        <v>0</v>
      </c>
      <c r="AY49" s="2">
        <f>IFERROR((VLOOKUP($BO$1&amp;C5,TeamsViejaGloria!D:S,12,0)),0)</f>
        <v>0</v>
      </c>
      <c r="AZ49" s="2">
        <f>IFERROR((VLOOKUP($BO$1&amp;C5,TeamsViejaGloria!D:S,13,0)),0)</f>
        <v>0</v>
      </c>
      <c r="BA49" s="2">
        <f>IFERROR((VLOOKUP($BO$1&amp;C5,TeamsViejaGloria!D:S,14,0)),0)</f>
        <v>0</v>
      </c>
      <c r="BB49" s="2">
        <f>IFERROR((VLOOKUP($BO$1&amp;C5,TeamsViejaGloria!D:S,15,0)),0)</f>
        <v>0</v>
      </c>
      <c r="BC49" s="2">
        <f>IFERROR((VLOOKUP($BO$1&amp;C5,TeamsViejaGloria!D:S,16,0)),0)</f>
        <v>0</v>
      </c>
      <c r="BD49" s="2">
        <f t="shared" si="44"/>
        <v>0</v>
      </c>
      <c r="BE49" s="2">
        <f t="shared" si="26"/>
        <v>0</v>
      </c>
      <c r="BF49" s="2">
        <f t="shared" si="27"/>
        <v>0</v>
      </c>
      <c r="BG49" s="2">
        <f t="shared" si="28"/>
        <v>0</v>
      </c>
      <c r="BH49" s="2">
        <f t="shared" si="29"/>
        <v>0</v>
      </c>
      <c r="BI49" s="2">
        <f t="shared" si="30"/>
        <v>0</v>
      </c>
      <c r="BJ49">
        <f t="shared" si="45"/>
        <v>0</v>
      </c>
      <c r="BK49" s="2">
        <f t="shared" si="46"/>
        <v>0</v>
      </c>
      <c r="BL49" s="2">
        <f t="shared" si="47"/>
        <v>0</v>
      </c>
      <c r="BM49" s="2">
        <f t="shared" si="48"/>
        <v>0</v>
      </c>
      <c r="BN49" s="2"/>
      <c r="BO49" s="2"/>
      <c r="BP49" s="2"/>
      <c r="BR49">
        <f t="shared" si="49"/>
        <v>0</v>
      </c>
      <c r="BS49" s="2">
        <f t="shared" si="50"/>
        <v>0</v>
      </c>
      <c r="BT49" s="2">
        <f t="shared" si="51"/>
        <v>0</v>
      </c>
      <c r="BU49" s="2">
        <f t="shared" si="52"/>
        <v>0</v>
      </c>
      <c r="BV49" s="2"/>
      <c r="BW49" s="2"/>
      <c r="BX49" s="2">
        <f t="shared" si="31"/>
        <v>0</v>
      </c>
      <c r="BY49" s="2"/>
      <c r="BZ49" s="2">
        <f t="shared" si="32"/>
        <v>0</v>
      </c>
      <c r="CA49" s="2">
        <f t="shared" si="33"/>
        <v>0</v>
      </c>
      <c r="CB49" s="2">
        <f t="shared" si="34"/>
        <v>0</v>
      </c>
      <c r="CC49" s="2">
        <f t="shared" si="35"/>
        <v>0</v>
      </c>
      <c r="CD49" s="2">
        <f t="shared" si="36"/>
        <v>0</v>
      </c>
      <c r="CE49" s="2">
        <f t="shared" si="37"/>
        <v>0</v>
      </c>
      <c r="CF49" s="2"/>
      <c r="CG49" s="2">
        <f t="shared" si="53"/>
        <v>0</v>
      </c>
      <c r="CH49" s="2">
        <f t="shared" si="53"/>
        <v>0</v>
      </c>
      <c r="CI49" s="2">
        <f t="shared" si="53"/>
        <v>0</v>
      </c>
      <c r="CJ49" s="2">
        <f t="shared" si="53"/>
        <v>0</v>
      </c>
      <c r="CK49" s="2">
        <f t="shared" si="53"/>
        <v>0</v>
      </c>
      <c r="CL49" s="2">
        <f t="shared" si="53"/>
        <v>0</v>
      </c>
      <c r="CM49" s="2"/>
      <c r="CN49" s="2">
        <f t="shared" si="54"/>
        <v>0</v>
      </c>
      <c r="CO49" s="2">
        <f t="shared" si="39"/>
        <v>0</v>
      </c>
      <c r="CP49" s="2">
        <f t="shared" si="39"/>
        <v>0</v>
      </c>
      <c r="CQ49" s="2">
        <f t="shared" si="39"/>
        <v>0</v>
      </c>
      <c r="CR49" s="2">
        <f t="shared" si="39"/>
        <v>0</v>
      </c>
      <c r="CS49" s="2">
        <f t="shared" si="39"/>
        <v>0</v>
      </c>
      <c r="CT49" s="2"/>
      <c r="CU49" s="2">
        <f t="shared" si="40"/>
        <v>0</v>
      </c>
      <c r="CV49" s="2">
        <f t="shared" si="41"/>
        <v>0</v>
      </c>
      <c r="CW49" s="2">
        <f t="shared" si="42"/>
        <v>0</v>
      </c>
      <c r="CX49" s="2">
        <f t="shared" si="55"/>
        <v>0</v>
      </c>
      <c r="CY49" s="2">
        <f t="shared" si="56"/>
        <v>0</v>
      </c>
      <c r="CZ49" s="2">
        <f t="shared" si="57"/>
        <v>0</v>
      </c>
    </row>
    <row r="50" spans="2:104" ht="18" hidden="1" customHeight="1" x14ac:dyDescent="0.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S50" s="10"/>
      <c r="AT50" s="10"/>
      <c r="AU50" s="10"/>
      <c r="AV50" s="10">
        <f t="shared" si="43"/>
        <v>0</v>
      </c>
      <c r="AW50" s="10"/>
      <c r="AX50" s="2">
        <f t="shared" si="25"/>
        <v>0</v>
      </c>
      <c r="AY50" s="2">
        <f>IFERROR((VLOOKUP($BO$1&amp;C6,TeamsViejaGloria!D:S,12,0)),0)</f>
        <v>0</v>
      </c>
      <c r="AZ50" s="2">
        <f>IFERROR((VLOOKUP($BO$1&amp;C6,TeamsViejaGloria!D:S,13,0)),0)</f>
        <v>0</v>
      </c>
      <c r="BA50" s="2">
        <f>IFERROR((VLOOKUP($BO$1&amp;C6,TeamsViejaGloria!D:S,14,0)),0)</f>
        <v>0</v>
      </c>
      <c r="BB50" s="2">
        <f>IFERROR((VLOOKUP($BO$1&amp;C6,TeamsViejaGloria!D:S,15,0)),0)</f>
        <v>0</v>
      </c>
      <c r="BC50" s="2">
        <f>IFERROR((VLOOKUP($BO$1&amp;C6,TeamsViejaGloria!D:S,16,0)),0)</f>
        <v>0</v>
      </c>
      <c r="BD50" s="2">
        <f t="shared" si="44"/>
        <v>0</v>
      </c>
      <c r="BE50" s="2">
        <f t="shared" si="26"/>
        <v>0</v>
      </c>
      <c r="BF50" s="2">
        <f t="shared" si="27"/>
        <v>0</v>
      </c>
      <c r="BG50" s="2">
        <f t="shared" si="28"/>
        <v>0</v>
      </c>
      <c r="BH50" s="2">
        <f t="shared" si="29"/>
        <v>0</v>
      </c>
      <c r="BI50" s="2">
        <f t="shared" si="30"/>
        <v>0</v>
      </c>
      <c r="BJ50">
        <f t="shared" si="45"/>
        <v>0</v>
      </c>
      <c r="BK50" s="2">
        <f t="shared" si="46"/>
        <v>0</v>
      </c>
      <c r="BL50" s="2">
        <f t="shared" si="47"/>
        <v>0</v>
      </c>
      <c r="BM50" s="2">
        <f t="shared" si="48"/>
        <v>0</v>
      </c>
      <c r="BN50" s="2"/>
      <c r="BO50" s="2"/>
      <c r="BP50" s="2"/>
      <c r="BR50">
        <f t="shared" si="49"/>
        <v>0</v>
      </c>
      <c r="BS50" s="2">
        <f t="shared" si="50"/>
        <v>0</v>
      </c>
      <c r="BT50" s="2">
        <f t="shared" si="51"/>
        <v>0</v>
      </c>
      <c r="BU50" s="2">
        <f t="shared" si="52"/>
        <v>0</v>
      </c>
      <c r="BV50" s="2"/>
      <c r="BW50" s="2"/>
      <c r="BX50" s="2">
        <f t="shared" si="31"/>
        <v>0</v>
      </c>
      <c r="BY50" s="2"/>
      <c r="BZ50" s="2">
        <f t="shared" si="32"/>
        <v>0</v>
      </c>
      <c r="CA50" s="2">
        <f t="shared" si="33"/>
        <v>0</v>
      </c>
      <c r="CB50" s="2">
        <f t="shared" si="34"/>
        <v>0</v>
      </c>
      <c r="CC50" s="2">
        <f t="shared" si="35"/>
        <v>0</v>
      </c>
      <c r="CD50" s="2">
        <f t="shared" si="36"/>
        <v>0</v>
      </c>
      <c r="CE50" s="2">
        <f t="shared" si="37"/>
        <v>0</v>
      </c>
      <c r="CF50" s="2"/>
      <c r="CG50" s="2">
        <f t="shared" si="53"/>
        <v>0</v>
      </c>
      <c r="CH50" s="2">
        <f t="shared" si="53"/>
        <v>0</v>
      </c>
      <c r="CI50" s="2">
        <f t="shared" si="53"/>
        <v>0</v>
      </c>
      <c r="CJ50" s="2">
        <f t="shared" si="53"/>
        <v>0</v>
      </c>
      <c r="CK50" s="2">
        <f t="shared" si="53"/>
        <v>0</v>
      </c>
      <c r="CL50" s="2">
        <f t="shared" si="53"/>
        <v>0</v>
      </c>
      <c r="CM50" s="2"/>
      <c r="CN50" s="2">
        <f t="shared" si="54"/>
        <v>0</v>
      </c>
      <c r="CO50" s="2">
        <f t="shared" si="39"/>
        <v>0</v>
      </c>
      <c r="CP50" s="2">
        <f t="shared" si="39"/>
        <v>0</v>
      </c>
      <c r="CQ50" s="2">
        <f t="shared" si="39"/>
        <v>0</v>
      </c>
      <c r="CR50" s="2">
        <f t="shared" si="39"/>
        <v>0</v>
      </c>
      <c r="CS50" s="2">
        <f t="shared" si="39"/>
        <v>0</v>
      </c>
      <c r="CT50" s="2"/>
      <c r="CU50" s="2">
        <f t="shared" si="40"/>
        <v>0</v>
      </c>
      <c r="CV50" s="2">
        <f t="shared" si="41"/>
        <v>0</v>
      </c>
      <c r="CW50" s="2">
        <f t="shared" si="42"/>
        <v>0</v>
      </c>
      <c r="CX50" s="2">
        <f t="shared" si="55"/>
        <v>0</v>
      </c>
      <c r="CY50" s="2">
        <f t="shared" si="56"/>
        <v>0</v>
      </c>
      <c r="CZ50" s="2">
        <f t="shared" si="57"/>
        <v>0</v>
      </c>
    </row>
    <row r="51" spans="2:104" ht="18" hidden="1" customHeight="1" x14ac:dyDescent="0.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S51" s="10"/>
      <c r="AT51" s="10"/>
      <c r="AU51" s="10"/>
      <c r="AV51" s="10">
        <f t="shared" si="43"/>
        <v>0</v>
      </c>
      <c r="AW51" s="10"/>
      <c r="AX51" s="2">
        <f t="shared" si="25"/>
        <v>0</v>
      </c>
      <c r="AY51" s="2">
        <f>IFERROR((VLOOKUP($BO$1&amp;C7,TeamsViejaGloria!D:S,12,0)),0)</f>
        <v>0</v>
      </c>
      <c r="AZ51" s="2">
        <f>IFERROR((VLOOKUP($BO$1&amp;C7,TeamsViejaGloria!D:S,13,0)),0)</f>
        <v>0</v>
      </c>
      <c r="BA51" s="2">
        <f>IFERROR((VLOOKUP($BO$1&amp;C7,TeamsViejaGloria!D:S,14,0)),0)</f>
        <v>0</v>
      </c>
      <c r="BB51" s="2">
        <f>IFERROR((VLOOKUP($BO$1&amp;C7,TeamsViejaGloria!D:S,15,0)),0)</f>
        <v>0</v>
      </c>
      <c r="BC51" s="2">
        <f>IFERROR((VLOOKUP($BO$1&amp;C7,TeamsViejaGloria!D:S,16,0)),0)</f>
        <v>0</v>
      </c>
      <c r="BD51" s="2">
        <f t="shared" si="44"/>
        <v>0</v>
      </c>
      <c r="BE51" s="2">
        <f t="shared" si="26"/>
        <v>0</v>
      </c>
      <c r="BF51" s="2">
        <f t="shared" si="27"/>
        <v>0</v>
      </c>
      <c r="BG51" s="2">
        <f t="shared" si="28"/>
        <v>0</v>
      </c>
      <c r="BH51" s="2">
        <f t="shared" si="29"/>
        <v>0</v>
      </c>
      <c r="BI51" s="2">
        <f>SUM(CG51:CS51)</f>
        <v>0</v>
      </c>
      <c r="BJ51">
        <f t="shared" si="45"/>
        <v>0</v>
      </c>
      <c r="BK51" s="2">
        <f t="shared" si="46"/>
        <v>0</v>
      </c>
      <c r="BL51" s="2">
        <f t="shared" si="47"/>
        <v>0</v>
      </c>
      <c r="BM51" s="2">
        <f t="shared" si="48"/>
        <v>0</v>
      </c>
      <c r="BN51" s="2"/>
      <c r="BO51" s="2"/>
      <c r="BP51" s="2"/>
      <c r="BR51">
        <f t="shared" si="49"/>
        <v>0</v>
      </c>
      <c r="BS51" s="2">
        <f t="shared" si="50"/>
        <v>0</v>
      </c>
      <c r="BT51" s="2">
        <f>(IF(BL51="G",AY51,IF(BL51="A",AZ51,IF(BL51="S",BA51,IF(BL51="P",BB51,IF(BL51="M",BC51,IF(BL51="X",0,IF(OR(BL51="MA",BL51="AV",BL51="ST",BL51="PA",BL51="AG"),"STAT",0))))))))</f>
        <v>0</v>
      </c>
      <c r="BU51" s="2">
        <f t="shared" si="52"/>
        <v>0</v>
      </c>
      <c r="BV51" s="2"/>
      <c r="BW51" s="2"/>
      <c r="BX51" s="2">
        <f t="shared" si="31"/>
        <v>0</v>
      </c>
      <c r="BY51" s="2"/>
      <c r="BZ51" s="2">
        <f t="shared" si="32"/>
        <v>0</v>
      </c>
      <c r="CA51" s="2">
        <f t="shared" si="33"/>
        <v>0</v>
      </c>
      <c r="CB51" s="2">
        <f t="shared" si="34"/>
        <v>0</v>
      </c>
      <c r="CC51" s="2">
        <f t="shared" si="35"/>
        <v>0</v>
      </c>
      <c r="CD51" s="2">
        <f t="shared" si="36"/>
        <v>0</v>
      </c>
      <c r="CE51" s="2">
        <f t="shared" si="37"/>
        <v>0</v>
      </c>
      <c r="CF51" s="2"/>
      <c r="CG51" s="2">
        <f t="shared" si="53"/>
        <v>0</v>
      </c>
      <c r="CH51" s="2">
        <f t="shared" si="53"/>
        <v>0</v>
      </c>
      <c r="CI51" s="2">
        <f t="shared" si="53"/>
        <v>0</v>
      </c>
      <c r="CJ51" s="2">
        <f t="shared" si="53"/>
        <v>0</v>
      </c>
      <c r="CK51" s="2">
        <f t="shared" si="53"/>
        <v>0</v>
      </c>
      <c r="CL51" s="2">
        <f t="shared" si="53"/>
        <v>0</v>
      </c>
      <c r="CM51" s="2"/>
      <c r="CN51" s="2">
        <f t="shared" si="54"/>
        <v>0</v>
      </c>
      <c r="CO51" s="2">
        <f t="shared" si="39"/>
        <v>0</v>
      </c>
      <c r="CP51" s="2">
        <f t="shared" si="39"/>
        <v>0</v>
      </c>
      <c r="CQ51" s="2">
        <f t="shared" si="39"/>
        <v>0</v>
      </c>
      <c r="CR51" s="2">
        <f t="shared" si="39"/>
        <v>0</v>
      </c>
      <c r="CS51" s="2">
        <f t="shared" si="39"/>
        <v>0</v>
      </c>
      <c r="CT51" s="2"/>
      <c r="CU51" s="2">
        <f>IF(BS51="P",6,IF(BS51="S",12,IF(BS51="STAT",18,0)))</f>
        <v>0</v>
      </c>
      <c r="CV51" s="2">
        <f>IF(BT51="P",8,IF(BT51="S",14,IF(BT51="STAT",20,0)))</f>
        <v>0</v>
      </c>
      <c r="CW51" s="2">
        <f t="shared" si="42"/>
        <v>0</v>
      </c>
      <c r="CX51" s="2">
        <f t="shared" si="55"/>
        <v>0</v>
      </c>
      <c r="CY51" s="2">
        <f t="shared" si="56"/>
        <v>0</v>
      </c>
      <c r="CZ51" s="2">
        <f t="shared" si="57"/>
        <v>0</v>
      </c>
    </row>
    <row r="52" spans="2:104" ht="18" hidden="1" customHeight="1" x14ac:dyDescent="0.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S52" s="10"/>
      <c r="AT52" s="10"/>
      <c r="AU52" s="10"/>
      <c r="AV52" s="10">
        <f t="shared" si="43"/>
        <v>0</v>
      </c>
      <c r="AW52" s="10"/>
      <c r="AX52" s="2">
        <f t="shared" si="25"/>
        <v>0</v>
      </c>
      <c r="AY52" s="2">
        <f>IFERROR((VLOOKUP($BO$1&amp;C8,TeamsViejaGloria!D:S,12,0)),0)</f>
        <v>0</v>
      </c>
      <c r="AZ52" s="2">
        <f>IFERROR((VLOOKUP($BO$1&amp;C8,TeamsViejaGloria!D:S,13,0)),0)</f>
        <v>0</v>
      </c>
      <c r="BA52" s="2">
        <f>IFERROR((VLOOKUP($BO$1&amp;C8,TeamsViejaGloria!D:S,14,0)),0)</f>
        <v>0</v>
      </c>
      <c r="BB52" s="2">
        <f>IFERROR((VLOOKUP($BO$1&amp;C8,TeamsViejaGloria!D:S,15,0)),0)</f>
        <v>0</v>
      </c>
      <c r="BC52" s="2">
        <f>IFERROR((VLOOKUP($BO$1&amp;C8,TeamsViejaGloria!D:S,16,0)),0)</f>
        <v>0</v>
      </c>
      <c r="BD52" s="2">
        <f t="shared" si="44"/>
        <v>0</v>
      </c>
      <c r="BE52" s="2">
        <f t="shared" si="26"/>
        <v>0</v>
      </c>
      <c r="BF52" s="2">
        <f t="shared" si="27"/>
        <v>0</v>
      </c>
      <c r="BG52" s="2">
        <f t="shared" si="28"/>
        <v>0</v>
      </c>
      <c r="BH52" s="2">
        <f t="shared" si="29"/>
        <v>0</v>
      </c>
      <c r="BI52" s="2">
        <f t="shared" si="30"/>
        <v>0</v>
      </c>
      <c r="BJ52">
        <f t="shared" si="45"/>
        <v>0</v>
      </c>
      <c r="BK52" s="2">
        <f t="shared" si="46"/>
        <v>0</v>
      </c>
      <c r="BL52" s="2">
        <f t="shared" si="47"/>
        <v>0</v>
      </c>
      <c r="BM52" s="2">
        <f t="shared" si="48"/>
        <v>0</v>
      </c>
      <c r="BN52" s="2"/>
      <c r="BO52" s="2"/>
      <c r="BP52" s="2"/>
      <c r="BR52">
        <f t="shared" si="49"/>
        <v>0</v>
      </c>
      <c r="BS52" s="2">
        <f t="shared" si="50"/>
        <v>0</v>
      </c>
      <c r="BT52" s="2">
        <f t="shared" si="51"/>
        <v>0</v>
      </c>
      <c r="BU52" s="2">
        <f t="shared" si="52"/>
        <v>0</v>
      </c>
      <c r="BV52" s="2"/>
      <c r="BW52" s="2"/>
      <c r="BX52" s="2">
        <f t="shared" si="31"/>
        <v>0</v>
      </c>
      <c r="BY52" s="2"/>
      <c r="BZ52" s="2">
        <f t="shared" si="32"/>
        <v>0</v>
      </c>
      <c r="CA52" s="2">
        <f t="shared" si="33"/>
        <v>0</v>
      </c>
      <c r="CB52" s="2">
        <f t="shared" si="34"/>
        <v>0</v>
      </c>
      <c r="CC52" s="2">
        <f t="shared" si="35"/>
        <v>0</v>
      </c>
      <c r="CD52" s="2">
        <f t="shared" si="36"/>
        <v>0</v>
      </c>
      <c r="CE52" s="2">
        <f t="shared" si="37"/>
        <v>0</v>
      </c>
      <c r="CF52" s="2"/>
      <c r="CG52" s="2">
        <f t="shared" si="53"/>
        <v>0</v>
      </c>
      <c r="CH52" s="2">
        <f t="shared" si="53"/>
        <v>0</v>
      </c>
      <c r="CI52" s="2">
        <f t="shared" si="53"/>
        <v>0</v>
      </c>
      <c r="CJ52" s="2">
        <f t="shared" si="53"/>
        <v>0</v>
      </c>
      <c r="CK52" s="2">
        <f t="shared" si="53"/>
        <v>0</v>
      </c>
      <c r="CL52" s="2">
        <f t="shared" si="53"/>
        <v>0</v>
      </c>
      <c r="CM52" s="2"/>
      <c r="CN52" s="2">
        <f t="shared" si="54"/>
        <v>0</v>
      </c>
      <c r="CO52" s="2">
        <f t="shared" si="39"/>
        <v>0</v>
      </c>
      <c r="CP52" s="2">
        <f t="shared" si="39"/>
        <v>0</v>
      </c>
      <c r="CQ52" s="2">
        <f t="shared" si="39"/>
        <v>0</v>
      </c>
      <c r="CR52" s="2">
        <f t="shared" si="39"/>
        <v>0</v>
      </c>
      <c r="CS52" s="2">
        <f t="shared" si="39"/>
        <v>0</v>
      </c>
      <c r="CT52" s="2"/>
      <c r="CU52" s="2">
        <f t="shared" si="40"/>
        <v>0</v>
      </c>
      <c r="CV52" s="2">
        <f t="shared" si="41"/>
        <v>0</v>
      </c>
      <c r="CW52" s="2">
        <f t="shared" si="42"/>
        <v>0</v>
      </c>
      <c r="CX52" s="2">
        <f t="shared" si="55"/>
        <v>0</v>
      </c>
      <c r="CY52" s="2">
        <f t="shared" si="56"/>
        <v>0</v>
      </c>
      <c r="CZ52" s="2">
        <f t="shared" si="57"/>
        <v>0</v>
      </c>
    </row>
    <row r="53" spans="2:104" ht="18" hidden="1" customHeight="1" x14ac:dyDescent="0.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10"/>
      <c r="AS53" s="10"/>
      <c r="AT53" s="10"/>
      <c r="AU53" s="10"/>
      <c r="AV53" s="10">
        <f t="shared" si="43"/>
        <v>0</v>
      </c>
      <c r="AW53" s="10"/>
      <c r="AX53" s="2">
        <f t="shared" si="25"/>
        <v>0</v>
      </c>
      <c r="AY53" s="2">
        <f>IFERROR((VLOOKUP($BO$1&amp;C9,TeamsViejaGloria!D:S,12,0)),0)</f>
        <v>0</v>
      </c>
      <c r="AZ53" s="2">
        <f>IFERROR((VLOOKUP($BO$1&amp;C9,TeamsViejaGloria!D:S,13,0)),0)</f>
        <v>0</v>
      </c>
      <c r="BA53" s="2">
        <f>IFERROR((VLOOKUP($BO$1&amp;C9,TeamsViejaGloria!D:S,14,0)),0)</f>
        <v>0</v>
      </c>
      <c r="BB53" s="2">
        <f>IFERROR((VLOOKUP($BO$1&amp;C9,TeamsViejaGloria!D:S,15,0)),0)</f>
        <v>0</v>
      </c>
      <c r="BC53" s="2">
        <f>IFERROR((VLOOKUP($BO$1&amp;C9,TeamsViejaGloria!D:S,16,0)),0)</f>
        <v>0</v>
      </c>
      <c r="BD53" s="2">
        <f t="shared" si="44"/>
        <v>0</v>
      </c>
      <c r="BE53" s="2">
        <f t="shared" si="26"/>
        <v>0</v>
      </c>
      <c r="BF53" s="2">
        <f t="shared" si="27"/>
        <v>0</v>
      </c>
      <c r="BG53" s="2">
        <f t="shared" si="28"/>
        <v>0</v>
      </c>
      <c r="BH53" s="2">
        <f t="shared" si="29"/>
        <v>0</v>
      </c>
      <c r="BI53" s="2">
        <f t="shared" si="30"/>
        <v>0</v>
      </c>
      <c r="BJ53">
        <f t="shared" si="45"/>
        <v>0</v>
      </c>
      <c r="BK53" s="2">
        <f t="shared" si="46"/>
        <v>0</v>
      </c>
      <c r="BL53" s="2">
        <f t="shared" si="47"/>
        <v>0</v>
      </c>
      <c r="BM53" s="2">
        <f t="shared" si="48"/>
        <v>0</v>
      </c>
      <c r="BN53" s="2"/>
      <c r="BO53" s="2"/>
      <c r="BP53" s="2"/>
      <c r="BR53">
        <f t="shared" si="49"/>
        <v>0</v>
      </c>
      <c r="BS53" s="2">
        <f t="shared" si="50"/>
        <v>0</v>
      </c>
      <c r="BT53" s="2">
        <f t="shared" si="51"/>
        <v>0</v>
      </c>
      <c r="BU53" s="2">
        <f t="shared" si="52"/>
        <v>0</v>
      </c>
      <c r="BV53" s="2"/>
      <c r="BW53" s="2"/>
      <c r="BX53" s="2">
        <f t="shared" si="31"/>
        <v>0</v>
      </c>
      <c r="BY53" s="2"/>
      <c r="BZ53" s="2">
        <f t="shared" si="32"/>
        <v>0</v>
      </c>
      <c r="CA53" s="2">
        <f t="shared" si="33"/>
        <v>0</v>
      </c>
      <c r="CB53" s="2">
        <f t="shared" si="34"/>
        <v>0</v>
      </c>
      <c r="CC53" s="2">
        <f t="shared" si="35"/>
        <v>0</v>
      </c>
      <c r="CD53" s="2">
        <f t="shared" si="36"/>
        <v>0</v>
      </c>
      <c r="CE53" s="2">
        <f t="shared" si="37"/>
        <v>0</v>
      </c>
      <c r="CF53" s="2"/>
      <c r="CG53" s="2">
        <f t="shared" si="53"/>
        <v>0</v>
      </c>
      <c r="CH53" s="2">
        <f t="shared" si="53"/>
        <v>0</v>
      </c>
      <c r="CI53" s="2">
        <f t="shared" si="53"/>
        <v>0</v>
      </c>
      <c r="CJ53" s="2">
        <f t="shared" si="53"/>
        <v>0</v>
      </c>
      <c r="CK53" s="2">
        <f t="shared" si="53"/>
        <v>0</v>
      </c>
      <c r="CL53" s="2">
        <f t="shared" si="53"/>
        <v>0</v>
      </c>
      <c r="CM53" s="2"/>
      <c r="CN53" s="2">
        <f t="shared" si="54"/>
        <v>0</v>
      </c>
      <c r="CO53" s="2">
        <f t="shared" si="39"/>
        <v>0</v>
      </c>
      <c r="CP53" s="2">
        <f t="shared" si="39"/>
        <v>0</v>
      </c>
      <c r="CQ53" s="2">
        <f t="shared" si="39"/>
        <v>0</v>
      </c>
      <c r="CR53" s="2">
        <f t="shared" si="39"/>
        <v>0</v>
      </c>
      <c r="CS53" s="2">
        <f t="shared" si="39"/>
        <v>0</v>
      </c>
      <c r="CT53" s="2"/>
      <c r="CU53" s="2">
        <f t="shared" si="40"/>
        <v>0</v>
      </c>
      <c r="CV53" s="2">
        <f t="shared" si="41"/>
        <v>0</v>
      </c>
      <c r="CW53" s="2">
        <f t="shared" si="42"/>
        <v>0</v>
      </c>
      <c r="CX53" s="2">
        <f t="shared" si="55"/>
        <v>0</v>
      </c>
      <c r="CY53" s="2">
        <f t="shared" si="56"/>
        <v>0</v>
      </c>
      <c r="CZ53" s="2">
        <f t="shared" si="57"/>
        <v>0</v>
      </c>
    </row>
    <row r="54" spans="2:104" ht="18" hidden="1" customHeight="1" x14ac:dyDescent="0.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0"/>
      <c r="AS54" s="10"/>
      <c r="AT54" s="10"/>
      <c r="AU54" s="10"/>
      <c r="AV54" s="10">
        <f t="shared" si="43"/>
        <v>0</v>
      </c>
      <c r="AW54" s="10"/>
      <c r="AX54" s="2">
        <f t="shared" si="25"/>
        <v>0</v>
      </c>
      <c r="AY54" s="2">
        <f>IFERROR((VLOOKUP($BO$1&amp;C10,TeamsViejaGloria!D:S,12,0)),0)</f>
        <v>0</v>
      </c>
      <c r="AZ54" s="2">
        <f>IFERROR((VLOOKUP($BO$1&amp;C10,TeamsViejaGloria!D:S,13,0)),0)</f>
        <v>0</v>
      </c>
      <c r="BA54" s="2">
        <f>IFERROR((VLOOKUP($BO$1&amp;C10,TeamsViejaGloria!D:S,14,0)),0)</f>
        <v>0</v>
      </c>
      <c r="BB54" s="2">
        <f>IFERROR((VLOOKUP($BO$1&amp;C10,TeamsViejaGloria!D:S,15,0)),0)</f>
        <v>0</v>
      </c>
      <c r="BC54" s="2">
        <f>IFERROR((VLOOKUP($BO$1&amp;C10,TeamsViejaGloria!D:S,16,0)),0)</f>
        <v>0</v>
      </c>
      <c r="BD54" s="2">
        <f t="shared" si="44"/>
        <v>0</v>
      </c>
      <c r="BE54" s="2">
        <f t="shared" si="26"/>
        <v>0</v>
      </c>
      <c r="BF54" s="2">
        <f t="shared" si="27"/>
        <v>0</v>
      </c>
      <c r="BG54" s="2">
        <f t="shared" si="28"/>
        <v>0</v>
      </c>
      <c r="BH54" s="2">
        <f t="shared" si="29"/>
        <v>0</v>
      </c>
      <c r="BI54" s="2">
        <f t="shared" si="30"/>
        <v>0</v>
      </c>
      <c r="BJ54">
        <f t="shared" si="45"/>
        <v>0</v>
      </c>
      <c r="BK54" s="2">
        <f t="shared" si="46"/>
        <v>0</v>
      </c>
      <c r="BL54" s="2">
        <f t="shared" si="47"/>
        <v>0</v>
      </c>
      <c r="BM54" s="2">
        <f t="shared" si="48"/>
        <v>0</v>
      </c>
      <c r="BN54" s="2"/>
      <c r="BO54" s="2"/>
      <c r="BP54" s="2"/>
      <c r="BR54">
        <f t="shared" si="49"/>
        <v>0</v>
      </c>
      <c r="BS54" s="2">
        <f t="shared" si="50"/>
        <v>0</v>
      </c>
      <c r="BT54" s="2">
        <f t="shared" si="51"/>
        <v>0</v>
      </c>
      <c r="BU54" s="2">
        <f t="shared" si="52"/>
        <v>0</v>
      </c>
      <c r="BV54" s="2"/>
      <c r="BW54" s="2"/>
      <c r="BX54" s="2">
        <f t="shared" si="31"/>
        <v>0</v>
      </c>
      <c r="BY54" s="2"/>
      <c r="BZ54" s="2">
        <f t="shared" si="32"/>
        <v>0</v>
      </c>
      <c r="CA54" s="2">
        <f t="shared" si="33"/>
        <v>0</v>
      </c>
      <c r="CB54" s="2">
        <f t="shared" si="34"/>
        <v>0</v>
      </c>
      <c r="CC54" s="2">
        <f t="shared" si="35"/>
        <v>0</v>
      </c>
      <c r="CD54" s="2">
        <f t="shared" si="36"/>
        <v>0</v>
      </c>
      <c r="CE54" s="2">
        <f t="shared" si="37"/>
        <v>0</v>
      </c>
      <c r="CF54" s="2"/>
      <c r="CG54" s="2">
        <f t="shared" si="53"/>
        <v>0</v>
      </c>
      <c r="CH54" s="2">
        <f t="shared" si="53"/>
        <v>0</v>
      </c>
      <c r="CI54" s="2">
        <f t="shared" si="53"/>
        <v>0</v>
      </c>
      <c r="CJ54" s="2">
        <f t="shared" si="53"/>
        <v>0</v>
      </c>
      <c r="CK54" s="2">
        <f t="shared" si="53"/>
        <v>0</v>
      </c>
      <c r="CL54" s="2">
        <f t="shared" si="53"/>
        <v>0</v>
      </c>
      <c r="CM54" s="2"/>
      <c r="CN54" s="2">
        <f t="shared" si="54"/>
        <v>0</v>
      </c>
      <c r="CO54" s="2">
        <f t="shared" si="39"/>
        <v>0</v>
      </c>
      <c r="CP54" s="2">
        <f t="shared" si="39"/>
        <v>0</v>
      </c>
      <c r="CQ54" s="2">
        <f t="shared" si="39"/>
        <v>0</v>
      </c>
      <c r="CR54" s="2">
        <f t="shared" si="39"/>
        <v>0</v>
      </c>
      <c r="CS54" s="2">
        <f t="shared" si="39"/>
        <v>0</v>
      </c>
      <c r="CT54" s="2"/>
      <c r="CU54" s="2">
        <f t="shared" si="40"/>
        <v>0</v>
      </c>
      <c r="CV54" s="2">
        <f t="shared" si="41"/>
        <v>0</v>
      </c>
      <c r="CW54" s="2">
        <f t="shared" si="42"/>
        <v>0</v>
      </c>
      <c r="CX54" s="2">
        <f t="shared" si="55"/>
        <v>0</v>
      </c>
      <c r="CY54" s="2">
        <f t="shared" si="56"/>
        <v>0</v>
      </c>
      <c r="CZ54" s="2">
        <f t="shared" si="57"/>
        <v>0</v>
      </c>
    </row>
    <row r="55" spans="2:104" ht="18" hidden="1" customHeight="1" x14ac:dyDescent="0.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10"/>
      <c r="AS55" s="10"/>
      <c r="AT55" s="10"/>
      <c r="AU55" s="10"/>
      <c r="AV55" s="10">
        <f t="shared" si="43"/>
        <v>0</v>
      </c>
      <c r="AW55" s="10"/>
      <c r="AX55" s="2">
        <f t="shared" si="25"/>
        <v>0</v>
      </c>
      <c r="AY55" s="2">
        <f>IFERROR((VLOOKUP($BO$1&amp;C11,TeamsViejaGloria!D:S,12,0)),0)</f>
        <v>0</v>
      </c>
      <c r="AZ55" s="2">
        <f>IFERROR((VLOOKUP($BO$1&amp;C11,TeamsViejaGloria!D:S,13,0)),0)</f>
        <v>0</v>
      </c>
      <c r="BA55" s="2">
        <f>IFERROR((VLOOKUP($BO$1&amp;C11,TeamsViejaGloria!D:S,14,0)),0)</f>
        <v>0</v>
      </c>
      <c r="BB55" s="2">
        <f>IFERROR((VLOOKUP($BO$1&amp;C11,TeamsViejaGloria!D:S,15,0)),0)</f>
        <v>0</v>
      </c>
      <c r="BC55" s="2">
        <f>IFERROR((VLOOKUP($BO$1&amp;C11,TeamsViejaGloria!D:S,16,0)),0)</f>
        <v>0</v>
      </c>
      <c r="BD55" s="2">
        <f t="shared" si="44"/>
        <v>0</v>
      </c>
      <c r="BE55" s="2">
        <f t="shared" si="26"/>
        <v>0</v>
      </c>
      <c r="BF55" s="2">
        <f t="shared" si="27"/>
        <v>0</v>
      </c>
      <c r="BG55" s="2">
        <f t="shared" si="28"/>
        <v>0</v>
      </c>
      <c r="BH55" s="2">
        <f t="shared" si="29"/>
        <v>0</v>
      </c>
      <c r="BI55" s="2">
        <f t="shared" si="30"/>
        <v>0</v>
      </c>
      <c r="BJ55">
        <f t="shared" si="45"/>
        <v>0</v>
      </c>
      <c r="BK55" s="2">
        <f t="shared" si="46"/>
        <v>0</v>
      </c>
      <c r="BL55" s="2">
        <f t="shared" si="47"/>
        <v>0</v>
      </c>
      <c r="BM55" s="2">
        <f t="shared" si="48"/>
        <v>0</v>
      </c>
      <c r="BN55" s="2"/>
      <c r="BO55" s="2"/>
      <c r="BP55" s="2"/>
      <c r="BR55">
        <f t="shared" si="49"/>
        <v>0</v>
      </c>
      <c r="BS55" s="2">
        <f t="shared" si="50"/>
        <v>0</v>
      </c>
      <c r="BT55" s="2">
        <f t="shared" si="51"/>
        <v>0</v>
      </c>
      <c r="BU55" s="2">
        <f t="shared" si="52"/>
        <v>0</v>
      </c>
      <c r="BV55" s="2"/>
      <c r="BW55" s="2"/>
      <c r="BX55" s="2">
        <f t="shared" si="31"/>
        <v>0</v>
      </c>
      <c r="BY55" s="2"/>
      <c r="BZ55" s="2">
        <f t="shared" si="32"/>
        <v>0</v>
      </c>
      <c r="CA55" s="2">
        <f t="shared" si="33"/>
        <v>0</v>
      </c>
      <c r="CB55" s="2">
        <f t="shared" si="34"/>
        <v>0</v>
      </c>
      <c r="CC55" s="2">
        <f t="shared" si="35"/>
        <v>0</v>
      </c>
      <c r="CD55" s="2">
        <f t="shared" si="36"/>
        <v>0</v>
      </c>
      <c r="CE55" s="2">
        <f t="shared" si="37"/>
        <v>0</v>
      </c>
      <c r="CF55" s="2"/>
      <c r="CG55" s="2">
        <f t="shared" si="53"/>
        <v>0</v>
      </c>
      <c r="CH55" s="2">
        <f t="shared" si="53"/>
        <v>0</v>
      </c>
      <c r="CI55" s="2">
        <f t="shared" si="53"/>
        <v>0</v>
      </c>
      <c r="CJ55" s="2">
        <f t="shared" si="53"/>
        <v>0</v>
      </c>
      <c r="CK55" s="2">
        <f t="shared" si="53"/>
        <v>0</v>
      </c>
      <c r="CL55" s="2">
        <f t="shared" si="53"/>
        <v>0</v>
      </c>
      <c r="CM55" s="2"/>
      <c r="CN55" s="2">
        <f t="shared" si="54"/>
        <v>0</v>
      </c>
      <c r="CO55" s="2">
        <f t="shared" si="39"/>
        <v>0</v>
      </c>
      <c r="CP55" s="2">
        <f t="shared" si="39"/>
        <v>0</v>
      </c>
      <c r="CQ55" s="2">
        <f t="shared" si="39"/>
        <v>0</v>
      </c>
      <c r="CR55" s="2">
        <f t="shared" si="39"/>
        <v>0</v>
      </c>
      <c r="CS55" s="2">
        <f t="shared" si="39"/>
        <v>0</v>
      </c>
      <c r="CT55" s="2"/>
      <c r="CU55" s="2">
        <f t="shared" si="40"/>
        <v>0</v>
      </c>
      <c r="CV55" s="2">
        <f t="shared" si="41"/>
        <v>0</v>
      </c>
      <c r="CW55" s="2">
        <f t="shared" si="42"/>
        <v>0</v>
      </c>
      <c r="CX55" s="2">
        <f t="shared" si="55"/>
        <v>0</v>
      </c>
      <c r="CY55" s="2">
        <f t="shared" si="56"/>
        <v>0</v>
      </c>
      <c r="CZ55" s="2">
        <f t="shared" si="57"/>
        <v>0</v>
      </c>
    </row>
    <row r="56" spans="2:104" ht="18" hidden="1" customHeight="1" x14ac:dyDescent="0.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10"/>
      <c r="AS56" s="10"/>
      <c r="AT56" s="10"/>
      <c r="AU56" s="10"/>
      <c r="AV56" s="10">
        <f t="shared" si="43"/>
        <v>0</v>
      </c>
      <c r="AW56" s="10"/>
      <c r="AX56" s="2">
        <f t="shared" si="25"/>
        <v>0</v>
      </c>
      <c r="AY56" s="2">
        <f>IFERROR((VLOOKUP($BO$1&amp;C12,TeamsViejaGloria!D:S,12,0)),0)</f>
        <v>0</v>
      </c>
      <c r="AZ56" s="2">
        <f>IFERROR((VLOOKUP($BO$1&amp;C12,TeamsViejaGloria!D:S,13,0)),0)</f>
        <v>0</v>
      </c>
      <c r="BA56" s="2">
        <f>IFERROR((VLOOKUP($BO$1&amp;C12,TeamsViejaGloria!D:S,14,0)),0)</f>
        <v>0</v>
      </c>
      <c r="BB56" s="2">
        <f>IFERROR((VLOOKUP($BO$1&amp;C12,TeamsViejaGloria!D:S,15,0)),0)</f>
        <v>0</v>
      </c>
      <c r="BC56" s="2">
        <f>IFERROR((VLOOKUP($BO$1&amp;C12,TeamsViejaGloria!D:S,16,0)),0)</f>
        <v>0</v>
      </c>
      <c r="BD56" s="2">
        <f t="shared" si="44"/>
        <v>0</v>
      </c>
      <c r="BE56" s="2">
        <f t="shared" si="26"/>
        <v>0</v>
      </c>
      <c r="BF56" s="2">
        <f t="shared" si="27"/>
        <v>0</v>
      </c>
      <c r="BG56" s="2">
        <f t="shared" si="28"/>
        <v>0</v>
      </c>
      <c r="BH56" s="2">
        <f t="shared" si="29"/>
        <v>0</v>
      </c>
      <c r="BI56" s="2">
        <f t="shared" si="30"/>
        <v>0</v>
      </c>
      <c r="BJ56">
        <f t="shared" si="45"/>
        <v>0</v>
      </c>
      <c r="BK56" s="2">
        <f t="shared" si="46"/>
        <v>0</v>
      </c>
      <c r="BL56" s="2">
        <f t="shared" si="47"/>
        <v>0</v>
      </c>
      <c r="BM56" s="2">
        <f t="shared" si="48"/>
        <v>0</v>
      </c>
      <c r="BN56" s="2"/>
      <c r="BO56" s="2"/>
      <c r="BP56" s="2"/>
      <c r="BR56">
        <f t="shared" si="49"/>
        <v>0</v>
      </c>
      <c r="BS56" s="2">
        <f t="shared" si="50"/>
        <v>0</v>
      </c>
      <c r="BT56" s="2">
        <f t="shared" si="51"/>
        <v>0</v>
      </c>
      <c r="BU56" s="2">
        <f t="shared" si="52"/>
        <v>0</v>
      </c>
      <c r="BV56" s="2"/>
      <c r="BW56" s="2"/>
      <c r="BX56" s="2">
        <f t="shared" si="31"/>
        <v>0</v>
      </c>
      <c r="BY56" s="2"/>
      <c r="BZ56" s="2">
        <f t="shared" si="32"/>
        <v>0</v>
      </c>
      <c r="CA56" s="2">
        <f t="shared" si="33"/>
        <v>0</v>
      </c>
      <c r="CB56" s="2">
        <f t="shared" si="34"/>
        <v>0</v>
      </c>
      <c r="CC56" s="2">
        <f t="shared" si="35"/>
        <v>0</v>
      </c>
      <c r="CD56" s="2">
        <f t="shared" si="36"/>
        <v>0</v>
      </c>
      <c r="CE56" s="2">
        <f t="shared" si="37"/>
        <v>0</v>
      </c>
      <c r="CF56" s="2"/>
      <c r="CG56" s="2">
        <f t="shared" si="53"/>
        <v>0</v>
      </c>
      <c r="CH56" s="2">
        <f t="shared" si="53"/>
        <v>0</v>
      </c>
      <c r="CI56" s="2">
        <f t="shared" si="53"/>
        <v>0</v>
      </c>
      <c r="CJ56" s="2">
        <f t="shared" si="53"/>
        <v>0</v>
      </c>
      <c r="CK56" s="2">
        <f t="shared" si="53"/>
        <v>0</v>
      </c>
      <c r="CL56" s="2">
        <f t="shared" si="53"/>
        <v>0</v>
      </c>
      <c r="CM56" s="2"/>
      <c r="CN56" s="2">
        <f t="shared" si="54"/>
        <v>0</v>
      </c>
      <c r="CO56" s="2">
        <f t="shared" si="39"/>
        <v>0</v>
      </c>
      <c r="CP56" s="2">
        <f t="shared" si="39"/>
        <v>0</v>
      </c>
      <c r="CQ56" s="2">
        <f t="shared" si="39"/>
        <v>0</v>
      </c>
      <c r="CR56" s="2">
        <f t="shared" si="39"/>
        <v>0</v>
      </c>
      <c r="CS56" s="2">
        <f t="shared" si="39"/>
        <v>0</v>
      </c>
      <c r="CT56" s="2"/>
      <c r="CU56" s="2">
        <f t="shared" si="40"/>
        <v>0</v>
      </c>
      <c r="CV56" s="2">
        <f t="shared" si="41"/>
        <v>0</v>
      </c>
      <c r="CW56" s="2">
        <f t="shared" si="42"/>
        <v>0</v>
      </c>
      <c r="CX56" s="2">
        <f t="shared" si="55"/>
        <v>0</v>
      </c>
      <c r="CY56" s="2">
        <f t="shared" si="56"/>
        <v>0</v>
      </c>
      <c r="CZ56" s="2">
        <f t="shared" si="57"/>
        <v>0</v>
      </c>
    </row>
    <row r="57" spans="2:104" ht="18" hidden="1" customHeight="1" x14ac:dyDescent="0.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0"/>
      <c r="AS57" s="10"/>
      <c r="AT57" s="10"/>
      <c r="AU57" s="10"/>
      <c r="AV57" s="10">
        <f t="shared" si="43"/>
        <v>0</v>
      </c>
      <c r="AW57" s="10"/>
      <c r="AX57" s="2">
        <f t="shared" si="25"/>
        <v>0</v>
      </c>
      <c r="AY57" s="2">
        <f>IFERROR((VLOOKUP($BO$1&amp;C13,TeamsViejaGloria!D:S,12,0)),0)</f>
        <v>0</v>
      </c>
      <c r="AZ57" s="2">
        <f>IFERROR((VLOOKUP($BO$1&amp;C13,TeamsViejaGloria!D:S,13,0)),0)</f>
        <v>0</v>
      </c>
      <c r="BA57" s="2">
        <f>IFERROR((VLOOKUP($BO$1&amp;C13,TeamsViejaGloria!D:S,14,0)),0)</f>
        <v>0</v>
      </c>
      <c r="BB57" s="2">
        <f>IFERROR((VLOOKUP($BO$1&amp;C13,TeamsViejaGloria!D:S,15,0)),0)</f>
        <v>0</v>
      </c>
      <c r="BC57" s="2">
        <f>IFERROR((VLOOKUP($BO$1&amp;C13,TeamsViejaGloria!D:S,16,0)),0)</f>
        <v>0</v>
      </c>
      <c r="BD57" s="2">
        <f t="shared" si="44"/>
        <v>0</v>
      </c>
      <c r="BE57" s="2">
        <f t="shared" si="26"/>
        <v>0</v>
      </c>
      <c r="BF57" s="2">
        <f t="shared" si="27"/>
        <v>0</v>
      </c>
      <c r="BG57" s="2">
        <f t="shared" si="28"/>
        <v>0</v>
      </c>
      <c r="BH57" s="2">
        <f t="shared" si="29"/>
        <v>0</v>
      </c>
      <c r="BI57" s="2">
        <f t="shared" si="30"/>
        <v>0</v>
      </c>
      <c r="BJ57">
        <f t="shared" si="45"/>
        <v>0</v>
      </c>
      <c r="BK57" s="2">
        <f t="shared" si="46"/>
        <v>0</v>
      </c>
      <c r="BL57" s="2">
        <f t="shared" si="47"/>
        <v>0</v>
      </c>
      <c r="BM57" s="2">
        <f t="shared" si="48"/>
        <v>0</v>
      </c>
      <c r="BN57" s="2"/>
      <c r="BO57" s="2"/>
      <c r="BP57" s="2"/>
      <c r="BR57">
        <f t="shared" si="49"/>
        <v>0</v>
      </c>
      <c r="BS57" s="2">
        <f t="shared" si="50"/>
        <v>0</v>
      </c>
      <c r="BT57" s="2">
        <f t="shared" si="51"/>
        <v>0</v>
      </c>
      <c r="BU57" s="2">
        <f t="shared" si="52"/>
        <v>0</v>
      </c>
      <c r="BV57" s="2"/>
      <c r="BW57" s="2"/>
      <c r="BX57" s="2">
        <f t="shared" si="31"/>
        <v>0</v>
      </c>
      <c r="BY57" s="2"/>
      <c r="BZ57" s="2">
        <f t="shared" si="32"/>
        <v>0</v>
      </c>
      <c r="CA57" s="2">
        <f t="shared" si="33"/>
        <v>0</v>
      </c>
      <c r="CB57" s="2">
        <f t="shared" si="34"/>
        <v>0</v>
      </c>
      <c r="CC57" s="2">
        <f t="shared" si="35"/>
        <v>0</v>
      </c>
      <c r="CD57" s="2">
        <f t="shared" si="36"/>
        <v>0</v>
      </c>
      <c r="CE57" s="2">
        <f t="shared" si="37"/>
        <v>0</v>
      </c>
      <c r="CF57" s="2"/>
      <c r="CG57" s="2">
        <f t="shared" si="53"/>
        <v>0</v>
      </c>
      <c r="CH57" s="2">
        <f t="shared" si="53"/>
        <v>0</v>
      </c>
      <c r="CI57" s="2">
        <f t="shared" si="53"/>
        <v>0</v>
      </c>
      <c r="CJ57" s="2">
        <f t="shared" si="53"/>
        <v>0</v>
      </c>
      <c r="CK57" s="2">
        <f t="shared" si="53"/>
        <v>0</v>
      </c>
      <c r="CL57" s="2">
        <f t="shared" si="53"/>
        <v>0</v>
      </c>
      <c r="CM57" s="2"/>
      <c r="CN57" s="2">
        <f t="shared" si="54"/>
        <v>0</v>
      </c>
      <c r="CO57" s="2">
        <f t="shared" si="39"/>
        <v>0</v>
      </c>
      <c r="CP57" s="2">
        <f t="shared" si="39"/>
        <v>0</v>
      </c>
      <c r="CQ57" s="2">
        <f t="shared" si="39"/>
        <v>0</v>
      </c>
      <c r="CR57" s="2">
        <f t="shared" si="39"/>
        <v>0</v>
      </c>
      <c r="CS57" s="2">
        <f t="shared" si="39"/>
        <v>0</v>
      </c>
      <c r="CT57" s="2"/>
      <c r="CU57" s="2">
        <f t="shared" si="40"/>
        <v>0</v>
      </c>
      <c r="CV57" s="2">
        <f t="shared" si="41"/>
        <v>0</v>
      </c>
      <c r="CW57" s="2">
        <f t="shared" si="42"/>
        <v>0</v>
      </c>
      <c r="CX57" s="2">
        <f t="shared" si="55"/>
        <v>0</v>
      </c>
      <c r="CY57" s="2">
        <f t="shared" si="56"/>
        <v>0</v>
      </c>
      <c r="CZ57" s="2">
        <f t="shared" si="57"/>
        <v>0</v>
      </c>
    </row>
    <row r="58" spans="2:104" ht="18" hidden="1" customHeight="1" x14ac:dyDescent="0.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10"/>
      <c r="AS58" s="10"/>
      <c r="AT58" s="10"/>
      <c r="AU58" s="10"/>
      <c r="AV58" s="10">
        <f t="shared" si="43"/>
        <v>0</v>
      </c>
      <c r="AW58" s="10"/>
      <c r="AX58" s="2">
        <f t="shared" si="25"/>
        <v>0</v>
      </c>
      <c r="AY58" s="2">
        <f>IFERROR((VLOOKUP($BO$1&amp;C14,TeamsViejaGloria!D:S,12,0)),0)</f>
        <v>0</v>
      </c>
      <c r="AZ58" s="2">
        <f>IFERROR((VLOOKUP($BO$1&amp;C14,TeamsViejaGloria!D:S,13,0)),0)</f>
        <v>0</v>
      </c>
      <c r="BA58" s="2">
        <f>IFERROR((VLOOKUP($BO$1&amp;C14,TeamsViejaGloria!D:S,14,0)),0)</f>
        <v>0</v>
      </c>
      <c r="BB58" s="2">
        <f>IFERROR((VLOOKUP($BO$1&amp;C14,TeamsViejaGloria!D:S,15,0)),0)</f>
        <v>0</v>
      </c>
      <c r="BC58" s="2">
        <f>IFERROR((VLOOKUP($BO$1&amp;C14,TeamsViejaGloria!D:S,16,0)),0)</f>
        <v>0</v>
      </c>
      <c r="BD58" s="2">
        <f t="shared" si="44"/>
        <v>0</v>
      </c>
      <c r="BE58" s="2">
        <f t="shared" si="26"/>
        <v>0</v>
      </c>
      <c r="BF58" s="2">
        <f t="shared" si="27"/>
        <v>0</v>
      </c>
      <c r="BG58" s="2">
        <f t="shared" si="28"/>
        <v>0</v>
      </c>
      <c r="BH58" s="2">
        <f t="shared" si="29"/>
        <v>0</v>
      </c>
      <c r="BI58" s="2">
        <f t="shared" si="30"/>
        <v>0</v>
      </c>
      <c r="BJ58">
        <f t="shared" si="45"/>
        <v>0</v>
      </c>
      <c r="BK58" s="2">
        <f t="shared" si="46"/>
        <v>0</v>
      </c>
      <c r="BL58" s="2">
        <f t="shared" si="47"/>
        <v>0</v>
      </c>
      <c r="BM58" s="2">
        <f t="shared" si="48"/>
        <v>0</v>
      </c>
      <c r="BN58" s="2"/>
      <c r="BO58" s="2"/>
      <c r="BP58" s="2"/>
      <c r="BR58">
        <f t="shared" si="49"/>
        <v>0</v>
      </c>
      <c r="BS58" s="2">
        <f t="shared" si="50"/>
        <v>0</v>
      </c>
      <c r="BT58" s="2">
        <f t="shared" si="51"/>
        <v>0</v>
      </c>
      <c r="BU58" s="2">
        <f t="shared" si="52"/>
        <v>0</v>
      </c>
      <c r="BV58" s="2"/>
      <c r="BW58" s="2"/>
      <c r="BX58" s="2">
        <f t="shared" si="31"/>
        <v>0</v>
      </c>
      <c r="BY58" s="2"/>
      <c r="BZ58" s="2">
        <f t="shared" si="32"/>
        <v>0</v>
      </c>
      <c r="CA58" s="2">
        <f t="shared" si="33"/>
        <v>0</v>
      </c>
      <c r="CB58" s="2">
        <f t="shared" si="34"/>
        <v>0</v>
      </c>
      <c r="CC58" s="2">
        <f t="shared" si="35"/>
        <v>0</v>
      </c>
      <c r="CD58" s="2">
        <f t="shared" si="36"/>
        <v>0</v>
      </c>
      <c r="CE58" s="2">
        <f t="shared" si="37"/>
        <v>0</v>
      </c>
      <c r="CF58" s="2"/>
      <c r="CG58" s="2">
        <f t="shared" si="53"/>
        <v>0</v>
      </c>
      <c r="CH58" s="2">
        <f t="shared" si="53"/>
        <v>0</v>
      </c>
      <c r="CI58" s="2">
        <f t="shared" si="53"/>
        <v>0</v>
      </c>
      <c r="CJ58" s="2">
        <f t="shared" si="53"/>
        <v>0</v>
      </c>
      <c r="CK58" s="2">
        <f t="shared" si="53"/>
        <v>0</v>
      </c>
      <c r="CL58" s="2">
        <f t="shared" si="53"/>
        <v>0</v>
      </c>
      <c r="CM58" s="2"/>
      <c r="CN58" s="2">
        <f t="shared" si="54"/>
        <v>0</v>
      </c>
      <c r="CO58" s="2">
        <f t="shared" si="39"/>
        <v>0</v>
      </c>
      <c r="CP58" s="2">
        <f t="shared" si="39"/>
        <v>0</v>
      </c>
      <c r="CQ58" s="2">
        <f t="shared" si="39"/>
        <v>0</v>
      </c>
      <c r="CR58" s="2">
        <f t="shared" si="39"/>
        <v>0</v>
      </c>
      <c r="CS58" s="2">
        <f t="shared" si="39"/>
        <v>0</v>
      </c>
      <c r="CT58" s="2"/>
      <c r="CU58" s="2">
        <f t="shared" si="40"/>
        <v>0</v>
      </c>
      <c r="CV58" s="2">
        <f t="shared" si="41"/>
        <v>0</v>
      </c>
      <c r="CW58" s="2">
        <f t="shared" si="42"/>
        <v>0</v>
      </c>
      <c r="CX58" s="2">
        <f t="shared" si="55"/>
        <v>0</v>
      </c>
      <c r="CY58" s="2">
        <f t="shared" si="56"/>
        <v>0</v>
      </c>
      <c r="CZ58" s="2">
        <f t="shared" si="57"/>
        <v>0</v>
      </c>
    </row>
    <row r="59" spans="2:104" ht="15" hidden="1" customHeight="1" x14ac:dyDescent="0.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10"/>
      <c r="AS59" s="10"/>
      <c r="AT59" s="10"/>
      <c r="AU59" s="10"/>
      <c r="AV59" s="10">
        <f t="shared" si="43"/>
        <v>0</v>
      </c>
      <c r="AW59" s="10"/>
      <c r="AX59" s="2">
        <f t="shared" si="25"/>
        <v>0</v>
      </c>
      <c r="AY59" s="2">
        <f>IFERROR((VLOOKUP($BO$1&amp;C15,TeamsViejaGloria!D:S,12,0)),0)</f>
        <v>0</v>
      </c>
      <c r="AZ59" s="2">
        <f>IFERROR((VLOOKUP($BO$1&amp;C15,TeamsViejaGloria!D:S,13,0)),0)</f>
        <v>0</v>
      </c>
      <c r="BA59" s="2">
        <f>IFERROR((VLOOKUP($BO$1&amp;C15,TeamsViejaGloria!D:S,14,0)),0)</f>
        <v>0</v>
      </c>
      <c r="BB59" s="2">
        <f>IFERROR((VLOOKUP($BO$1&amp;C15,TeamsViejaGloria!D:S,15,0)),0)</f>
        <v>0</v>
      </c>
      <c r="BC59" s="2">
        <f>IFERROR((VLOOKUP($BO$1&amp;C15,TeamsViejaGloria!D:S,16,0)),0)</f>
        <v>0</v>
      </c>
      <c r="BD59" s="2">
        <f t="shared" si="44"/>
        <v>0</v>
      </c>
      <c r="BE59" s="2">
        <f t="shared" si="26"/>
        <v>0</v>
      </c>
      <c r="BF59" s="2">
        <f t="shared" si="27"/>
        <v>0</v>
      </c>
      <c r="BG59" s="2">
        <f t="shared" si="28"/>
        <v>0</v>
      </c>
      <c r="BH59" s="2">
        <f t="shared" si="29"/>
        <v>0</v>
      </c>
      <c r="BI59" s="2">
        <f t="shared" si="30"/>
        <v>0</v>
      </c>
      <c r="BJ59">
        <f t="shared" si="45"/>
        <v>0</v>
      </c>
      <c r="BK59" s="2">
        <f t="shared" si="46"/>
        <v>0</v>
      </c>
      <c r="BL59" s="2">
        <f t="shared" si="47"/>
        <v>0</v>
      </c>
      <c r="BM59" s="2">
        <f t="shared" si="48"/>
        <v>0</v>
      </c>
      <c r="BN59" s="2"/>
      <c r="BO59" s="2"/>
      <c r="BP59" s="2"/>
      <c r="BR59">
        <f t="shared" si="49"/>
        <v>0</v>
      </c>
      <c r="BS59" s="2">
        <f t="shared" si="50"/>
        <v>0</v>
      </c>
      <c r="BT59" s="2">
        <f t="shared" si="51"/>
        <v>0</v>
      </c>
      <c r="BU59" s="2">
        <f t="shared" si="52"/>
        <v>0</v>
      </c>
      <c r="BV59" s="2"/>
      <c r="BW59" s="2"/>
      <c r="BX59" s="2">
        <f t="shared" si="31"/>
        <v>0</v>
      </c>
      <c r="BY59" s="2"/>
      <c r="BZ59" s="2">
        <f t="shared" si="32"/>
        <v>0</v>
      </c>
      <c r="CA59" s="2">
        <f t="shared" si="33"/>
        <v>0</v>
      </c>
      <c r="CB59" s="2">
        <f t="shared" si="34"/>
        <v>0</v>
      </c>
      <c r="CC59" s="2">
        <f t="shared" si="35"/>
        <v>0</v>
      </c>
      <c r="CD59" s="2">
        <f t="shared" si="36"/>
        <v>0</v>
      </c>
      <c r="CE59" s="2">
        <f t="shared" si="37"/>
        <v>0</v>
      </c>
      <c r="CF59" s="2"/>
      <c r="CG59" s="2">
        <f t="shared" si="53"/>
        <v>0</v>
      </c>
      <c r="CH59" s="2">
        <f t="shared" si="53"/>
        <v>0</v>
      </c>
      <c r="CI59" s="2">
        <f t="shared" si="53"/>
        <v>0</v>
      </c>
      <c r="CJ59" s="2">
        <f t="shared" si="53"/>
        <v>0</v>
      </c>
      <c r="CK59" s="2">
        <f t="shared" si="53"/>
        <v>0</v>
      </c>
      <c r="CL59" s="2">
        <f t="shared" si="53"/>
        <v>0</v>
      </c>
      <c r="CM59" s="2"/>
      <c r="CN59" s="2">
        <f t="shared" si="54"/>
        <v>0</v>
      </c>
      <c r="CO59" s="2">
        <f t="shared" si="39"/>
        <v>0</v>
      </c>
      <c r="CP59" s="2">
        <f t="shared" si="39"/>
        <v>0</v>
      </c>
      <c r="CQ59" s="2">
        <f t="shared" si="39"/>
        <v>0</v>
      </c>
      <c r="CR59" s="2">
        <f t="shared" si="39"/>
        <v>0</v>
      </c>
      <c r="CS59" s="2">
        <f t="shared" si="39"/>
        <v>0</v>
      </c>
      <c r="CT59" s="2"/>
      <c r="CU59" s="2">
        <f t="shared" si="40"/>
        <v>0</v>
      </c>
      <c r="CV59" s="2">
        <f t="shared" si="41"/>
        <v>0</v>
      </c>
      <c r="CW59" s="2">
        <f t="shared" si="42"/>
        <v>0</v>
      </c>
      <c r="CX59" s="2">
        <f t="shared" si="55"/>
        <v>0</v>
      </c>
      <c r="CY59" s="2">
        <f t="shared" si="56"/>
        <v>0</v>
      </c>
      <c r="CZ59" s="2">
        <f t="shared" si="57"/>
        <v>0</v>
      </c>
    </row>
    <row r="60" spans="2:104" ht="22.5" hidden="1" customHeight="1" x14ac:dyDescent="0.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10"/>
      <c r="AS60" s="10"/>
      <c r="AT60" s="10"/>
      <c r="AU60" s="10"/>
      <c r="AV60" s="10">
        <f t="shared" si="43"/>
        <v>0</v>
      </c>
      <c r="AW60" s="10"/>
      <c r="AX60" s="2">
        <f t="shared" si="25"/>
        <v>0</v>
      </c>
      <c r="AY60" s="2">
        <f>IFERROR((VLOOKUP($BO$1&amp;C16,TeamsViejaGloria!D:S,12,0)),0)</f>
        <v>0</v>
      </c>
      <c r="AZ60" s="2">
        <f>IFERROR((VLOOKUP($BO$1&amp;C16,TeamsViejaGloria!D:S,13,0)),0)</f>
        <v>0</v>
      </c>
      <c r="BA60" s="2">
        <f>IFERROR((VLOOKUP($BO$1&amp;C16,TeamsViejaGloria!D:S,14,0)),0)</f>
        <v>0</v>
      </c>
      <c r="BB60" s="2">
        <f>IFERROR((VLOOKUP($BO$1&amp;C16,TeamsViejaGloria!D:S,15,0)),0)</f>
        <v>0</v>
      </c>
      <c r="BC60" s="2">
        <f>IFERROR((VLOOKUP($BO$1&amp;C16,TeamsViejaGloria!D:S,16,0)),0)</f>
        <v>0</v>
      </c>
      <c r="BD60" s="2">
        <f t="shared" si="44"/>
        <v>0</v>
      </c>
      <c r="BE60" s="2">
        <f t="shared" si="26"/>
        <v>0</v>
      </c>
      <c r="BF60" s="2">
        <f t="shared" si="27"/>
        <v>0</v>
      </c>
      <c r="BG60" s="2">
        <f t="shared" si="28"/>
        <v>0</v>
      </c>
      <c r="BH60" s="2">
        <f t="shared" si="29"/>
        <v>0</v>
      </c>
      <c r="BI60" s="2">
        <f t="shared" si="30"/>
        <v>0</v>
      </c>
      <c r="BJ60">
        <f t="shared" si="45"/>
        <v>0</v>
      </c>
      <c r="BK60" s="2">
        <f t="shared" si="46"/>
        <v>0</v>
      </c>
      <c r="BL60" s="2">
        <f t="shared" si="47"/>
        <v>0</v>
      </c>
      <c r="BM60" s="2">
        <f t="shared" si="48"/>
        <v>0</v>
      </c>
      <c r="BN60" s="2"/>
      <c r="BO60" s="2"/>
      <c r="BP60" s="2"/>
      <c r="BR60">
        <f t="shared" si="49"/>
        <v>0</v>
      </c>
      <c r="BS60" s="2">
        <f t="shared" si="50"/>
        <v>0</v>
      </c>
      <c r="BT60" s="2">
        <f t="shared" si="51"/>
        <v>0</v>
      </c>
      <c r="BU60" s="2">
        <f t="shared" si="52"/>
        <v>0</v>
      </c>
      <c r="BV60" s="2"/>
      <c r="BW60" s="2"/>
      <c r="BX60" s="2">
        <f t="shared" si="31"/>
        <v>0</v>
      </c>
      <c r="BY60" s="2"/>
      <c r="BZ60" s="2">
        <f t="shared" si="32"/>
        <v>0</v>
      </c>
      <c r="CA60" s="2">
        <f t="shared" si="33"/>
        <v>0</v>
      </c>
      <c r="CB60" s="2">
        <f t="shared" si="34"/>
        <v>0</v>
      </c>
      <c r="CC60" s="2">
        <f t="shared" si="35"/>
        <v>0</v>
      </c>
      <c r="CD60" s="2">
        <f t="shared" si="36"/>
        <v>0</v>
      </c>
      <c r="CE60" s="2">
        <f t="shared" si="37"/>
        <v>0</v>
      </c>
      <c r="CF60" s="2"/>
      <c r="CG60" s="2">
        <f t="shared" si="53"/>
        <v>0</v>
      </c>
      <c r="CH60" s="2">
        <f t="shared" si="53"/>
        <v>0</v>
      </c>
      <c r="CI60" s="2">
        <f t="shared" si="53"/>
        <v>0</v>
      </c>
      <c r="CJ60" s="2">
        <f t="shared" si="53"/>
        <v>0</v>
      </c>
      <c r="CK60" s="2">
        <f t="shared" si="53"/>
        <v>0</v>
      </c>
      <c r="CL60" s="2">
        <f t="shared" si="53"/>
        <v>0</v>
      </c>
      <c r="CM60" s="2"/>
      <c r="CN60" s="2">
        <f t="shared" si="54"/>
        <v>0</v>
      </c>
      <c r="CO60" s="2">
        <f t="shared" si="39"/>
        <v>0</v>
      </c>
      <c r="CP60" s="2">
        <f t="shared" si="39"/>
        <v>0</v>
      </c>
      <c r="CQ60" s="2">
        <f t="shared" si="39"/>
        <v>0</v>
      </c>
      <c r="CR60" s="2">
        <f t="shared" si="39"/>
        <v>0</v>
      </c>
      <c r="CS60" s="2">
        <f t="shared" si="39"/>
        <v>0</v>
      </c>
      <c r="CT60" s="2"/>
      <c r="CU60" s="2">
        <f t="shared" si="40"/>
        <v>0</v>
      </c>
      <c r="CV60" s="2">
        <f t="shared" si="41"/>
        <v>0</v>
      </c>
      <c r="CW60" s="2">
        <f t="shared" si="42"/>
        <v>0</v>
      </c>
      <c r="CX60" s="2">
        <f t="shared" si="55"/>
        <v>0</v>
      </c>
      <c r="CY60" s="2">
        <f t="shared" si="56"/>
        <v>0</v>
      </c>
      <c r="CZ60" s="2">
        <f t="shared" si="57"/>
        <v>0</v>
      </c>
    </row>
    <row r="61" spans="2:104" ht="22.5" hidden="1" customHeigh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10"/>
      <c r="AS61" s="10"/>
      <c r="AT61" s="10"/>
      <c r="AU61" s="10"/>
      <c r="AV61" s="10">
        <f t="shared" si="43"/>
        <v>0</v>
      </c>
      <c r="AW61" s="10"/>
      <c r="AX61" s="2">
        <f t="shared" si="25"/>
        <v>0</v>
      </c>
      <c r="AY61" s="2">
        <f>IFERROR((VLOOKUP($BO$1&amp;C17,TeamsViejaGloria!D:S,12,0)),0)</f>
        <v>0</v>
      </c>
      <c r="AZ61" s="2">
        <f>IFERROR((VLOOKUP($BO$1&amp;C17,TeamsViejaGloria!D:S,13,0)),0)</f>
        <v>0</v>
      </c>
      <c r="BA61" s="2">
        <f>IFERROR((VLOOKUP($BO$1&amp;C17,TeamsViejaGloria!D:S,14,0)),0)</f>
        <v>0</v>
      </c>
      <c r="BB61" s="2">
        <f>IFERROR((VLOOKUP($BO$1&amp;C17,TeamsViejaGloria!D:S,15,0)),0)</f>
        <v>0</v>
      </c>
      <c r="BC61" s="2">
        <f>IFERROR((VLOOKUP($BO$1&amp;C17,TeamsViejaGloria!D:S,16,0)),0)</f>
        <v>0</v>
      </c>
      <c r="BD61" s="2">
        <f t="shared" si="44"/>
        <v>0</v>
      </c>
      <c r="BE61" s="2">
        <f t="shared" si="26"/>
        <v>0</v>
      </c>
      <c r="BF61" s="2">
        <f t="shared" si="27"/>
        <v>0</v>
      </c>
      <c r="BG61" s="2">
        <f t="shared" si="28"/>
        <v>0</v>
      </c>
      <c r="BH61" s="2">
        <f t="shared" si="29"/>
        <v>0</v>
      </c>
      <c r="BI61" s="2">
        <f>SUM(CG61:CS61)</f>
        <v>0</v>
      </c>
      <c r="BJ61">
        <f t="shared" si="45"/>
        <v>0</v>
      </c>
      <c r="BK61" s="2">
        <f t="shared" si="46"/>
        <v>0</v>
      </c>
      <c r="BL61" s="2">
        <f t="shared" si="47"/>
        <v>0</v>
      </c>
      <c r="BM61" s="2">
        <f t="shared" si="48"/>
        <v>0</v>
      </c>
      <c r="BN61" s="2"/>
      <c r="BO61" s="2"/>
      <c r="BP61" s="2"/>
      <c r="BR61">
        <f t="shared" si="49"/>
        <v>0</v>
      </c>
      <c r="BS61" s="2">
        <f t="shared" si="50"/>
        <v>0</v>
      </c>
      <c r="BT61" s="2">
        <f t="shared" si="51"/>
        <v>0</v>
      </c>
      <c r="BU61" s="2">
        <f t="shared" si="52"/>
        <v>0</v>
      </c>
      <c r="BV61" s="2"/>
      <c r="BW61" s="2"/>
      <c r="BX61" s="2">
        <f>(IF(BP61="G",AY61,IF(BP61="A",AZ61,IF(BP61="S",BA61,IF(BP61="P",BB61,IF(BP61="M",BC61,IF(BP61="X",0,IF(OR(BP61="MA",BP61="AV",BP61="ST",BP61="PA",BP61="AG"),"STAT",0))))))))</f>
        <v>0</v>
      </c>
      <c r="BY61" s="2"/>
      <c r="BZ61" s="2">
        <f t="shared" si="32"/>
        <v>0</v>
      </c>
      <c r="CA61" s="2">
        <f t="shared" si="33"/>
        <v>0</v>
      </c>
      <c r="CB61" s="2">
        <f t="shared" si="34"/>
        <v>0</v>
      </c>
      <c r="CC61" s="2">
        <f t="shared" si="35"/>
        <v>0</v>
      </c>
      <c r="CD61" s="2">
        <f t="shared" si="36"/>
        <v>0</v>
      </c>
      <c r="CE61" s="2">
        <f t="shared" si="37"/>
        <v>0</v>
      </c>
      <c r="CF61" s="2"/>
      <c r="CG61" s="2">
        <f t="shared" si="53"/>
        <v>0</v>
      </c>
      <c r="CH61" s="2">
        <f t="shared" si="53"/>
        <v>0</v>
      </c>
      <c r="CI61" s="2">
        <f t="shared" si="53"/>
        <v>0</v>
      </c>
      <c r="CJ61" s="2">
        <f t="shared" si="53"/>
        <v>0</v>
      </c>
      <c r="CK61" s="2">
        <f t="shared" si="53"/>
        <v>0</v>
      </c>
      <c r="CL61" s="2">
        <f>IF(BX61="P",$C$38,(IF(BX61="S",$K$38,0)))</f>
        <v>0</v>
      </c>
      <c r="CM61" s="2"/>
      <c r="CN61" s="2">
        <f t="shared" si="54"/>
        <v>0</v>
      </c>
      <c r="CO61" s="2">
        <f t="shared" si="39"/>
        <v>0</v>
      </c>
      <c r="CP61" s="2">
        <f t="shared" si="39"/>
        <v>0</v>
      </c>
      <c r="CQ61" s="2">
        <f t="shared" si="39"/>
        <v>0</v>
      </c>
      <c r="CR61" s="2">
        <f t="shared" si="39"/>
        <v>0</v>
      </c>
      <c r="CS61" s="2">
        <f t="shared" si="39"/>
        <v>0</v>
      </c>
      <c r="CT61" s="2"/>
      <c r="CU61" s="2">
        <f t="shared" si="40"/>
        <v>0</v>
      </c>
      <c r="CV61" s="2">
        <f t="shared" si="41"/>
        <v>0</v>
      </c>
      <c r="CW61" s="2">
        <f t="shared" si="42"/>
        <v>0</v>
      </c>
      <c r="CX61" s="2">
        <f t="shared" si="55"/>
        <v>0</v>
      </c>
      <c r="CY61" s="2">
        <f t="shared" si="56"/>
        <v>0</v>
      </c>
      <c r="CZ61" s="2">
        <f t="shared" si="57"/>
        <v>0</v>
      </c>
    </row>
    <row r="62" spans="2:104" ht="22.5" hidden="1" customHeight="1" x14ac:dyDescent="0.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10"/>
      <c r="AS62" s="10"/>
      <c r="AT62" s="10"/>
      <c r="AU62" s="10"/>
      <c r="AV62" s="10">
        <f>SUM(AV46:AV61)</f>
        <v>0</v>
      </c>
      <c r="AW62" s="10"/>
      <c r="AX62" s="2"/>
      <c r="AY62" s="2"/>
      <c r="AZ62" s="2"/>
      <c r="BA62" s="2"/>
      <c r="BB62" s="2"/>
      <c r="BC62" s="2"/>
      <c r="BD62" s="2"/>
      <c r="BE62" s="2"/>
      <c r="BI62" s="67"/>
      <c r="BJ62" s="67">
        <f>SUM(BJ46:BJ61)</f>
        <v>0</v>
      </c>
      <c r="BK62" s="2"/>
      <c r="BM62" s="2"/>
      <c r="BN62" s="2"/>
      <c r="BO62" s="2"/>
      <c r="BS62" s="11"/>
      <c r="BT62" s="2"/>
      <c r="BU62" s="3"/>
      <c r="BV62" s="3"/>
      <c r="BW62" s="2"/>
      <c r="BX62" s="2"/>
      <c r="BY62" s="2"/>
      <c r="BZ62" s="2"/>
      <c r="CA62" s="2"/>
      <c r="CB62" s="2"/>
      <c r="CC62" s="2"/>
      <c r="CD62" s="2"/>
      <c r="CE62" s="2"/>
      <c r="CF62" s="2"/>
      <c r="CG62" s="2" t="str">
        <f>VLOOKUP(CG63,TeamsViejaGloria!$D:$T,17,FALSE)</f>
        <v/>
      </c>
      <c r="CH62" s="2" t="str">
        <f>VLOOKUP(CH63,TeamsViejaGloria!$D:$T,17,FALSE)</f>
        <v/>
      </c>
      <c r="CI62" s="9" t="str">
        <f>VLOOKUP(CI63,TeamsViejaGloria!$D:$T,17,FALSE)</f>
        <v/>
      </c>
      <c r="CJ62" s="9" t="str">
        <f>VLOOKUP(CJ63,TeamsViejaGloria!$D:$T,17,FALSE)</f>
        <v/>
      </c>
      <c r="CK62" s="9" t="str">
        <f>VLOOKUP(CK63,TeamsViejaGloria!$D:$T,17,FALSE)</f>
        <v/>
      </c>
      <c r="CL62" s="9" t="str">
        <f>VLOOKUP(CL63,TeamsViejaGloria!$D:$T,17,FALSE)</f>
        <v/>
      </c>
      <c r="CM62" s="9" t="str">
        <f>VLOOKUP(CM63,TeamsViejaGloria!$D:$T,17,FALSE)</f>
        <v/>
      </c>
      <c r="CN62" s="9" t="str">
        <f>VLOOKUP(CN63,TeamsViejaGloria!$D:$T,17,FALSE)</f>
        <v/>
      </c>
      <c r="CO62" s="9" t="str">
        <f>VLOOKUP(CO63,TeamsViejaGloria!$D:$T,17,FALSE)</f>
        <v/>
      </c>
      <c r="CP62" s="9" t="str">
        <f>VLOOKUP(CP63,TeamsViejaGloria!$D:$T,17,FALSE)</f>
        <v/>
      </c>
      <c r="CQ62" s="9" t="str">
        <f>VLOOKUP(CQ63,TeamsViejaGloria!$D:$T,17,FALSE)</f>
        <v/>
      </c>
      <c r="CR62" s="9" t="str">
        <f>VLOOKUP(CR63,TeamsViejaGloria!$D:$T,17,FALSE)</f>
        <v/>
      </c>
      <c r="CS62" s="9" t="str">
        <f>VLOOKUP(CS63,TeamsViejaGloria!$D:$T,17,FALSE)</f>
        <v/>
      </c>
      <c r="CT62" s="9" t="str">
        <f>VLOOKUP(CT63,TeamsViejaGloria!$D:$T,17,FALSE)</f>
        <v/>
      </c>
      <c r="CU62" s="9" t="str">
        <f>VLOOKUP(CU63,TeamsViejaGloria!$D:$T,17,FALSE)</f>
        <v/>
      </c>
      <c r="CV62" s="9" t="str">
        <f>VLOOKUP(CV63,TeamsViejaGloria!$D:$T,17,FALSE)</f>
        <v/>
      </c>
      <c r="CW62" s="4"/>
      <c r="CX62" s="2"/>
      <c r="CY62" s="2"/>
      <c r="CZ62" s="2"/>
    </row>
    <row r="63" spans="2:104" ht="15" hidden="1" customHeight="1" x14ac:dyDescent="0.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1"/>
      <c r="AS63" s="1"/>
      <c r="AT63" s="1"/>
      <c r="AU63" s="1"/>
      <c r="AV63" s="1"/>
      <c r="AW63" s="1"/>
      <c r="AX63" s="2"/>
      <c r="AY63" s="2"/>
      <c r="AZ63" s="2"/>
      <c r="BA63" s="2"/>
      <c r="BB63" s="2"/>
      <c r="BC63" s="2"/>
      <c r="BD63" s="2"/>
      <c r="BE63" s="2"/>
      <c r="BK63" s="2"/>
      <c r="BM63" s="2"/>
      <c r="BN63" s="2"/>
      <c r="BO63" s="2"/>
      <c r="BS63" s="11"/>
      <c r="BT63" s="2"/>
      <c r="BU63" s="3"/>
      <c r="BV63" s="3"/>
      <c r="BW63" s="2"/>
      <c r="BX63" s="2"/>
      <c r="BY63" s="2"/>
      <c r="BZ63" s="2"/>
      <c r="CA63" s="2"/>
      <c r="CB63" s="2"/>
      <c r="CC63" s="2"/>
      <c r="CD63" s="2"/>
      <c r="CE63" s="2"/>
      <c r="CF63" s="2"/>
      <c r="CG63" s="69" t="str">
        <f>$BO$1&amp;$C2</f>
        <v>Old World Alliance</v>
      </c>
      <c r="CH63" s="69" t="str">
        <f>$BO$1&amp;$C3</f>
        <v>Old World Alliance</v>
      </c>
      <c r="CI63" s="69" t="str">
        <f>$BO$1&amp;$C4</f>
        <v>Old World Alliance</v>
      </c>
      <c r="CJ63" s="69" t="str">
        <f>$BO$1&amp;$C5</f>
        <v>Old World Alliance</v>
      </c>
      <c r="CK63" s="69" t="str">
        <f>$BO$1&amp;$C6</f>
        <v>Old World Alliance</v>
      </c>
      <c r="CL63" s="69" t="str">
        <f>$BO$1&amp;$C7</f>
        <v>Old World Alliance</v>
      </c>
      <c r="CM63" s="69" t="str">
        <f>$BO$1&amp;$C8</f>
        <v>Old World Alliance</v>
      </c>
      <c r="CN63" s="69" t="str">
        <f>$BO$1&amp;$C9</f>
        <v>Old World Alliance</v>
      </c>
      <c r="CO63" s="69" t="str">
        <f>$BO$1&amp;$C10</f>
        <v>Old World Alliance</v>
      </c>
      <c r="CP63" s="69" t="str">
        <f>$BO$1&amp;$C11</f>
        <v>Old World Alliance</v>
      </c>
      <c r="CQ63" s="69" t="str">
        <f>$BO$1&amp;$C12</f>
        <v>Old World Alliance</v>
      </c>
      <c r="CR63" s="69" t="str">
        <f>$BO$1&amp;$C13</f>
        <v>Old World Alliance</v>
      </c>
      <c r="CS63" s="69" t="str">
        <f>$BO$1&amp;$C14</f>
        <v>Old World Alliance</v>
      </c>
      <c r="CT63" s="69" t="str">
        <f>$BO$1&amp;$C15</f>
        <v>Old World Alliance</v>
      </c>
      <c r="CU63" s="69" t="str">
        <f>$BO$1&amp;$C16</f>
        <v>Old World Alliance</v>
      </c>
      <c r="CV63" s="69" t="str">
        <f>$BO$1&amp;$C17</f>
        <v>Old World Alliance</v>
      </c>
      <c r="CW63" s="70"/>
      <c r="CX63" s="2"/>
      <c r="CY63" s="2"/>
      <c r="CZ63" s="2"/>
    </row>
    <row r="64" spans="2:104" ht="15" hidden="1" customHeight="1" x14ac:dyDescent="0.2">
      <c r="B64" s="126" t="s">
        <v>184</v>
      </c>
      <c r="C64" s="123"/>
      <c r="D64" s="123"/>
      <c r="E64" s="123"/>
      <c r="F64" s="123"/>
      <c r="G64" s="2"/>
      <c r="H64" s="2"/>
      <c r="I64" s="2"/>
      <c r="J64" s="2"/>
      <c r="K64" s="126" t="s">
        <v>185</v>
      </c>
      <c r="L64" s="123"/>
      <c r="M64" s="123"/>
      <c r="N64" s="123"/>
      <c r="O64" s="123"/>
      <c r="P64" s="2"/>
      <c r="Q64" s="126" t="s">
        <v>186</v>
      </c>
      <c r="R64" s="123"/>
      <c r="S64" s="123"/>
      <c r="T64" s="123"/>
      <c r="U64" s="123"/>
      <c r="V64" s="2"/>
      <c r="W64" s="126" t="s">
        <v>187</v>
      </c>
      <c r="X64" s="123"/>
      <c r="Y64" s="123"/>
      <c r="Z64" s="123"/>
      <c r="AA64" s="123"/>
      <c r="AB64" s="2"/>
      <c r="AC64" s="126" t="s">
        <v>188</v>
      </c>
      <c r="AD64" s="123"/>
      <c r="AE64" s="123"/>
      <c r="AF64" s="123"/>
      <c r="AG64" s="123"/>
      <c r="AH64" s="2"/>
      <c r="AI64" s="2"/>
      <c r="AJ64" s="2"/>
      <c r="AK64" s="126" t="s">
        <v>189</v>
      </c>
      <c r="AL64" s="123"/>
      <c r="AM64" s="123"/>
      <c r="AN64" s="123"/>
      <c r="AO64" s="123"/>
      <c r="AP64" s="1"/>
      <c r="AQ64" s="1"/>
      <c r="AR64" s="68" t="s">
        <v>190</v>
      </c>
      <c r="AS64" s="68"/>
      <c r="AT64" s="68"/>
      <c r="AU64" s="68"/>
      <c r="AV64" s="68"/>
      <c r="AW64" s="68"/>
      <c r="AX64" s="68" t="s">
        <v>191</v>
      </c>
      <c r="AY64" s="68" t="s">
        <v>192</v>
      </c>
      <c r="AZ64" s="68" t="s">
        <v>193</v>
      </c>
      <c r="BA64" s="68" t="s">
        <v>194</v>
      </c>
      <c r="BB64" s="68" t="s">
        <v>195</v>
      </c>
      <c r="BC64" s="2"/>
      <c r="BD64" s="71" t="s">
        <v>117</v>
      </c>
      <c r="BF64" s="2"/>
      <c r="BG64" s="2"/>
      <c r="BH64" s="71" t="s">
        <v>109</v>
      </c>
      <c r="BK64" s="2"/>
      <c r="BL64" s="71" t="s">
        <v>127</v>
      </c>
      <c r="BM64" s="2"/>
      <c r="BO64" s="71" t="s">
        <v>133</v>
      </c>
      <c r="BP64" s="2"/>
      <c r="BR64" s="71" t="s">
        <v>143</v>
      </c>
      <c r="BS64" s="11"/>
      <c r="BT64" s="2"/>
      <c r="BU64" s="3"/>
      <c r="BV64" s="3"/>
      <c r="BW64" s="2"/>
      <c r="BX64" s="2"/>
      <c r="BY64" s="2"/>
      <c r="BZ64" s="2"/>
      <c r="CA64" s="2"/>
      <c r="CB64" s="2"/>
      <c r="CC64" s="2"/>
      <c r="CD64" s="2">
        <v>0</v>
      </c>
      <c r="CE64" s="2"/>
      <c r="CF64" s="2"/>
      <c r="CG64" s="15" t="s">
        <v>196</v>
      </c>
      <c r="CH64" s="15" t="s">
        <v>197</v>
      </c>
      <c r="CI64" s="11" t="s">
        <v>198</v>
      </c>
      <c r="CJ64" s="11" t="s">
        <v>199</v>
      </c>
      <c r="CK64" s="11" t="s">
        <v>200</v>
      </c>
      <c r="CL64" s="11" t="s">
        <v>201</v>
      </c>
      <c r="CM64" s="11" t="s">
        <v>202</v>
      </c>
      <c r="CN64" s="11" t="s">
        <v>203</v>
      </c>
      <c r="CO64" s="11" t="s">
        <v>204</v>
      </c>
      <c r="CP64" s="11" t="s">
        <v>205</v>
      </c>
      <c r="CQ64" s="11" t="s">
        <v>206</v>
      </c>
      <c r="CR64" s="11" t="s">
        <v>207</v>
      </c>
      <c r="CS64" s="11" t="s">
        <v>208</v>
      </c>
      <c r="CT64" s="11" t="s">
        <v>209</v>
      </c>
      <c r="CU64" s="11" t="s">
        <v>210</v>
      </c>
      <c r="CV64" s="11" t="s">
        <v>211</v>
      </c>
      <c r="CW64" s="4"/>
      <c r="CX64" s="2"/>
      <c r="CY64" s="2"/>
      <c r="CZ64" s="2"/>
    </row>
    <row r="65" spans="2:104" ht="15" hidden="1" customHeight="1" x14ac:dyDescent="0.2">
      <c r="B65" s="122" t="str">
        <f>IF(J29&lt;0,(IF(J24="Italiano","AVETE SPESO TROPPO!   ",IF(J24="Español","¡HAS GASTADO DEMASIADO!   ",(IF(J24="Deutsch","ZU VIEL AUSGEGEBEN!   ",(IF(J24="Français","TU DÉPENSES TROP!   ","YOU HAVE EXPENT TOO MUCH!   "))))))),"")</f>
        <v/>
      </c>
      <c r="C65" s="123"/>
      <c r="D65" s="123"/>
      <c r="E65" s="123"/>
      <c r="F65" s="123"/>
      <c r="G65" s="2"/>
      <c r="H65" s="2"/>
      <c r="I65" s="2"/>
      <c r="J65" s="2"/>
      <c r="K65" s="5" t="s">
        <v>172</v>
      </c>
      <c r="L65" s="5" t="s">
        <v>176</v>
      </c>
      <c r="M65" s="5" t="s">
        <v>174</v>
      </c>
      <c r="N65" s="5" t="s">
        <v>175</v>
      </c>
      <c r="O65" s="5" t="s">
        <v>173</v>
      </c>
      <c r="P65" s="2"/>
      <c r="Q65" s="5" t="s">
        <v>172</v>
      </c>
      <c r="R65" s="5" t="s">
        <v>176</v>
      </c>
      <c r="S65" s="5" t="s">
        <v>174</v>
      </c>
      <c r="T65" s="5" t="s">
        <v>175</v>
      </c>
      <c r="U65" s="5" t="s">
        <v>173</v>
      </c>
      <c r="V65" s="2"/>
      <c r="W65" s="5" t="s">
        <v>172</v>
      </c>
      <c r="X65" s="5" t="s">
        <v>176</v>
      </c>
      <c r="Y65" s="5" t="s">
        <v>174</v>
      </c>
      <c r="Z65" s="5" t="s">
        <v>175</v>
      </c>
      <c r="AA65" s="5" t="s">
        <v>173</v>
      </c>
      <c r="AB65" s="2"/>
      <c r="AC65" s="5" t="s">
        <v>172</v>
      </c>
      <c r="AD65" s="5" t="s">
        <v>176</v>
      </c>
      <c r="AE65" s="5" t="s">
        <v>174</v>
      </c>
      <c r="AF65" s="5" t="s">
        <v>175</v>
      </c>
      <c r="AG65" s="5" t="s">
        <v>173</v>
      </c>
      <c r="AH65" s="2"/>
      <c r="AI65" s="2" t="str">
        <f>IF(J24="English","NI",(IF(J24="Español","LP",(IF(J24="Deutsch","HV",(IF(J24="Français","BP")))))))</f>
        <v>LP</v>
      </c>
      <c r="AJ65" s="2"/>
      <c r="AK65" s="5" t="s">
        <v>172</v>
      </c>
      <c r="AL65" s="5" t="s">
        <v>176</v>
      </c>
      <c r="AM65" s="5" t="s">
        <v>174</v>
      </c>
      <c r="AN65" s="5" t="s">
        <v>175</v>
      </c>
      <c r="AO65" s="5" t="s">
        <v>173</v>
      </c>
      <c r="AP65" s="1"/>
      <c r="AQ65" s="12" t="s">
        <v>165</v>
      </c>
      <c r="AR65" s="2">
        <v>0</v>
      </c>
      <c r="AS65" s="13" t="s">
        <v>165</v>
      </c>
      <c r="AU65" s="2"/>
      <c r="AV65" s="2"/>
      <c r="AW65" s="2"/>
      <c r="AX65" s="2">
        <f>(COUNTIF(BS46:BU61,"P"))</f>
        <v>0</v>
      </c>
      <c r="AY65" s="2">
        <f>(COUNTIF(BS46:BU61,"S"))</f>
        <v>0</v>
      </c>
      <c r="AZ65" s="2">
        <f>48-(COUNT(BS46:BU61))</f>
        <v>0</v>
      </c>
      <c r="BA65" s="2">
        <f>COUNTIF(BS46:BX61,"STAT")</f>
        <v>0</v>
      </c>
      <c r="BB65" s="2">
        <f>COUNTIF(I18:I19,1)</f>
        <v>0</v>
      </c>
      <c r="BC65" s="2"/>
      <c r="BD65" s="72" t="s">
        <v>212</v>
      </c>
      <c r="BE65" s="73">
        <v>100000</v>
      </c>
      <c r="BF65" s="73"/>
      <c r="BG65" s="2"/>
      <c r="BH65" s="74" t="str">
        <f>IF(J24="Español","HECHICERO-DEPORTIVO MERCENARIO",(IF(J24="Deutsch","SPORT-ZAUBERER",(IF(J24="Français","SORCIER-SPORTIF A GAGES","HIRELING SPORT-WIZARD")))))</f>
        <v>HECHICERO-DEPORTIVO MERCENARIO</v>
      </c>
      <c r="BI65" s="73">
        <v>150000</v>
      </c>
      <c r="BJ65" s="73"/>
      <c r="BK65" s="2"/>
      <c r="BL65" s="72" t="s">
        <v>1066</v>
      </c>
      <c r="BM65" s="73">
        <f>IFERROR(IF($BV$2="Bribery and Corruption",80000,120000),0)</f>
        <v>120000</v>
      </c>
      <c r="BN65" s="73"/>
      <c r="BO65" s="72" t="s">
        <v>1071</v>
      </c>
      <c r="BP65" s="73">
        <f>IFERROR((IF(OR(COUNTIF($BU$2,"*BadlandsBrawl*")),50000,0)),0)</f>
        <v>0</v>
      </c>
      <c r="BR65" s="72" t="s">
        <v>1079</v>
      </c>
      <c r="BS65" s="125" t="s">
        <v>213</v>
      </c>
      <c r="BT65" s="125"/>
      <c r="BU65" s="125" t="s">
        <v>170</v>
      </c>
      <c r="BV65" s="125"/>
      <c r="BW65" s="125" t="s">
        <v>171</v>
      </c>
      <c r="BX65" s="125"/>
      <c r="BY65" s="125" t="s">
        <v>214</v>
      </c>
      <c r="BZ65" s="125"/>
      <c r="CA65" s="21" t="str">
        <f>IF($J$24="Italiano","Scelto",(IF($J$24="Español","Elegida",(IF($J$24="Deutsch","Gewählt",(IF($J$24="Français","Choisie","Chosen")))))))</f>
        <v>Elegida</v>
      </c>
      <c r="CB65" s="2"/>
      <c r="CC65" s="21" t="str">
        <f t="shared" ref="CC65:CD69" si="58">""</f>
        <v/>
      </c>
      <c r="CD65" s="21" t="str">
        <f t="shared" si="58"/>
        <v/>
      </c>
      <c r="CE65" s="2"/>
      <c r="CF65" s="2"/>
      <c r="CG65" s="2" t="str">
        <f>IFERROR((IF($CG$62="M",BW66,IF($CG$62="PM",BY66,IF($CG$62="P",BU66,IF($CG$62="FULL",BS66,IF($CG$62="GPSM",CA70,"")))))),"")</f>
        <v/>
      </c>
      <c r="CH65" s="2" t="str">
        <f>IFERROR((IF($CH$62="M",BW66,IF($CH$62="PM",BY66,IF($CH$62="P",BU66,IF($CH$62="FULL",BS66,IF($CH$62="GPSM",CA70,"")))))),"")</f>
        <v/>
      </c>
      <c r="CI65" s="2" t="str">
        <f>IFERROR((IF($CI$62="M",BW66,IF($CI$62="PM",BY66,IF($CI$62="P",BU66,IF($CI$62="FULL",BS66,IF($CI$62="GPSM",CA70,"")))))),"")</f>
        <v/>
      </c>
      <c r="CJ65" s="2" t="str">
        <f>IFERROR((IF($CJ$62="M",BW66,IF($CJ$62="PM",BY66,IF($CJ$62="P",BU66,IF($CJ$62="FULL",BS66,IF($CJ$62="GPSM",CA70,"")))))),"")</f>
        <v/>
      </c>
      <c r="CK65" s="2" t="str">
        <f>IFERROR((IF($CK$62="M",BW66,IF($CK$62="PM",BY66,IF($CK$62="P",BU66,IF($CK$62="FULL",BS66,IF($CK$62="GPSM",CA70,"")))))),"")</f>
        <v/>
      </c>
      <c r="CL65" s="2" t="str">
        <f>IFERROR((IF($CL$62="M",BW66,IF($CL$62="PM",BY66,IF($CL$62="P",BU66,IF($CL$62="FULL",BS66,IF($CL$62="GPSM",CA70,"")))))),"")</f>
        <v/>
      </c>
      <c r="CM65" s="2" t="str">
        <f>IFERROR((IF($CM$62="M",BW66,IF($CM$62="PM",BY66,IF($CM$62="P",BU66,IF($CM$62="FULL",BS66,IF($CM$62="GPSM",CA70,"")))))),"")</f>
        <v/>
      </c>
      <c r="CN65" s="2" t="str">
        <f>IFERROR((IF($CN$62="M",BW66,IF($CN$62="PM",BY66,IF($CN$62="P",BU66,IF($CN$62="FULL",BS66,IF($CN$62="GPSM",CA70,"")))))),"")</f>
        <v/>
      </c>
      <c r="CO65" s="2" t="str">
        <f>IFERROR((IF($CO$62="M",BW66,IF($CO$62="PM",BY66,IF($CO$62="P",BU66,IF($CO$62="FULL",BS66,IF($CO$62="GPSM",CA70,"")))))),"")</f>
        <v/>
      </c>
      <c r="CP65" s="2" t="str">
        <f>IFERROR((IF($CP$62="M",BW66,IF($CP$62="PM",BY66,IF($CP$62="P",BU66,IF($CP$62="FULL",BS66,IF($CP$62="GPSM",CA70,"")))))),"")</f>
        <v/>
      </c>
      <c r="CQ65" s="2" t="str">
        <f>IFERROR((IF($CQ$62="M",BW66,IF($CQ$62="PM",BY66,IF($CQ$62="P",BU66,IF($CQ$62="FULL",BS66,IF($CQ$62="GPSM",CA70,"")))))),"")</f>
        <v/>
      </c>
      <c r="CR65" s="2" t="str">
        <f>IFERROR((IF($CR$62="M",BW66,IF($CR$62="PM",BY66,IF($CR$62="P",BU66,IF($CR$62="FULL",BS66,IF($CR$62="GPSM",CA70,"")))))),"")</f>
        <v/>
      </c>
      <c r="CS65" s="2" t="str">
        <f>IFERROR((IF($CS$62="M",BW66,IF($CS$62="PM",BY66,IF($CS$62="P",BU66,IF($CS$62="FULL",BS66,IF($CS$62="GPSM",CA70,"")))))),"")</f>
        <v/>
      </c>
      <c r="CT65" s="2" t="str">
        <f>IFERROR((IF($CT$62="M",BW66,IF($CT$62="PM",BY66,IF($CT$62="P",BU66,IF($CT$62="FULL",BS66,IF($CT$62="GPSM",CA70,"")))))),"")</f>
        <v/>
      </c>
      <c r="CU65" s="2" t="str">
        <f>IFERROR((IF($CU$62="M",BW66,IF($CU$62="PM",BY66,IF($CU$62="P",BU66,IF($CU$62="FULL",BS66,IF($CU$62="GPSM",CA70,"")))))),"")</f>
        <v/>
      </c>
      <c r="CV65" s="2" t="str">
        <f>IFERROR((IF($CV$62="M",BW66,IF($CV$62="PM",BY66,IF($CV$62="P",BU66,IF($CV$62="FULL",BS66,IF($CV$62="GPSM",CA70,"")))))),"")</f>
        <v/>
      </c>
      <c r="CW65" s="2"/>
      <c r="CX65" s="2"/>
      <c r="CY65" s="2"/>
      <c r="CZ65" s="2"/>
    </row>
    <row r="66" spans="2:104" ht="15" hidden="1" customHeight="1" x14ac:dyDescent="0.2">
      <c r="B66" s="122" t="str">
        <f>IF(BR45&gt;0,(IF(J24="Italiano","NON SI POSSONO IMPILARE LE ABILITÀ!   ",IF(J24="Español","¡NO PUEDES APILAR HABILIDADES!   ",(IF(J24="Deutsch","SIE KÖNNEN KEINE FERTIGKEITEN STAPELN!   ",(IF(J24="Français","VOUS NE POUVEZ PAS EMPILER LES COMPÉTENCES!   ","YOU CANNOT STACK SKILLS!   "))))))),"")</f>
        <v/>
      </c>
      <c r="C66" s="123"/>
      <c r="D66" s="123"/>
      <c r="E66" s="123"/>
      <c r="F66" s="123"/>
      <c r="G66" s="2"/>
      <c r="H66" s="2"/>
      <c r="I66" s="2"/>
      <c r="J66" s="2"/>
      <c r="K66" s="2">
        <f>IF(Q66=0,0,(IF(Q66&gt;9,9,(IF(Q66&lt;1,1,Q66)))))</f>
        <v>0</v>
      </c>
      <c r="L66" s="2">
        <f t="shared" ref="L66:L81" si="59">IF(R66=0,0,(IF(R66&gt;8,8,(IF(R66&lt;1,1,R66)))))</f>
        <v>0</v>
      </c>
      <c r="M66" s="2">
        <f t="shared" ref="M66:N81" si="60">IF(S66=0,0,(IF(S66&gt;6,6,(IF(S66&lt;1,1,S66)))))</f>
        <v>0</v>
      </c>
      <c r="N66" s="2">
        <f t="shared" si="60"/>
        <v>0</v>
      </c>
      <c r="O66" s="2">
        <f t="shared" ref="O66:O81" si="61">IF(U66=0,0,(IF(U66&gt;11,11,(IF(U66&lt;3,3,U66)))))</f>
        <v>0</v>
      </c>
      <c r="P66" s="2"/>
      <c r="Q66" s="1">
        <f>IFERROR((VLOOKUP($BO$1&amp;C2,TeamsViejaGloria!D:M,2,0)+AK66+AC66),0)</f>
        <v>0</v>
      </c>
      <c r="R66" s="1">
        <f>IFERROR((VLOOKUP($BO$1&amp;C2,TeamsViejaGloria!D:M,3,0)+AL66+AD66),0)</f>
        <v>0</v>
      </c>
      <c r="S66" s="1">
        <f>IFERROR((VLOOKUP($BO$1&amp;C2,TeamsViejaGloria!D:M,4,0)+AM66-AE66),0)</f>
        <v>0</v>
      </c>
      <c r="T66" s="1">
        <f>IFERROR((VLOOKUP($BO$1&amp;C2,TeamsViejaGloria!D:M,5,0)+AN66-AF66),0)</f>
        <v>0</v>
      </c>
      <c r="U66" s="1">
        <f>IFERROR((VLOOKUP($BO$1&amp;C2,TeamsViejaGloria!D:M,6,0)+AO66+AG66),0)</f>
        <v>0</v>
      </c>
      <c r="V66" s="2"/>
      <c r="W66" s="2">
        <f>IFERROR((VLOOKUP($BO$1&amp;C2,TeamsViejaGloria!D:M,2,0)),0)</f>
        <v>0</v>
      </c>
      <c r="X66" s="2">
        <f>IFERROR((VLOOKUP($BO$1&amp;C2,TeamsViejaGloria!D:M,3,0)),0)</f>
        <v>0</v>
      </c>
      <c r="Y66" s="2">
        <f>IFERROR((VLOOKUP($BO$1&amp;C2,TeamsViejaGloria!D:M,4,0)),0)</f>
        <v>0</v>
      </c>
      <c r="Z66" s="2">
        <f>IFERROR((VLOOKUP($BO$1&amp;C2,TeamsViejaGloria!D:M,5,0)),0)</f>
        <v>0</v>
      </c>
      <c r="AA66" s="2">
        <f>IFERROR((VLOOKUP($BO$1&amp;C2,TeamsViejaGloria!D:M,6,0)),0)</f>
        <v>0</v>
      </c>
      <c r="AB66" s="2"/>
      <c r="AC66" s="2">
        <f t="shared" ref="AC66:AC81" si="62">IF((COUNTIF(BK46:BP46,"MA"))&gt;2,2,(COUNTIF(BK46:BP46,"MA")))</f>
        <v>0</v>
      </c>
      <c r="AD66" s="2">
        <f t="shared" ref="AD66:AD81" si="63">IF((COUNTIF(BK46:BP46,"ST"))&gt;2,2,(COUNTIF(BK46:BP46,"ST")))</f>
        <v>0</v>
      </c>
      <c r="AE66" s="2">
        <f t="shared" ref="AE66:AE81" si="64">IF((COUNTIF(BK46:BP46,"AG"))&gt;2,2,(COUNTIF(BK46:BP46,"AG")))</f>
        <v>0</v>
      </c>
      <c r="AF66" s="2">
        <f t="shared" ref="AF66:AF81" si="65">IF((COUNTIF(BK46:BP46,"PA"))&gt;2,2,(COUNTIF(BK46:BP46,"PA")))</f>
        <v>0</v>
      </c>
      <c r="AG66" s="2">
        <f t="shared" ref="AG66:AG81" si="66">IF((COUNTIF(BK46:BP46,"AV"))&gt;2,2,(COUNTIF(BK46:BP46,"AV")))</f>
        <v>0</v>
      </c>
      <c r="AH66" s="2"/>
      <c r="AJ66" s="2"/>
      <c r="AK66" s="1"/>
      <c r="AL66" s="1"/>
      <c r="AM66" s="1"/>
      <c r="AN66" s="1"/>
      <c r="AO66" s="1"/>
      <c r="AP66" s="1"/>
      <c r="AQ66" s="12">
        <v>1</v>
      </c>
      <c r="AR66" s="12">
        <v>600000</v>
      </c>
      <c r="AS66" s="12">
        <v>10000</v>
      </c>
      <c r="AT66" s="76" t="str">
        <f>IF(J24="English","-1 MA",(IF(J24="Español","-1 MO",(IF(J24="Deutsch","-1 BE",(IF(J24="Français","-1 M")))))))</f>
        <v>-1 MO</v>
      </c>
      <c r="AU66" s="1"/>
      <c r="AV66" s="1"/>
      <c r="AW66" s="1"/>
      <c r="AX66" s="68"/>
      <c r="AY66" s="2"/>
      <c r="AZ66" s="2"/>
      <c r="BA66" s="2"/>
      <c r="BB66" s="2"/>
      <c r="BC66" s="73"/>
      <c r="BD66" s="72" t="s">
        <v>1047</v>
      </c>
      <c r="BE66" s="73">
        <f>IFERROR((IF(OR(COUNTIF($BU$2,"*ElvenKingdomsLeague*"),COUNTIF($BU$2,"*LustrianSuperleague*"),COUNTIF($BU$2,"*OldWorldClassic*"),COUNTIF($BU$2,"*WorldsEdgeSuperleague*")),50000,0)),0)</f>
        <v>50000</v>
      </c>
      <c r="BF66" s="73"/>
      <c r="BH66" s="72" t="s">
        <v>1056</v>
      </c>
      <c r="BI66" s="73">
        <f>IFERROR((IF(OR(COUNTIF($BU$2,"*Favouredof*"),COUNTIF($BU$2,"*UnderworldChallenge*")),150000,0)),0)</f>
        <v>0</v>
      </c>
      <c r="BJ66" s="73"/>
      <c r="BK66" s="2"/>
      <c r="BL66" s="72" t="s">
        <v>1067</v>
      </c>
      <c r="BM66" s="73">
        <f>IFERROR((IF(OR(COUNTIF($BU$2,"*LustrianSuperleague*"),COUNTIF($BU$2,"*OldWorldClassic*")),130000,0)),0)</f>
        <v>130000</v>
      </c>
      <c r="BN66" s="73"/>
      <c r="BO66" s="72" t="s">
        <v>1072</v>
      </c>
      <c r="BP66" s="73">
        <f>IFERROR((IF(OR(COUNTIF(BO2,"*Nurgle*")),30000,0)),0)</f>
        <v>0</v>
      </c>
      <c r="BR66" s="72" t="s">
        <v>1080</v>
      </c>
      <c r="BS66" s="21" t="str">
        <f t="shared" ref="BS66:CB75" si="67">""</f>
        <v/>
      </c>
      <c r="BT66" s="21" t="str">
        <f t="shared" si="67"/>
        <v/>
      </c>
      <c r="BU66" s="21" t="str">
        <f t="shared" si="67"/>
        <v/>
      </c>
      <c r="BV66" s="21" t="str">
        <f t="shared" si="67"/>
        <v/>
      </c>
      <c r="BW66" s="21" t="str">
        <f t="shared" si="67"/>
        <v/>
      </c>
      <c r="BX66" s="21" t="str">
        <f t="shared" si="67"/>
        <v/>
      </c>
      <c r="BY66" s="21" t="str">
        <f t="shared" si="67"/>
        <v/>
      </c>
      <c r="BZ66" s="21" t="str">
        <f t="shared" si="67"/>
        <v/>
      </c>
      <c r="CA66" s="21" t="str">
        <f>IF($J$24="Italiano","Casuale",(IF($J$24="Español","Aleatoria",(IF($J$24="Deutsch","Zufällig",(IF($J$24="Français","Aléatoire","Random")))))))</f>
        <v>Aleatoria</v>
      </c>
      <c r="CB66" s="2"/>
      <c r="CC66" s="21" t="str">
        <f t="shared" si="58"/>
        <v/>
      </c>
      <c r="CD66" s="21" t="str">
        <f t="shared" si="58"/>
        <v/>
      </c>
      <c r="CE66" s="2"/>
      <c r="CF66" s="2"/>
      <c r="CG66" s="2" t="str">
        <f t="shared" ref="CG66:CG129" si="68">IFERROR((IF($CG$62="M",BW67,IF($CG$62="PM",BY67,IF($CG$62="P",BU67,IF($CG$62="FULL",BS67,IF($CG$62="GPSM",CA71,"")))))),"")</f>
        <v/>
      </c>
      <c r="CH66" s="2" t="str">
        <f t="shared" ref="CH66:CH129" si="69">IFERROR((IF($CH$62="M",BW67,IF($CH$62="PM",BY67,IF($CH$62="P",BU67,IF($CH$62="FULL",BS67,IF($CH$62="GPSM",CA71,"")))))),"")</f>
        <v/>
      </c>
      <c r="CI66" s="2" t="str">
        <f t="shared" ref="CI66:CI129" si="70">IFERROR((IF($CI$62="M",BW67,IF($CI$62="PM",BY67,IF($CI$62="P",BU67,IF($CI$62="FULL",BS67,IF($CI$62="GPSM",CA71,"")))))),"")</f>
        <v/>
      </c>
      <c r="CJ66" s="2" t="str">
        <f t="shared" ref="CJ66:CJ129" si="71">IFERROR((IF($CJ$62="M",BW67,IF($CJ$62="PM",BY67,IF($CJ$62="P",BU67,IF($CJ$62="FULL",BS67,IF($CJ$62="GPSM",CA71,"")))))),"")</f>
        <v/>
      </c>
      <c r="CK66" s="2" t="str">
        <f t="shared" ref="CK66:CK129" si="72">IFERROR((IF($CK$62="M",BW67,IF($CK$62="PM",BY67,IF($CK$62="P",BU67,IF($CK$62="FULL",BS67,IF($CK$62="GPSM",CA71,"")))))),"")</f>
        <v/>
      </c>
      <c r="CL66" s="2" t="str">
        <f t="shared" ref="CL66:CL129" si="73">IFERROR((IF($CL$62="M",BW67,IF($CL$62="PM",BY67,IF($CL$62="P",BU67,IF($CL$62="FULL",BS67,IF($CL$62="GPSM",CA71,"")))))),"")</f>
        <v/>
      </c>
      <c r="CM66" s="2" t="str">
        <f t="shared" ref="CM66:CM129" si="74">IFERROR((IF($CM$62="M",BW67,IF($CM$62="PM",BY67,IF($CM$62="P",BU67,IF($CM$62="FULL",BS67,IF($CM$62="GPSM",CA71,"")))))),"")</f>
        <v/>
      </c>
      <c r="CN66" s="2" t="str">
        <f t="shared" ref="CN66:CN129" si="75">IFERROR((IF($CN$62="M",BW67,IF($CN$62="PM",BY67,IF($CN$62="P",BU67,IF($CN$62="FULL",BS67,IF($CN$62="GPSM",CA71,"")))))),"")</f>
        <v/>
      </c>
      <c r="CO66" s="2" t="str">
        <f t="shared" ref="CO66:CO129" si="76">IFERROR((IF($CO$62="M",BW67,IF($CO$62="PM",BY67,IF($CO$62="P",BU67,IF($CO$62="FULL",BS67,IF($CO$62="GPSM",CA71,"")))))),"")</f>
        <v/>
      </c>
      <c r="CP66" s="2" t="str">
        <f t="shared" ref="CP66:CP129" si="77">IFERROR((IF($CP$62="M",BW67,IF($CP$62="PM",BY67,IF($CP$62="P",BU67,IF($CP$62="FULL",BS67,IF($CP$62="GPSM",CA71,"")))))),"")</f>
        <v/>
      </c>
      <c r="CQ66" s="2" t="str">
        <f t="shared" ref="CQ66:CQ129" si="78">IFERROR((IF($CQ$62="M",BW67,IF($CQ$62="PM",BY67,IF($CQ$62="P",BU67,IF($CQ$62="FULL",BS67,IF($CQ$62="GPSM",CA71,"")))))),"")</f>
        <v/>
      </c>
      <c r="CR66" s="2" t="str">
        <f t="shared" ref="CR66:CR129" si="79">IFERROR((IF($CR$62="M",BW67,IF($CR$62="PM",BY67,IF($CR$62="P",BU67,IF($CR$62="FULL",BS67,IF($CR$62="GPSM",CA71,"")))))),"")</f>
        <v/>
      </c>
      <c r="CS66" s="2" t="str">
        <f t="shared" ref="CS66:CS129" si="80">IFERROR((IF($CS$62="M",BW67,IF($CS$62="PM",BY67,IF($CS$62="P",BU67,IF($CS$62="FULL",BS67,IF($CS$62="GPSM",CA71,"")))))),"")</f>
        <v/>
      </c>
      <c r="CT66" s="2" t="str">
        <f t="shared" ref="CT66:CT129" si="81">IFERROR((IF($CT$62="M",BW67,IF($CT$62="PM",BY67,IF($CT$62="P",BU67,IF($CT$62="FULL",BS67,IF($CT$62="GPSM",CA71,"")))))),"")</f>
        <v/>
      </c>
      <c r="CU66" s="2" t="str">
        <f t="shared" ref="CU66:CU129" si="82">IFERROR((IF($CU$62="M",BW67,IF($CU$62="PM",BY67,IF($CU$62="P",BU67,IF($CU$62="FULL",BS67,IF($CU$62="GPSM",CA71,"")))))),"")</f>
        <v/>
      </c>
      <c r="CV66" s="2" t="str">
        <f t="shared" ref="CV66:CV129" si="83">IFERROR((IF($CV$62="M",BW67,IF($CV$62="PM",BY67,IF($CV$62="P",BU67,IF($CV$62="FULL",BS67,IF($CV$62="GPSM",CA71,"")))))),"")</f>
        <v/>
      </c>
      <c r="CW66" s="2"/>
      <c r="CX66" s="2"/>
      <c r="CY66" s="2"/>
      <c r="CZ66" s="2"/>
    </row>
    <row r="67" spans="2:104" ht="15" hidden="1" customHeight="1" x14ac:dyDescent="0.2">
      <c r="B67" s="122" t="str">
        <f>IF(C37&lt;AZ65,(IF(J24="Italiano","TROPPE ABILITÀ!   ",IF(J24="Español","¡DEMASIADAS HABILIDADES!   ",(IF(J24="Deutsch","ZU VIELE FERTIGKEITEN!   ",(IF(J24="Français","TROP DE COMPÉTENCES!   ","TOO MANY SKILLS!   "))))))),"")</f>
        <v/>
      </c>
      <c r="C67" s="123"/>
      <c r="D67" s="123"/>
      <c r="E67" s="123"/>
      <c r="F67" s="123"/>
      <c r="G67" s="2"/>
      <c r="H67" s="2"/>
      <c r="I67" s="2"/>
      <c r="J67" s="2"/>
      <c r="K67" s="2">
        <f t="shared" ref="K67:K81" si="84">IF(Q67=0,0,(IF(Q67&gt;9,9,(IF(Q67&lt;1,1,Q67)))))</f>
        <v>0</v>
      </c>
      <c r="L67" s="2">
        <f t="shared" si="59"/>
        <v>0</v>
      </c>
      <c r="M67" s="2">
        <f t="shared" si="60"/>
        <v>0</v>
      </c>
      <c r="N67" s="2">
        <f t="shared" si="60"/>
        <v>0</v>
      </c>
      <c r="O67" s="2">
        <f t="shared" si="61"/>
        <v>0</v>
      </c>
      <c r="P67" s="2"/>
      <c r="Q67" s="1">
        <f>IFERROR((VLOOKUP($BO$1&amp;C3,TeamsViejaGloria!D:M,2,0)+AK67+AC67),0)</f>
        <v>0</v>
      </c>
      <c r="R67" s="1">
        <f>IFERROR((VLOOKUP($BO$1&amp;C3,TeamsViejaGloria!D:M,3,0)+AL67+AD67),0)</f>
        <v>0</v>
      </c>
      <c r="S67" s="1">
        <f>IFERROR((VLOOKUP($BO$1&amp;C3,TeamsViejaGloria!D:M,4,0)+AM67-AE67),0)</f>
        <v>0</v>
      </c>
      <c r="T67" s="1">
        <f>IFERROR((VLOOKUP($BO$1&amp;C3,TeamsViejaGloria!D:M,5,0)+AN67-AF67),0)</f>
        <v>0</v>
      </c>
      <c r="U67" s="1">
        <f>IFERROR((VLOOKUP($BO$1&amp;C3,TeamsViejaGloria!D:M,6,0)+AO67+AG67),0)</f>
        <v>0</v>
      </c>
      <c r="V67" s="2"/>
      <c r="W67" s="2">
        <f>IFERROR((VLOOKUP($BO$1&amp;C3,TeamsViejaGloria!D:M,2,0)),0)</f>
        <v>0</v>
      </c>
      <c r="X67" s="2">
        <f>IFERROR((VLOOKUP($BO$1&amp;C3,TeamsViejaGloria!D:M,3,0)),0)</f>
        <v>0</v>
      </c>
      <c r="Y67" s="2">
        <f>IFERROR((VLOOKUP($BO$1&amp;C3,TeamsViejaGloria!D:M,4,0)),0)</f>
        <v>0</v>
      </c>
      <c r="Z67" s="2">
        <f>IFERROR((VLOOKUP($BO$1&amp;C3,TeamsViejaGloria!D:M,5,0)),0)</f>
        <v>0</v>
      </c>
      <c r="AA67" s="2">
        <f>IFERROR((VLOOKUP($BO$1&amp;C3,TeamsViejaGloria!D:M,6,0)),0)</f>
        <v>0</v>
      </c>
      <c r="AB67" s="2"/>
      <c r="AC67" s="2">
        <f t="shared" si="62"/>
        <v>0</v>
      </c>
      <c r="AD67" s="2">
        <f t="shared" si="63"/>
        <v>0</v>
      </c>
      <c r="AE67" s="2">
        <f t="shared" si="64"/>
        <v>0</v>
      </c>
      <c r="AF67" s="2">
        <f t="shared" si="65"/>
        <v>0</v>
      </c>
      <c r="AG67" s="2">
        <f t="shared" si="66"/>
        <v>0</v>
      </c>
      <c r="AH67" s="2"/>
      <c r="AI67" s="2">
        <v>0</v>
      </c>
      <c r="AJ67" s="2"/>
      <c r="AK67" s="1"/>
      <c r="AL67" s="1"/>
      <c r="AM67" s="1"/>
      <c r="AN67" s="1"/>
      <c r="AO67" s="1"/>
      <c r="AP67" s="2"/>
      <c r="AQ67" s="13">
        <v>2</v>
      </c>
      <c r="AR67" s="12">
        <v>605000</v>
      </c>
      <c r="AS67" s="12">
        <v>20000</v>
      </c>
      <c r="AT67" s="76" t="str">
        <f>IF(J24="English","-2 MA",(IF(J24="Español","-2 MO",(IF(J24="Deutsch","-2 BE",(IF(J24="Français","-2 M")))))))</f>
        <v>-2 MO</v>
      </c>
      <c r="AU67" s="1"/>
      <c r="AV67" s="1"/>
      <c r="AW67" s="1"/>
      <c r="AX67" s="77" t="s">
        <v>165</v>
      </c>
      <c r="AY67" s="78">
        <v>0</v>
      </c>
      <c r="AZ67" s="2"/>
      <c r="BA67" s="2" t="s">
        <v>116</v>
      </c>
      <c r="BB67" s="2"/>
      <c r="BC67" s="2"/>
      <c r="BD67" s="72" t="s">
        <v>1048</v>
      </c>
      <c r="BE67" s="73">
        <f>IFERROR((IF(OR(COUNTIF($BU$2,"*Favouredof*"),COUNTIF($BU$2,"*UnderworldChallenge*")),80000,0)),0)</f>
        <v>0</v>
      </c>
      <c r="BH67" s="72" t="s">
        <v>1057</v>
      </c>
      <c r="BI67" s="73">
        <f>IFERROR((IF(OR(COUNTIF($BU$2,"*Favouredof*"),COUNTIF($BU$2,"*ElvenKingdomsLeague*")),150000,0)),0)</f>
        <v>0</v>
      </c>
      <c r="BK67" s="2"/>
      <c r="BL67" s="72" t="s">
        <v>1068</v>
      </c>
      <c r="BM67" s="73">
        <f>IFERROR((IF(OR(COUNTIF($BU$2,"*WorldsEdgeSuperleague*")),120000,0)),0)</f>
        <v>0</v>
      </c>
      <c r="BN67" s="2"/>
      <c r="BO67" s="72" t="s">
        <v>1073</v>
      </c>
      <c r="BP67" s="73">
        <f>IFERROR((IF(OR(COUNTIF($BU$2,"*OldWorldClassic*"),COUNTIF($BU$2,"*WorldsEdgeSuperleague*")),50000,0)),0)</f>
        <v>50000</v>
      </c>
      <c r="BR67" s="72" t="s">
        <v>1081</v>
      </c>
      <c r="BS67" s="21" t="str">
        <f t="shared" si="67"/>
        <v/>
      </c>
      <c r="BT67" s="21" t="str">
        <f t="shared" si="67"/>
        <v/>
      </c>
      <c r="BU67" s="21" t="str">
        <f t="shared" si="67"/>
        <v/>
      </c>
      <c r="BV67" s="21" t="str">
        <f t="shared" si="67"/>
        <v/>
      </c>
      <c r="BW67" s="21" t="str">
        <f t="shared" si="67"/>
        <v/>
      </c>
      <c r="BX67" s="21" t="str">
        <f t="shared" si="67"/>
        <v/>
      </c>
      <c r="BY67" s="21" t="str">
        <f t="shared" si="67"/>
        <v/>
      </c>
      <c r="BZ67" s="21" t="str">
        <f t="shared" si="67"/>
        <v/>
      </c>
      <c r="CA67" s="2"/>
      <c r="CB67" s="2"/>
      <c r="CC67" s="21" t="str">
        <f t="shared" si="58"/>
        <v/>
      </c>
      <c r="CD67" s="21" t="str">
        <f t="shared" si="58"/>
        <v/>
      </c>
      <c r="CE67" s="2"/>
      <c r="CF67" s="2"/>
      <c r="CG67" s="2" t="str">
        <f t="shared" si="68"/>
        <v/>
      </c>
      <c r="CH67" s="2" t="str">
        <f t="shared" si="69"/>
        <v/>
      </c>
      <c r="CI67" s="2" t="str">
        <f t="shared" si="70"/>
        <v/>
      </c>
      <c r="CJ67" s="2" t="str">
        <f t="shared" si="71"/>
        <v/>
      </c>
      <c r="CK67" s="2" t="str">
        <f t="shared" si="72"/>
        <v/>
      </c>
      <c r="CL67" s="2" t="str">
        <f t="shared" si="73"/>
        <v/>
      </c>
      <c r="CM67" s="2" t="str">
        <f t="shared" si="74"/>
        <v/>
      </c>
      <c r="CN67" s="2" t="str">
        <f t="shared" si="75"/>
        <v/>
      </c>
      <c r="CO67" s="2" t="str">
        <f t="shared" si="76"/>
        <v/>
      </c>
      <c r="CP67" s="2" t="str">
        <f t="shared" si="77"/>
        <v/>
      </c>
      <c r="CQ67" s="2" t="str">
        <f t="shared" si="78"/>
        <v/>
      </c>
      <c r="CR67" s="2" t="str">
        <f t="shared" si="79"/>
        <v/>
      </c>
      <c r="CS67" s="2" t="str">
        <f t="shared" si="80"/>
        <v/>
      </c>
      <c r="CT67" s="2" t="str">
        <f t="shared" si="81"/>
        <v/>
      </c>
      <c r="CU67" s="2" t="str">
        <f t="shared" si="82"/>
        <v/>
      </c>
      <c r="CV67" s="2" t="str">
        <f t="shared" si="83"/>
        <v/>
      </c>
      <c r="CW67" s="2"/>
      <c r="CX67" s="2"/>
      <c r="CY67" s="2"/>
      <c r="CZ67" s="2"/>
    </row>
    <row r="68" spans="2:104" ht="15" hidden="1" customHeight="1" x14ac:dyDescent="0.2">
      <c r="B68" s="122" t="str">
        <f>IF(K37&lt;AX65,(IF(J24="Italiano","TROPPE ABILITÀ PRIMARIE!   ",IF(J24="Español","¡DEMASIADAS HABILIDADES PRIMARIAS!   ",(IF(J24="Deutsch","ZU VIELE PRIMÄRE FERTIGKEITEN!   ",(IF(J24="Français","TROP DE COMP PRIMAIRES!   ","TOO MANY PRIMARY SKILLS!   "))))))),"")</f>
        <v/>
      </c>
      <c r="C68" s="123"/>
      <c r="D68" s="123"/>
      <c r="E68" s="123"/>
      <c r="F68" s="123"/>
      <c r="G68" s="2"/>
      <c r="H68" s="2"/>
      <c r="I68" s="2"/>
      <c r="J68" s="2"/>
      <c r="K68" s="2">
        <f t="shared" si="84"/>
        <v>0</v>
      </c>
      <c r="L68" s="2">
        <f t="shared" si="59"/>
        <v>0</v>
      </c>
      <c r="M68" s="2">
        <f t="shared" si="60"/>
        <v>0</v>
      </c>
      <c r="N68" s="2">
        <f t="shared" si="60"/>
        <v>0</v>
      </c>
      <c r="O68" s="2">
        <f t="shared" si="61"/>
        <v>0</v>
      </c>
      <c r="P68" s="2"/>
      <c r="Q68" s="1">
        <f>IFERROR((VLOOKUP($BO$1&amp;C4,TeamsViejaGloria!D:M,2,0)+AK68+AC68),0)</f>
        <v>0</v>
      </c>
      <c r="R68" s="1">
        <f>IFERROR((VLOOKUP($BO$1&amp;C4,TeamsViejaGloria!D:M,3,0)+AL68+AD68),0)</f>
        <v>0</v>
      </c>
      <c r="S68" s="1">
        <f>IFERROR((VLOOKUP($BO$1&amp;C4,TeamsViejaGloria!D:M,4,0)+AM68-AE68),0)</f>
        <v>0</v>
      </c>
      <c r="T68" s="1">
        <f>IFERROR((VLOOKUP($BO$1&amp;C4,TeamsViejaGloria!D:M,5,0)+AN68-AF68),0)</f>
        <v>0</v>
      </c>
      <c r="U68" s="1">
        <f>IFERROR((VLOOKUP($BO$1&amp;C4,TeamsViejaGloria!D:M,6,0)+AO68+AG68),0)</f>
        <v>0</v>
      </c>
      <c r="V68" s="2"/>
      <c r="W68" s="2">
        <f>IFERROR((VLOOKUP($BO$1&amp;C4,TeamsViejaGloria!D:M,2,0)),0)</f>
        <v>0</v>
      </c>
      <c r="X68" s="2">
        <f>IFERROR((VLOOKUP($BO$1&amp;C4,TeamsViejaGloria!D:M,3,0)),0)</f>
        <v>0</v>
      </c>
      <c r="Y68" s="2">
        <f>IFERROR((VLOOKUP($BO$1&amp;C4,TeamsViejaGloria!D:M,4,0)),0)</f>
        <v>0</v>
      </c>
      <c r="Z68" s="2">
        <f>IFERROR((VLOOKUP($BO$1&amp;C4,TeamsViejaGloria!D:M,5,0)),0)</f>
        <v>0</v>
      </c>
      <c r="AA68" s="2">
        <f>IFERROR((VLOOKUP($BO$1&amp;C4,TeamsViejaGloria!D:M,6,0)),0)</f>
        <v>0</v>
      </c>
      <c r="AB68" s="2"/>
      <c r="AC68" s="2">
        <f t="shared" si="62"/>
        <v>0</v>
      </c>
      <c r="AD68" s="2">
        <f t="shared" si="63"/>
        <v>0</v>
      </c>
      <c r="AE68" s="2">
        <f t="shared" si="64"/>
        <v>0</v>
      </c>
      <c r="AF68" s="2">
        <f t="shared" si="65"/>
        <v>0</v>
      </c>
      <c r="AG68" s="2">
        <f t="shared" si="66"/>
        <v>0</v>
      </c>
      <c r="AH68" s="2"/>
      <c r="AI68" s="2">
        <v>-1</v>
      </c>
      <c r="AJ68" s="2"/>
      <c r="AK68" s="1"/>
      <c r="AL68" s="1"/>
      <c r="AM68" s="1"/>
      <c r="AN68" s="1"/>
      <c r="AO68" s="1"/>
      <c r="AP68" s="2"/>
      <c r="AQ68" s="13">
        <v>3</v>
      </c>
      <c r="AR68" s="12">
        <v>610000</v>
      </c>
      <c r="AS68" s="12">
        <v>30000</v>
      </c>
      <c r="AT68" s="76" t="str">
        <f>IF(J24="English","-1 ST",(IF(J24="Español","-1 FU",(IF(J24="Deutsch","-1 ST",(IF(J24="Français","-1 F")))))))</f>
        <v>-1 FU</v>
      </c>
      <c r="AU68" s="1"/>
      <c r="AV68" s="1"/>
      <c r="AW68" s="1"/>
      <c r="AX68" s="78">
        <v>0</v>
      </c>
      <c r="AY68" s="78">
        <v>1</v>
      </c>
      <c r="AZ68" s="2"/>
      <c r="BA68" s="2" t="s">
        <v>215</v>
      </c>
      <c r="BB68" s="2"/>
      <c r="BC68" s="2"/>
      <c r="BD68" s="72" t="s">
        <v>1049</v>
      </c>
      <c r="BE68" s="73">
        <f>IFERROR((IF(COUNTIF($BU$2,"*ElvenKingdomsLeague*"),40000,0)),0)</f>
        <v>0</v>
      </c>
      <c r="BH68" s="72" t="s">
        <v>1058</v>
      </c>
      <c r="BI68" s="73">
        <f>IFERROR((IF(OR(COUNTIF($BU$2,"*ElvenKingdomsLeague*")),150000,0)),0)</f>
        <v>0</v>
      </c>
      <c r="BK68" s="73"/>
      <c r="BL68" s="72" t="s">
        <v>1069</v>
      </c>
      <c r="BM68" s="73">
        <f>IFERROR(IF($BV$2="Bribery and Corruption",80000,120000),0)</f>
        <v>120000</v>
      </c>
      <c r="BN68" s="73"/>
      <c r="BO68" s="72" t="s">
        <v>1074</v>
      </c>
      <c r="BP68" s="73">
        <f>IFERROR(IF(COUNTIF($BU$2,"*HalflingThimbleCup*"),60000,(IF(COUNTIF($BU$2,"*OldWorldClassic*"),80000,0))),0)</f>
        <v>80000</v>
      </c>
      <c r="BR68" s="72" t="s">
        <v>1082</v>
      </c>
      <c r="BS68" s="21" t="str">
        <f t="shared" si="67"/>
        <v/>
      </c>
      <c r="BT68" s="21" t="str">
        <f t="shared" si="67"/>
        <v/>
      </c>
      <c r="BU68" s="21" t="str">
        <f t="shared" si="67"/>
        <v/>
      </c>
      <c r="BV68" s="21" t="str">
        <f t="shared" si="67"/>
        <v/>
      </c>
      <c r="BW68" s="21" t="str">
        <f t="shared" si="67"/>
        <v/>
      </c>
      <c r="BX68" s="21" t="str">
        <f t="shared" si="67"/>
        <v/>
      </c>
      <c r="BY68" s="21" t="str">
        <f t="shared" si="67"/>
        <v/>
      </c>
      <c r="BZ68" s="21" t="str">
        <f t="shared" si="67"/>
        <v/>
      </c>
      <c r="CA68" s="46"/>
      <c r="CB68" s="1"/>
      <c r="CC68" s="21" t="str">
        <f t="shared" si="58"/>
        <v/>
      </c>
      <c r="CD68" s="21" t="str">
        <f t="shared" si="58"/>
        <v/>
      </c>
      <c r="CE68" s="2"/>
      <c r="CF68" s="2"/>
      <c r="CG68" s="2" t="str">
        <f t="shared" si="68"/>
        <v/>
      </c>
      <c r="CH68" s="2" t="str">
        <f t="shared" si="69"/>
        <v/>
      </c>
      <c r="CI68" s="2" t="str">
        <f t="shared" si="70"/>
        <v/>
      </c>
      <c r="CJ68" s="2" t="str">
        <f t="shared" si="71"/>
        <v/>
      </c>
      <c r="CK68" s="2" t="str">
        <f t="shared" si="72"/>
        <v/>
      </c>
      <c r="CL68" s="2" t="str">
        <f t="shared" si="73"/>
        <v/>
      </c>
      <c r="CM68" s="2" t="str">
        <f t="shared" si="74"/>
        <v/>
      </c>
      <c r="CN68" s="2" t="str">
        <f t="shared" si="75"/>
        <v/>
      </c>
      <c r="CO68" s="2" t="str">
        <f t="shared" si="76"/>
        <v/>
      </c>
      <c r="CP68" s="2" t="str">
        <f t="shared" si="77"/>
        <v/>
      </c>
      <c r="CQ68" s="2" t="str">
        <f t="shared" si="78"/>
        <v/>
      </c>
      <c r="CR68" s="2" t="str">
        <f t="shared" si="79"/>
        <v/>
      </c>
      <c r="CS68" s="2" t="str">
        <f t="shared" si="80"/>
        <v/>
      </c>
      <c r="CT68" s="2" t="str">
        <f t="shared" si="81"/>
        <v/>
      </c>
      <c r="CU68" s="2" t="str">
        <f t="shared" si="82"/>
        <v/>
      </c>
      <c r="CV68" s="2" t="str">
        <f t="shared" si="83"/>
        <v/>
      </c>
      <c r="CW68" s="2"/>
      <c r="CX68" s="2"/>
      <c r="CY68" s="2"/>
      <c r="CZ68" s="2"/>
    </row>
    <row r="69" spans="2:104" ht="15" hidden="1" customHeight="1" x14ac:dyDescent="0.2">
      <c r="B69" s="122" t="str">
        <f>IF(Q37&lt;AY65,(IF(J24="Italiano","TROPPE ABILITÀ SECONDARIE!   ",IF(J24="Español","¡DEMASIADAS HABILIDADES SECUNDARIAS!   ",(IF(J24="Deutsch","ZU VIELE SEKUNDÄRE FERTIGKEITEN!   ",(IF(J24="Français","TROP DE COMP SECONDAIRES!   ","TOO MANY SECONDARY SKILLS!   "))))))),"")</f>
        <v/>
      </c>
      <c r="C69" s="123"/>
      <c r="D69" s="123"/>
      <c r="E69" s="123"/>
      <c r="F69" s="123"/>
      <c r="G69" s="2"/>
      <c r="H69" s="2"/>
      <c r="I69" s="2"/>
      <c r="J69" s="2"/>
      <c r="K69" s="2">
        <f t="shared" si="84"/>
        <v>0</v>
      </c>
      <c r="L69" s="2">
        <f t="shared" si="59"/>
        <v>0</v>
      </c>
      <c r="M69" s="2">
        <f t="shared" si="60"/>
        <v>0</v>
      </c>
      <c r="N69" s="2">
        <f t="shared" si="60"/>
        <v>0</v>
      </c>
      <c r="O69" s="2">
        <f t="shared" si="61"/>
        <v>0</v>
      </c>
      <c r="P69" s="2" t="s">
        <v>216</v>
      </c>
      <c r="Q69" s="1">
        <f>IFERROR((VLOOKUP($BO$1&amp;C5,TeamsViejaGloria!D:M,2,0)+AK69+AC69),0)</f>
        <v>0</v>
      </c>
      <c r="R69" s="1">
        <f>IFERROR((VLOOKUP($BO$1&amp;C5,TeamsViejaGloria!D:M,3,0)+AL69+AD69),0)</f>
        <v>0</v>
      </c>
      <c r="S69" s="1">
        <f>IFERROR((VLOOKUP($BO$1&amp;C5,TeamsViejaGloria!D:M,4,0)+AM69-AE69),0)</f>
        <v>0</v>
      </c>
      <c r="T69" s="1">
        <f>IFERROR((VLOOKUP($BO$1&amp;C5,TeamsViejaGloria!D:M,5,0)+AN69-AF69),0)</f>
        <v>0</v>
      </c>
      <c r="U69" s="1">
        <f>IFERROR((VLOOKUP($BO$1&amp;C5,TeamsViejaGloria!D:M,6,0)+AO69+AG69),0)</f>
        <v>0</v>
      </c>
      <c r="V69" s="2"/>
      <c r="W69" s="2">
        <f>IFERROR((VLOOKUP($BO$1&amp;C5,TeamsViejaGloria!D:M,2,0)),0)</f>
        <v>0</v>
      </c>
      <c r="X69" s="2">
        <f>IFERROR((VLOOKUP($BO$1&amp;C5,TeamsViejaGloria!D:M,3,0)),0)</f>
        <v>0</v>
      </c>
      <c r="Y69" s="2">
        <f>IFERROR((VLOOKUP($BO$1&amp;C5,TeamsViejaGloria!D:M,4,0)),0)</f>
        <v>0</v>
      </c>
      <c r="Z69" s="2">
        <f>IFERROR((VLOOKUP($BO$1&amp;C5,TeamsViejaGloria!D:M,5,0)),0)</f>
        <v>0</v>
      </c>
      <c r="AA69" s="2">
        <f>IFERROR((VLOOKUP($BO$1&amp;C5,TeamsViejaGloria!D:M,6,0)),0)</f>
        <v>0</v>
      </c>
      <c r="AB69" s="5"/>
      <c r="AC69" s="2">
        <f t="shared" si="62"/>
        <v>0</v>
      </c>
      <c r="AD69" s="2">
        <f t="shared" si="63"/>
        <v>0</v>
      </c>
      <c r="AE69" s="2">
        <f t="shared" si="64"/>
        <v>0</v>
      </c>
      <c r="AF69" s="2">
        <f t="shared" si="65"/>
        <v>0</v>
      </c>
      <c r="AG69" s="2">
        <f t="shared" si="66"/>
        <v>0</v>
      </c>
      <c r="AH69" s="5"/>
      <c r="AI69" s="2">
        <v>-2</v>
      </c>
      <c r="AJ69" s="2"/>
      <c r="AK69" s="1"/>
      <c r="AL69" s="1"/>
      <c r="AM69" s="1"/>
      <c r="AN69" s="1"/>
      <c r="AO69" s="1"/>
      <c r="AP69" s="5"/>
      <c r="AQ69" s="12">
        <v>4</v>
      </c>
      <c r="AR69" s="12">
        <v>615000</v>
      </c>
      <c r="AS69" s="12">
        <v>40000</v>
      </c>
      <c r="AT69" s="76" t="str">
        <f>IF(J24="English","-2 ST",(IF(J24="Español","-2 FU",(IF(J24="Deutsch","-2 ST",(IF(J24="Français","-2 F")))))))</f>
        <v>-2 FU</v>
      </c>
      <c r="AU69" s="1"/>
      <c r="AV69" s="1"/>
      <c r="AW69" s="1"/>
      <c r="AX69" s="78">
        <v>1</v>
      </c>
      <c r="AY69" s="78">
        <v>2</v>
      </c>
      <c r="AZ69" s="2" t="s">
        <v>216</v>
      </c>
      <c r="BA69" s="2" t="s">
        <v>217</v>
      </c>
      <c r="BB69" s="2"/>
      <c r="BC69" s="2"/>
      <c r="BD69" s="72" t="s">
        <v>1050</v>
      </c>
      <c r="BE69" s="73">
        <f>IFERROR((IF(COUNTIF($BU$2,"*UnderworldChallenge*"),70000,0)),0)</f>
        <v>0</v>
      </c>
      <c r="BH69" s="72" t="s">
        <v>1059</v>
      </c>
      <c r="BI69" s="73">
        <f>IFERROR((IF(OR(COUNTIF($BU$2,"*LustrianSuperleague*")),200000,0)),0)</f>
        <v>0</v>
      </c>
      <c r="BK69" s="73"/>
      <c r="BL69" s="72" t="s">
        <v>1070</v>
      </c>
      <c r="BM69" s="73">
        <f>IFERROR((IF(OR(COUNTIF($BU$2,"*HalflingThimbleCup*")),40000,80000)),0)</f>
        <v>80000</v>
      </c>
      <c r="BN69" s="73"/>
      <c r="BO69" s="72" t="s">
        <v>1075</v>
      </c>
      <c r="BP69" s="73">
        <f>IFERROR(IF(COUNTIF($BU$2,"*HalflingThimbleCup*"),30000,(IF(COUNTIF($BU$2,"*OldWorldClassic*"),40000,0))),0)</f>
        <v>40000</v>
      </c>
      <c r="BR69" s="72"/>
      <c r="BS69" s="21" t="str">
        <f t="shared" si="67"/>
        <v/>
      </c>
      <c r="BT69" s="21" t="str">
        <f t="shared" si="67"/>
        <v/>
      </c>
      <c r="BU69" s="21" t="str">
        <f t="shared" si="67"/>
        <v/>
      </c>
      <c r="BV69" s="21" t="str">
        <f t="shared" si="67"/>
        <v/>
      </c>
      <c r="BW69" s="21" t="str">
        <f t="shared" si="67"/>
        <v/>
      </c>
      <c r="BX69" s="21" t="str">
        <f t="shared" si="67"/>
        <v/>
      </c>
      <c r="BY69" s="21" t="str">
        <f t="shared" si="67"/>
        <v/>
      </c>
      <c r="BZ69" s="21" t="str">
        <f t="shared" si="67"/>
        <v/>
      </c>
      <c r="CA69" s="124" t="s">
        <v>1474</v>
      </c>
      <c r="CB69" s="125"/>
      <c r="CC69" s="21" t="str">
        <f t="shared" si="58"/>
        <v/>
      </c>
      <c r="CD69" s="21" t="str">
        <f t="shared" si="58"/>
        <v/>
      </c>
      <c r="CE69" s="2"/>
      <c r="CF69" s="2"/>
      <c r="CG69" s="2" t="str">
        <f t="shared" si="68"/>
        <v/>
      </c>
      <c r="CH69" s="2" t="str">
        <f t="shared" si="69"/>
        <v/>
      </c>
      <c r="CI69" s="2" t="str">
        <f t="shared" si="70"/>
        <v/>
      </c>
      <c r="CJ69" s="2" t="str">
        <f t="shared" si="71"/>
        <v/>
      </c>
      <c r="CK69" s="2" t="str">
        <f t="shared" si="72"/>
        <v/>
      </c>
      <c r="CL69" s="2" t="str">
        <f t="shared" si="73"/>
        <v/>
      </c>
      <c r="CM69" s="2" t="str">
        <f t="shared" si="74"/>
        <v/>
      </c>
      <c r="CN69" s="2" t="str">
        <f t="shared" si="75"/>
        <v/>
      </c>
      <c r="CO69" s="2" t="str">
        <f t="shared" si="76"/>
        <v/>
      </c>
      <c r="CP69" s="2" t="str">
        <f t="shared" si="77"/>
        <v/>
      </c>
      <c r="CQ69" s="2" t="str">
        <f t="shared" si="78"/>
        <v/>
      </c>
      <c r="CR69" s="2" t="str">
        <f t="shared" si="79"/>
        <v/>
      </c>
      <c r="CS69" s="2" t="str">
        <f t="shared" si="80"/>
        <v/>
      </c>
      <c r="CT69" s="2" t="str">
        <f t="shared" si="81"/>
        <v/>
      </c>
      <c r="CU69" s="2" t="str">
        <f t="shared" si="82"/>
        <v/>
      </c>
      <c r="CV69" s="2" t="str">
        <f t="shared" si="83"/>
        <v/>
      </c>
      <c r="CW69" s="2"/>
      <c r="CX69" s="2"/>
      <c r="CY69" s="2"/>
      <c r="CZ69" s="2"/>
    </row>
    <row r="70" spans="2:104" ht="15" hidden="1" customHeight="1" x14ac:dyDescent="0.2">
      <c r="B70" s="122" t="str">
        <f>IF(AR44&lt;11,(IF(J24="Italiano","SERVONO 11 GIOCATORI!   ",IF(J24="Español","¡NECESITAS 11 JUGADORES!   ",(IF(J24="Deutsch","MAN BRAUCHT 11 SPIELER!   ",(IF(J24="Français","IL FAUT 11 JOUEURS!   ","YOU NEED 11 PLAYERS!   "))))))),"")</f>
        <v xml:space="preserve">¡NECESITAS 11 JUGADORES!   </v>
      </c>
      <c r="C70" s="123"/>
      <c r="D70" s="123"/>
      <c r="E70" s="123"/>
      <c r="F70" s="123"/>
      <c r="G70" s="2"/>
      <c r="H70" s="2"/>
      <c r="I70" s="2"/>
      <c r="J70" s="2"/>
      <c r="K70" s="2">
        <f t="shared" si="84"/>
        <v>0</v>
      </c>
      <c r="L70" s="2">
        <f t="shared" si="59"/>
        <v>0</v>
      </c>
      <c r="M70" s="2">
        <f t="shared" si="60"/>
        <v>0</v>
      </c>
      <c r="N70" s="2">
        <f t="shared" si="60"/>
        <v>0</v>
      </c>
      <c r="O70" s="2">
        <f t="shared" si="61"/>
        <v>0</v>
      </c>
      <c r="P70" s="2"/>
      <c r="Q70" s="1">
        <f>IFERROR((VLOOKUP($BO$1&amp;C6,TeamsViejaGloria!D:M,2,0)+AK70+AC70),0)</f>
        <v>0</v>
      </c>
      <c r="R70" s="1">
        <f>IFERROR((VLOOKUP($BO$1&amp;C6,TeamsViejaGloria!D:M,3,0)+AL70+AD70),0)</f>
        <v>0</v>
      </c>
      <c r="S70" s="1">
        <f>IFERROR((VLOOKUP($BO$1&amp;C6,TeamsViejaGloria!D:M,4,0)+AM70-AE70),0)</f>
        <v>0</v>
      </c>
      <c r="T70" s="1">
        <f>IFERROR((VLOOKUP($BO$1&amp;C6,TeamsViejaGloria!D:M,5,0)+AN70-AF70),0)</f>
        <v>0</v>
      </c>
      <c r="U70" s="1">
        <f>IFERROR((VLOOKUP($BO$1&amp;C6,TeamsViejaGloria!D:M,6,0)+AO70+AG70),0)</f>
        <v>0</v>
      </c>
      <c r="V70" s="2"/>
      <c r="W70" s="2">
        <f>IFERROR((VLOOKUP($BO$1&amp;C6,TeamsViejaGloria!D:M,2,0)),0)</f>
        <v>0</v>
      </c>
      <c r="X70" s="2">
        <f>IFERROR((VLOOKUP($BO$1&amp;C6,TeamsViejaGloria!D:M,3,0)),0)</f>
        <v>0</v>
      </c>
      <c r="Y70" s="2">
        <f>IFERROR((VLOOKUP($BO$1&amp;C6,TeamsViejaGloria!D:M,4,0)),0)</f>
        <v>0</v>
      </c>
      <c r="Z70" s="2">
        <f>IFERROR((VLOOKUP($BO$1&amp;C6,TeamsViejaGloria!D:M,5,0)),0)</f>
        <v>0</v>
      </c>
      <c r="AA70" s="2">
        <f>IFERROR((VLOOKUP($BO$1&amp;C6,TeamsViejaGloria!D:M,6,0)),0)</f>
        <v>0</v>
      </c>
      <c r="AB70" s="2"/>
      <c r="AC70" s="2">
        <f t="shared" si="62"/>
        <v>0</v>
      </c>
      <c r="AD70" s="2">
        <f t="shared" si="63"/>
        <v>0</v>
      </c>
      <c r="AE70" s="2">
        <f t="shared" si="64"/>
        <v>0</v>
      </c>
      <c r="AF70" s="2">
        <f t="shared" si="65"/>
        <v>0</v>
      </c>
      <c r="AG70" s="2">
        <f t="shared" si="66"/>
        <v>0</v>
      </c>
      <c r="AH70" s="2"/>
      <c r="AI70" s="79" t="s">
        <v>216</v>
      </c>
      <c r="AJ70" s="2"/>
      <c r="AK70" s="1"/>
      <c r="AL70" s="1"/>
      <c r="AM70" s="1"/>
      <c r="AN70" s="1"/>
      <c r="AO70" s="1"/>
      <c r="AP70" s="2"/>
      <c r="AQ70" s="13">
        <v>5</v>
      </c>
      <c r="AR70" s="12">
        <v>620000</v>
      </c>
      <c r="AS70" s="12">
        <v>50000</v>
      </c>
      <c r="AT70" s="76" t="str">
        <f>IF(J24="English","1 PA",(IF(J24="Español","1 PA",(IF(J24="Deutsch","1 WG",(IF(J24="Français","1 CP")))))))</f>
        <v>1 PA</v>
      </c>
      <c r="AU70" s="1"/>
      <c r="AV70" s="1"/>
      <c r="AW70" s="1"/>
      <c r="AX70" s="78">
        <v>2</v>
      </c>
      <c r="AY70" s="78">
        <v>3</v>
      </c>
      <c r="AZ70" s="2"/>
      <c r="BA70" s="2" t="s">
        <v>218</v>
      </c>
      <c r="BB70" s="2"/>
      <c r="BC70" s="2"/>
      <c r="BD70" s="72" t="s">
        <v>1051</v>
      </c>
      <c r="BE70" s="73">
        <v>100000</v>
      </c>
      <c r="BH70" s="72" t="s">
        <v>1060</v>
      </c>
      <c r="BI70" s="73">
        <f>IFERROR((IF(OR(COUNTIF(BO2,"*Nurgle*"),COUNTIF($BU$2,"*UnderworldChallenge*")),150000,0)),0)</f>
        <v>0</v>
      </c>
      <c r="BK70" s="73"/>
      <c r="BL70" s="73"/>
      <c r="BM70" s="2"/>
      <c r="BN70" s="73"/>
      <c r="BO70" s="72" t="s">
        <v>1076</v>
      </c>
      <c r="BP70" s="73">
        <f>IFERROR((IF(OR(COUNTIF(BO2,"*Halfling*"),COUNTIF(J23,"*Goblin*"),COUNTIF(J23,"*Ogre*"),COUNTIF(J23,"*Snotling*")),30000,0)),0)</f>
        <v>0</v>
      </c>
      <c r="BR70" s="72"/>
      <c r="BS70" s="21" t="str">
        <f t="shared" si="67"/>
        <v/>
      </c>
      <c r="BT70" s="21" t="str">
        <f t="shared" si="67"/>
        <v/>
      </c>
      <c r="BU70" s="21" t="str">
        <f t="shared" si="67"/>
        <v/>
      </c>
      <c r="BV70" s="21" t="str">
        <f t="shared" si="67"/>
        <v/>
      </c>
      <c r="BW70" s="21" t="str">
        <f t="shared" si="67"/>
        <v/>
      </c>
      <c r="BX70" s="21" t="str">
        <f t="shared" si="67"/>
        <v/>
      </c>
      <c r="BY70" s="21" t="str">
        <f t="shared" si="67"/>
        <v/>
      </c>
      <c r="BZ70" s="21" t="str">
        <f t="shared" si="67"/>
        <v/>
      </c>
      <c r="CA70" s="21" t="str">
        <f t="shared" si="67"/>
        <v/>
      </c>
      <c r="CB70" s="21" t="str">
        <f t="shared" si="67"/>
        <v/>
      </c>
      <c r="CC70" s="21" t="str">
        <f>IF($J$24="Español","Agallas",(IF($J$24="Deutsch","Abwehren",(IF($J$24="Français","Arracher le ballon","Block")))))</f>
        <v>Agallas</v>
      </c>
      <c r="CD70" s="2" t="s">
        <v>167</v>
      </c>
      <c r="CE70" s="80"/>
      <c r="CF70" s="2"/>
      <c r="CG70" s="2" t="str">
        <f t="shared" si="68"/>
        <v/>
      </c>
      <c r="CH70" s="2" t="str">
        <f t="shared" si="69"/>
        <v/>
      </c>
      <c r="CI70" s="2" t="str">
        <f t="shared" si="70"/>
        <v/>
      </c>
      <c r="CJ70" s="2" t="str">
        <f t="shared" si="71"/>
        <v/>
      </c>
      <c r="CK70" s="2" t="str">
        <f t="shared" si="72"/>
        <v/>
      </c>
      <c r="CL70" s="2" t="str">
        <f t="shared" si="73"/>
        <v/>
      </c>
      <c r="CM70" s="2" t="str">
        <f t="shared" si="74"/>
        <v/>
      </c>
      <c r="CN70" s="2" t="str">
        <f t="shared" si="75"/>
        <v/>
      </c>
      <c r="CO70" s="2" t="str">
        <f t="shared" si="76"/>
        <v/>
      </c>
      <c r="CP70" s="2" t="str">
        <f t="shared" si="77"/>
        <v/>
      </c>
      <c r="CQ70" s="2" t="str">
        <f t="shared" si="78"/>
        <v/>
      </c>
      <c r="CR70" s="2" t="str">
        <f t="shared" si="79"/>
        <v/>
      </c>
      <c r="CS70" s="2" t="str">
        <f t="shared" si="80"/>
        <v/>
      </c>
      <c r="CT70" s="2" t="str">
        <f t="shared" si="81"/>
        <v/>
      </c>
      <c r="CU70" s="2" t="str">
        <f t="shared" si="82"/>
        <v/>
      </c>
      <c r="CV70" s="2" t="str">
        <f t="shared" si="83"/>
        <v/>
      </c>
      <c r="CW70" s="2"/>
      <c r="CX70" s="2"/>
      <c r="CY70" s="2"/>
      <c r="CZ70" s="2"/>
    </row>
    <row r="71" spans="2:104" ht="15" hidden="1" customHeight="1" x14ac:dyDescent="0.2">
      <c r="B71" s="122" t="str">
        <f>(IF(J21&lt;&gt;"","",(IF(J24="Italiano","È NECESSARIO INSERIRE IL NOME DELL'ALLENATORE!   ",IF(J24="Español","¡DEBES PONER EL NOMBRE DEL ENTRENADOR!   ",(IF(J24="Deutsch","SIE MÜSSEN DEN NAMEN DES AUSBILDERS ANGEBEN!   ",(IF(J24="Français","VOUS DEVEZ INDIQUER LE NOM DU FORMATEUR!   ","YOU MUST PUT THE NAME OF THE COACH!   ")))))))))&amp;(IF(J22&lt;&gt;"","",(IF(J24="Italiano","È NECESSARIO INSERIRE IL NUMERO NAF (se non lo avete mettete 0)!   ",IF(J24="Español","¡DEBES PONER EL NUMERO NAF (si no tienes pon 0)!   ",(IF(J24="Deutsch","SIE MÜSSEN DIE NAF-NUMMER EINGEBEN (wenn Sie sie nicht haben, geben Sie 0 ein)!   ",(IF(J24="Français","VOUS DEVEZ INSCRIRE LE NUMÉRO NAF (si vous ne l'avez pas, mettez 0)!   ","YOU MUST PUT IN THE NAF NUMBER (if you don't have it put 0)!   ")))))))))</f>
        <v xml:space="preserve">¡DEBES PONER EL NOMBRE DEL ENTRENADOR!   ¡DEBES PONER EL NUMERO NAF (si no tienes pon 0)!   </v>
      </c>
      <c r="C71" s="123"/>
      <c r="D71" s="123"/>
      <c r="E71" s="123"/>
      <c r="F71" s="123"/>
      <c r="G71" s="2"/>
      <c r="H71" s="2"/>
      <c r="I71" s="2"/>
      <c r="J71" s="2"/>
      <c r="K71" s="2">
        <f t="shared" si="84"/>
        <v>0</v>
      </c>
      <c r="L71" s="2">
        <f t="shared" si="59"/>
        <v>0</v>
      </c>
      <c r="M71" s="2">
        <f t="shared" si="60"/>
        <v>0</v>
      </c>
      <c r="N71" s="2">
        <f t="shared" si="60"/>
        <v>0</v>
      </c>
      <c r="O71" s="2">
        <f t="shared" si="61"/>
        <v>0</v>
      </c>
      <c r="P71" s="2"/>
      <c r="Q71" s="1">
        <f>IFERROR((VLOOKUP($BO$1&amp;C7,TeamsViejaGloria!D:M,2,0)+AK71+AC71),0)</f>
        <v>0</v>
      </c>
      <c r="R71" s="1">
        <f>IFERROR((VLOOKUP($BO$1&amp;C7,TeamsViejaGloria!D:M,3,0)+AL71+AD71),0)</f>
        <v>0</v>
      </c>
      <c r="S71" s="1">
        <f>IFERROR((VLOOKUP($BO$1&amp;C7,TeamsViejaGloria!D:M,4,0)+AM71-AE71),0)</f>
        <v>0</v>
      </c>
      <c r="T71" s="1">
        <f>IFERROR((VLOOKUP($BO$1&amp;C7,TeamsViejaGloria!D:M,5,0)+AN71-AF71),0)</f>
        <v>0</v>
      </c>
      <c r="U71" s="1">
        <f>IFERROR((VLOOKUP($BO$1&amp;C7,TeamsViejaGloria!D:M,6,0)+AO71+AG71),0)</f>
        <v>0</v>
      </c>
      <c r="V71" s="2"/>
      <c r="W71" s="2">
        <f>IFERROR((VLOOKUP($BO$1&amp;C7,TeamsViejaGloria!D:M,2,0)),0)</f>
        <v>0</v>
      </c>
      <c r="X71" s="2">
        <f>IFERROR((VLOOKUP($BO$1&amp;C7,TeamsViejaGloria!D:M,3,0)),0)</f>
        <v>0</v>
      </c>
      <c r="Y71" s="2">
        <f>IFERROR((VLOOKUP($BO$1&amp;C7,TeamsViejaGloria!D:M,4,0)),0)</f>
        <v>0</v>
      </c>
      <c r="Z71" s="2">
        <f>IFERROR((VLOOKUP($BO$1&amp;C7,TeamsViejaGloria!D:M,5,0)),0)</f>
        <v>0</v>
      </c>
      <c r="AA71" s="2">
        <f>IFERROR((VLOOKUP($BO$1&amp;C7,TeamsViejaGloria!D:M,6,0)),0)</f>
        <v>0</v>
      </c>
      <c r="AB71" s="2"/>
      <c r="AC71" s="2">
        <f t="shared" si="62"/>
        <v>0</v>
      </c>
      <c r="AD71" s="2">
        <f t="shared" si="63"/>
        <v>0</v>
      </c>
      <c r="AE71" s="2">
        <f t="shared" si="64"/>
        <v>0</v>
      </c>
      <c r="AF71" s="2">
        <f t="shared" si="65"/>
        <v>0</v>
      </c>
      <c r="AG71" s="2">
        <f t="shared" si="66"/>
        <v>0</v>
      </c>
      <c r="AH71" s="2"/>
      <c r="AI71" s="2">
        <v>0</v>
      </c>
      <c r="AJ71" s="2"/>
      <c r="AK71" s="1"/>
      <c r="AL71" s="1"/>
      <c r="AM71" s="1"/>
      <c r="AN71" s="1"/>
      <c r="AO71" s="1"/>
      <c r="AP71" s="2"/>
      <c r="AQ71" s="13">
        <v>6</v>
      </c>
      <c r="AR71" s="12">
        <v>625000</v>
      </c>
      <c r="AS71" s="12">
        <v>60000</v>
      </c>
      <c r="AT71" s="76" t="str">
        <f>IF(J24="English","2 PA",(IF(J24="Español","2 PA",(IF(J24="Deutsch","2 WG",(IF(J24="Français","2 CP")))))))</f>
        <v>2 PA</v>
      </c>
      <c r="AU71" s="1"/>
      <c r="AV71" s="1"/>
      <c r="AW71" s="1"/>
      <c r="AX71" s="78">
        <v>3</v>
      </c>
      <c r="AY71" s="78">
        <v>4</v>
      </c>
      <c r="AZ71" s="2"/>
      <c r="BA71" s="21" t="s">
        <v>1040</v>
      </c>
      <c r="BB71" s="2"/>
      <c r="BC71" s="2"/>
      <c r="BD71" s="72" t="s">
        <v>1052</v>
      </c>
      <c r="BE71" s="73">
        <f>IFERROR((IF(COUNTIF($BU$2,"*SylvanianSpotlight*"),130000,0)),0)</f>
        <v>0</v>
      </c>
      <c r="BH71" s="72" t="s">
        <v>1061</v>
      </c>
      <c r="BI71" s="73">
        <f>IFERROR((IF(COUNTIF($BU$2,"*SylvanianSpotlight*"),150000,0)),0)</f>
        <v>0</v>
      </c>
      <c r="BK71" s="73"/>
      <c r="BL71" s="73"/>
      <c r="BM71" s="2"/>
      <c r="BN71" s="73"/>
      <c r="BO71" s="72" t="s">
        <v>1077</v>
      </c>
      <c r="BP71" s="73">
        <v>30000</v>
      </c>
      <c r="BR71" s="74"/>
      <c r="BS71" s="21" t="str">
        <f t="shared" si="67"/>
        <v/>
      </c>
      <c r="BT71" s="21" t="str">
        <f t="shared" si="67"/>
        <v/>
      </c>
      <c r="BU71" s="21" t="str">
        <f t="shared" si="67"/>
        <v/>
      </c>
      <c r="BV71" s="21" t="str">
        <f t="shared" si="67"/>
        <v/>
      </c>
      <c r="BW71" s="21" t="str">
        <f t="shared" si="67"/>
        <v/>
      </c>
      <c r="BX71" s="21" t="str">
        <f t="shared" si="67"/>
        <v/>
      </c>
      <c r="BY71" s="21" t="str">
        <f t="shared" si="67"/>
        <v/>
      </c>
      <c r="BZ71" s="21" t="str">
        <f t="shared" si="67"/>
        <v/>
      </c>
      <c r="CA71" s="21" t="str">
        <f t="shared" si="67"/>
        <v/>
      </c>
      <c r="CB71" s="21" t="str">
        <f t="shared" si="67"/>
        <v/>
      </c>
      <c r="CC71" s="75" t="str">
        <f>IF($J$24="Español","Forcejear",(IF($J$24="Deutsch","Ball entreißen",(IF($J$24="Français","Blocage","Dauntless")))))</f>
        <v>Forcejear</v>
      </c>
      <c r="CD71" s="2" t="s">
        <v>167</v>
      </c>
      <c r="CE71" s="80"/>
      <c r="CF71" s="2"/>
      <c r="CG71" s="2" t="str">
        <f t="shared" si="68"/>
        <v/>
      </c>
      <c r="CH71" s="2" t="str">
        <f t="shared" si="69"/>
        <v/>
      </c>
      <c r="CI71" s="2" t="str">
        <f t="shared" si="70"/>
        <v/>
      </c>
      <c r="CJ71" s="2" t="str">
        <f t="shared" si="71"/>
        <v/>
      </c>
      <c r="CK71" s="2" t="str">
        <f t="shared" si="72"/>
        <v/>
      </c>
      <c r="CL71" s="2" t="str">
        <f t="shared" si="73"/>
        <v/>
      </c>
      <c r="CM71" s="2" t="str">
        <f t="shared" si="74"/>
        <v/>
      </c>
      <c r="CN71" s="2" t="str">
        <f t="shared" si="75"/>
        <v/>
      </c>
      <c r="CO71" s="2" t="str">
        <f t="shared" si="76"/>
        <v/>
      </c>
      <c r="CP71" s="2" t="str">
        <f t="shared" si="77"/>
        <v/>
      </c>
      <c r="CQ71" s="2" t="str">
        <f t="shared" si="78"/>
        <v/>
      </c>
      <c r="CR71" s="2" t="str">
        <f t="shared" si="79"/>
        <v/>
      </c>
      <c r="CS71" s="2" t="str">
        <f t="shared" si="80"/>
        <v/>
      </c>
      <c r="CT71" s="2" t="str">
        <f t="shared" si="81"/>
        <v/>
      </c>
      <c r="CU71" s="2" t="str">
        <f t="shared" si="82"/>
        <v/>
      </c>
      <c r="CV71" s="2" t="str">
        <f t="shared" si="83"/>
        <v/>
      </c>
      <c r="CW71" s="2"/>
      <c r="CX71" s="2"/>
      <c r="CY71" s="2"/>
      <c r="CZ71" s="2"/>
    </row>
    <row r="72" spans="2:104" ht="15" hidden="1" customHeight="1" x14ac:dyDescent="0.2">
      <c r="B72" s="122" t="str">
        <f>IF(BS42&gt;0,(IF(J24="Italiano","IL PRIMO GIORNO DOVETE POSSEDERE TRE COMPETENZE PRIMARIE!   ",IF(J24="Español","¡DEBES TENER TRES HABILIDADES PRIMARIAS EL PRIMER DÍA!   ",(IF(J24="Deutsch","SIE MÜSSEN AM ERSTEN TAG ÜBER DREI GRUNDLEGENDE FÄHIGKEITEN VERFÜGEN!   ",(IF(J24="Français","VOUS DEVEZ POSSÉDER TROIS COMPÉTENCES PRINCIPALES DÈS LE PREMIER JOUR!   ","YOU MUST HAVE THREE PRIMARY SKILLS ON DAY ONE!   "))))))),"")</f>
        <v xml:space="preserve">¡DEBES TENER TRES HABILIDADES PRIMARIAS EL PRIMER DÍA!   </v>
      </c>
      <c r="C72" s="123"/>
      <c r="D72" s="123"/>
      <c r="E72" s="123"/>
      <c r="F72" s="123"/>
      <c r="G72" s="2"/>
      <c r="H72" s="2"/>
      <c r="I72" s="2"/>
      <c r="J72" s="2"/>
      <c r="K72" s="2">
        <f t="shared" si="84"/>
        <v>0</v>
      </c>
      <c r="L72" s="2">
        <f t="shared" si="59"/>
        <v>0</v>
      </c>
      <c r="M72" s="2">
        <f t="shared" si="60"/>
        <v>0</v>
      </c>
      <c r="N72" s="2">
        <f t="shared" si="60"/>
        <v>0</v>
      </c>
      <c r="O72" s="2">
        <f t="shared" si="61"/>
        <v>0</v>
      </c>
      <c r="P72" s="2"/>
      <c r="Q72" s="1">
        <f>IFERROR((VLOOKUP($BO$1&amp;C8,TeamsViejaGloria!D:M,2,0)+AK72+AC72),0)</f>
        <v>0</v>
      </c>
      <c r="R72" s="1">
        <f>IFERROR((VLOOKUP($BO$1&amp;C8,TeamsViejaGloria!D:M,3,0)+AL72+AD72),0)</f>
        <v>0</v>
      </c>
      <c r="S72" s="1">
        <f>IFERROR((VLOOKUP($BO$1&amp;C8,TeamsViejaGloria!D:M,4,0)+AM72-AE72),0)</f>
        <v>0</v>
      </c>
      <c r="T72" s="1">
        <f>IFERROR((VLOOKUP($BO$1&amp;C8,TeamsViejaGloria!D:M,5,0)+AN72-AF72),0)</f>
        <v>0</v>
      </c>
      <c r="U72" s="1">
        <f>IFERROR((VLOOKUP($BO$1&amp;C8,TeamsViejaGloria!D:M,6,0)+AO72+AG72),0)</f>
        <v>0</v>
      </c>
      <c r="V72" s="2"/>
      <c r="W72" s="2">
        <f>IFERROR((VLOOKUP($BO$1&amp;C8,TeamsViejaGloria!D:M,2,0)),0)</f>
        <v>0</v>
      </c>
      <c r="X72" s="2">
        <f>IFERROR((VLOOKUP($BO$1&amp;C8,TeamsViejaGloria!D:M,3,0)),0)</f>
        <v>0</v>
      </c>
      <c r="Y72" s="2">
        <f>IFERROR((VLOOKUP($BO$1&amp;C8,TeamsViejaGloria!D:M,4,0)),0)</f>
        <v>0</v>
      </c>
      <c r="Z72" s="2">
        <f>IFERROR((VLOOKUP($BO$1&amp;C8,TeamsViejaGloria!D:M,5,0)),0)</f>
        <v>0</v>
      </c>
      <c r="AA72" s="2">
        <f>IFERROR((VLOOKUP($BO$1&amp;C8,TeamsViejaGloria!D:M,6,0)),0)</f>
        <v>0</v>
      </c>
      <c r="AB72" s="2"/>
      <c r="AC72" s="2">
        <f t="shared" si="62"/>
        <v>0</v>
      </c>
      <c r="AD72" s="2">
        <f t="shared" si="63"/>
        <v>0</v>
      </c>
      <c r="AE72" s="2">
        <f t="shared" si="64"/>
        <v>0</v>
      </c>
      <c r="AF72" s="2">
        <f t="shared" si="65"/>
        <v>0</v>
      </c>
      <c r="AG72" s="2">
        <f t="shared" si="66"/>
        <v>0</v>
      </c>
      <c r="AH72" s="2"/>
      <c r="AI72" s="2">
        <v>1</v>
      </c>
      <c r="AJ72" s="2"/>
      <c r="AK72" s="1"/>
      <c r="AL72" s="1"/>
      <c r="AM72" s="1"/>
      <c r="AN72" s="1"/>
      <c r="AO72" s="1"/>
      <c r="AP72" s="2"/>
      <c r="AQ72" s="12">
        <v>7</v>
      </c>
      <c r="AR72" s="12">
        <v>630000</v>
      </c>
      <c r="AS72" s="12">
        <v>70000</v>
      </c>
      <c r="AT72" s="76" t="str">
        <f>IF(J24="English","1 AG",(IF(J24="Español","1 AG",(IF(J24="Deutsch","1 GE",(IF(J24="Français","1 AG")))))))</f>
        <v>1 AG</v>
      </c>
      <c r="AU72" s="1"/>
      <c r="AV72" s="1"/>
      <c r="AW72" s="1"/>
      <c r="AX72" s="78">
        <v>4</v>
      </c>
      <c r="AY72" s="78">
        <v>5</v>
      </c>
      <c r="AZ72" s="2"/>
      <c r="BA72" s="2"/>
      <c r="BB72" s="2"/>
      <c r="BC72" s="2"/>
      <c r="BD72" s="72" t="s">
        <v>1053</v>
      </c>
      <c r="BE72" s="73">
        <f>IFERROR((IF(OR(COUNTIF($BU$2,"*BadlandsBrawl*"),COUNTIF($BU$2,"*OldWorldClassic*"),COUNTIF($BU$2,"*UnderworldChallenge*")),80000,0)),0)</f>
        <v>80000</v>
      </c>
      <c r="BH72" s="74" t="str">
        <f>IF($J$24="Español","BRUJA MALVADA",(IF($J$24="Deutsch","VERRÜCKTE HEXE",(IF($J$24="Français","WICKED WITCH","WICKED WITCH")))))</f>
        <v>BRUJA MALVADA</v>
      </c>
      <c r="BI72" s="73">
        <f>IFERROR((IF(OR(COUNTIF($BU$2,"*OldWorldClassic*"),COUNTIF($BU$2,"*SylvanianSpotlight*"),COUNTIF($BU$2,"*UnderworldChallenge*")),150000,0)),0)</f>
        <v>150000</v>
      </c>
      <c r="BK72" s="73"/>
      <c r="BL72" s="73"/>
      <c r="BM72" s="2"/>
      <c r="BN72" s="73"/>
      <c r="BO72" s="72" t="s">
        <v>1078</v>
      </c>
      <c r="BP72" s="73">
        <v>60000</v>
      </c>
      <c r="BR72" s="74"/>
      <c r="BS72" s="21" t="str">
        <f>IF($J$24="Español","Agallas",(IF($J$24="Deutsch","Abwehren",(IF($J$24="Français","Arracher le ballon","Block")))))</f>
        <v>Agallas</v>
      </c>
      <c r="BT72" s="21" t="s">
        <v>167</v>
      </c>
      <c r="BU72" s="21" t="str">
        <f>IF($J$24="Español","Agallas",(IF($J$24="Deutsch","Abwehren",(IF($J$24="Français","Arracher le ballon","Block")))))</f>
        <v>Agallas</v>
      </c>
      <c r="BV72" s="21" t="s">
        <v>167</v>
      </c>
      <c r="BW72" s="21" t="str">
        <f>IF($J$24="Español","Agallas",(IF($J$24="Deutsch","Abwehren",(IF($J$24="Français","Arracher le ballon","Block")))))</f>
        <v>Agallas</v>
      </c>
      <c r="BX72" s="21" t="s">
        <v>167</v>
      </c>
      <c r="BY72" s="21" t="str">
        <f>IF($J$24="Español","Agallas",(IF($J$24="Deutsch","Abwehren",(IF($J$24="Français","Arracher le ballon","Block")))))</f>
        <v>Agallas</v>
      </c>
      <c r="BZ72" s="21" t="s">
        <v>167</v>
      </c>
      <c r="CA72" s="21" t="str">
        <f t="shared" si="67"/>
        <v/>
      </c>
      <c r="CB72" s="21" t="str">
        <f t="shared" si="67"/>
        <v/>
      </c>
      <c r="CC72" s="75" t="str">
        <f>IF($J$24="Español","Furia",(IF($J$24="Deutsch","Ballgefühl",(IF($J$24="Français","Frappe précise","Dirty Player (+1)")))))</f>
        <v>Furia</v>
      </c>
      <c r="CD72" s="2" t="s">
        <v>167</v>
      </c>
      <c r="CE72" s="80"/>
      <c r="CF72" s="2"/>
      <c r="CG72" s="2" t="str">
        <f t="shared" si="68"/>
        <v/>
      </c>
      <c r="CH72" s="2" t="str">
        <f t="shared" si="69"/>
        <v/>
      </c>
      <c r="CI72" s="2" t="str">
        <f t="shared" si="70"/>
        <v/>
      </c>
      <c r="CJ72" s="2" t="str">
        <f t="shared" si="71"/>
        <v/>
      </c>
      <c r="CK72" s="2" t="str">
        <f t="shared" si="72"/>
        <v/>
      </c>
      <c r="CL72" s="2" t="str">
        <f t="shared" si="73"/>
        <v/>
      </c>
      <c r="CM72" s="2" t="str">
        <f t="shared" si="74"/>
        <v/>
      </c>
      <c r="CN72" s="2" t="str">
        <f t="shared" si="75"/>
        <v/>
      </c>
      <c r="CO72" s="2" t="str">
        <f t="shared" si="76"/>
        <v/>
      </c>
      <c r="CP72" s="2" t="str">
        <f t="shared" si="77"/>
        <v/>
      </c>
      <c r="CQ72" s="2" t="str">
        <f t="shared" si="78"/>
        <v/>
      </c>
      <c r="CR72" s="2" t="str">
        <f t="shared" si="79"/>
        <v/>
      </c>
      <c r="CS72" s="2" t="str">
        <f t="shared" si="80"/>
        <v/>
      </c>
      <c r="CT72" s="2" t="str">
        <f t="shared" si="81"/>
        <v/>
      </c>
      <c r="CU72" s="2" t="str">
        <f t="shared" si="82"/>
        <v/>
      </c>
      <c r="CV72" s="2" t="str">
        <f t="shared" si="83"/>
        <v/>
      </c>
      <c r="CW72" s="2"/>
      <c r="CX72" s="2"/>
      <c r="CY72" s="2"/>
      <c r="CZ72" s="2"/>
    </row>
    <row r="73" spans="2:104" ht="15" hidden="1" customHeight="1" x14ac:dyDescent="0.2">
      <c r="B73" s="122" t="str">
        <f>IF(BT42&gt;0,(IF(J24="Italiano","IL SECONDO GIORNO È NECESSARIO AVERE DUE ABILITÀ PRIMARIE E UNA SECONDARIA O TRE ABILITÀ PRIMARIE!   ",IF(J24="Español","¡DEBES TENER DOS HABILIDADES PRIMARIAS Y UNA SECUNDARIA O TRES PRIMARIAS EL SEGUNDO DÍA!   ",(IF(J24="Deutsch","SIE MÜSSEN AM ZWEITEN TAG ÜBER ZWEI PRIMÄR- UND EINE SEKUNDÄRFERTIGKEIT ODER DREI PRIMÄRFERTIGKEITEN VERFÜGEN!   ",(IF(J24="Français","VOUS DEVEZ AVOIR DEUX COMPÉTENCES PRINCIPALES ET UNE COMPÉTENCE SECONDAIRE OU TROIS COMPÉTENCES PRINCIPALES LE DEUXIÈME JOUR!   ","YOU MUST HAVE TWO PRIMARY AND ONE SECONDARY SKILL OR THREE PRIMARY SKILLS ON THE SECOND DAY!   "))))))),"")</f>
        <v xml:space="preserve">¡DEBES TENER DOS HABILIDADES PRIMARIAS Y UNA SECUNDARIA O TRES PRIMARIAS EL SEGUNDO DÍA!   </v>
      </c>
      <c r="C73" s="123"/>
      <c r="D73" s="123"/>
      <c r="E73" s="123"/>
      <c r="F73" s="123"/>
      <c r="G73" s="2"/>
      <c r="H73" s="2"/>
      <c r="I73" s="2"/>
      <c r="J73" s="2"/>
      <c r="K73" s="2">
        <f t="shared" si="84"/>
        <v>0</v>
      </c>
      <c r="L73" s="2">
        <f t="shared" si="59"/>
        <v>0</v>
      </c>
      <c r="M73" s="2">
        <f t="shared" si="60"/>
        <v>0</v>
      </c>
      <c r="N73" s="2">
        <f t="shared" si="60"/>
        <v>0</v>
      </c>
      <c r="O73" s="2">
        <f t="shared" si="61"/>
        <v>0</v>
      </c>
      <c r="P73" s="2"/>
      <c r="Q73" s="1">
        <f>IFERROR((VLOOKUP($BO$1&amp;C9,TeamsViejaGloria!D:M,2,0)+AK73+AC73),0)</f>
        <v>0</v>
      </c>
      <c r="R73" s="1">
        <f>IFERROR((VLOOKUP($BO$1&amp;C9,TeamsViejaGloria!D:M,3,0)+AL73+AD73),0)</f>
        <v>0</v>
      </c>
      <c r="S73" s="1">
        <f>IFERROR((VLOOKUP($BO$1&amp;C9,TeamsViejaGloria!D:M,4,0)+AM73-AE73),0)</f>
        <v>0</v>
      </c>
      <c r="T73" s="1">
        <f>IFERROR((VLOOKUP($BO$1&amp;C9,TeamsViejaGloria!D:M,5,0)+AN73-AF73),0)</f>
        <v>0</v>
      </c>
      <c r="U73" s="1">
        <f>IFERROR((VLOOKUP($BO$1&amp;C9,TeamsViejaGloria!D:M,6,0)+AO73+AG73),0)</f>
        <v>0</v>
      </c>
      <c r="V73" s="2"/>
      <c r="W73" s="2">
        <f>IFERROR((VLOOKUP($BO$1&amp;C9,TeamsViejaGloria!D:M,2,0)),0)</f>
        <v>0</v>
      </c>
      <c r="X73" s="2">
        <f>IFERROR((VLOOKUP($BO$1&amp;C9,TeamsViejaGloria!D:M,3,0)),0)</f>
        <v>0</v>
      </c>
      <c r="Y73" s="2">
        <f>IFERROR((VLOOKUP($BO$1&amp;C9,TeamsViejaGloria!D:M,4,0)),0)</f>
        <v>0</v>
      </c>
      <c r="Z73" s="2">
        <f>IFERROR((VLOOKUP($BO$1&amp;C9,TeamsViejaGloria!D:M,5,0)),0)</f>
        <v>0</v>
      </c>
      <c r="AA73" s="2">
        <f>IFERROR((VLOOKUP($BO$1&amp;C9,TeamsViejaGloria!D:M,6,0)),0)</f>
        <v>0</v>
      </c>
      <c r="AB73" s="2"/>
      <c r="AC73" s="2">
        <f t="shared" si="62"/>
        <v>0</v>
      </c>
      <c r="AD73" s="2">
        <f t="shared" si="63"/>
        <v>0</v>
      </c>
      <c r="AE73" s="2">
        <f t="shared" si="64"/>
        <v>0</v>
      </c>
      <c r="AF73" s="2">
        <f t="shared" si="65"/>
        <v>0</v>
      </c>
      <c r="AG73" s="2">
        <f t="shared" si="66"/>
        <v>0</v>
      </c>
      <c r="AH73" s="2"/>
      <c r="AI73" s="2">
        <v>2</v>
      </c>
      <c r="AJ73" s="2"/>
      <c r="AK73" s="1"/>
      <c r="AL73" s="1"/>
      <c r="AM73" s="1"/>
      <c r="AN73" s="1"/>
      <c r="AO73" s="1"/>
      <c r="AP73" s="2"/>
      <c r="AQ73" s="13">
        <v>8</v>
      </c>
      <c r="AR73" s="12">
        <v>635000</v>
      </c>
      <c r="AS73" s="12">
        <v>80000</v>
      </c>
      <c r="AT73" s="76" t="str">
        <f>IF(J24="English","2 AG",(IF(J24="Español","2 AG",(IF(J24="Deutsch","2 GE",(IF(J24="Français","2 AG")))))))</f>
        <v>2 AG</v>
      </c>
      <c r="AU73" s="1"/>
      <c r="AV73" s="1"/>
      <c r="AW73" s="1"/>
      <c r="AX73" s="78">
        <v>5</v>
      </c>
      <c r="AY73" s="78">
        <v>6</v>
      </c>
      <c r="AZ73" s="2" t="s">
        <v>165</v>
      </c>
      <c r="BA73" s="2" t="str">
        <f>IF(J24="Italiano","SI",(IF(J24="Español","SÍ",(IF(J24="Deutsch","JA",(IF(J24="Français","OUI","YES")))))))</f>
        <v>SÍ</v>
      </c>
      <c r="BB73" s="2" t="str">
        <f>IF(J24="Deutsch","NEIN",(IF(J24="Français","NON","NO")))</f>
        <v>NO</v>
      </c>
      <c r="BC73" s="1"/>
      <c r="BD73" s="72" t="s">
        <v>1054</v>
      </c>
      <c r="BE73" s="73">
        <f>IFERROR((IF(OR(COUNTIF($BU$2,"*BadlandsBrawl*"),COUNTIF($BU$2,"*UnderworldChallenge*")),90000,0)),0)</f>
        <v>0</v>
      </c>
      <c r="BH73" s="72" t="s">
        <v>1062</v>
      </c>
      <c r="BI73" s="73">
        <f>IFERROR((IF(OR(COUNTIF($BU$2,"*UnderworldChallenge*")),150000,0)),0)</f>
        <v>0</v>
      </c>
      <c r="BK73" s="2"/>
      <c r="BM73" s="2"/>
      <c r="BN73" s="2"/>
      <c r="BO73" s="72" t="str">
        <f>IF($J$24="Español","TOTEM DEL CAOS","CHAOS TOTEM")</f>
        <v>TOTEM DEL CAOS</v>
      </c>
      <c r="BP73" s="73">
        <v>50000</v>
      </c>
      <c r="BS73" s="81" t="str">
        <f>IF($J$24="Español","Forcejear",(IF($J$24="Deutsch","Ball entreißen",(IF($J$24="Français","Blocage","Dauntless")))))</f>
        <v>Forcejear</v>
      </c>
      <c r="BT73" s="21" t="s">
        <v>167</v>
      </c>
      <c r="BU73" s="81" t="str">
        <f>IF($J$24="Español","Forcejear",(IF($J$24="Deutsch","Ball entreißen",(IF($J$24="Français","Blocage","Dauntless")))))</f>
        <v>Forcejear</v>
      </c>
      <c r="BV73" s="21" t="s">
        <v>167</v>
      </c>
      <c r="BW73" s="81" t="str">
        <f>IF($J$24="Español","Forcejear",(IF($J$24="Deutsch","Ball entreißen",(IF($J$24="Français","Blocage","Dauntless")))))</f>
        <v>Forcejear</v>
      </c>
      <c r="BX73" s="21" t="s">
        <v>167</v>
      </c>
      <c r="BY73" s="75" t="str">
        <f>IF($J$24="Español","Forcejear",(IF($J$24="Deutsch","Ball entreißen",(IF($J$24="Français","Blocage","Dauntless")))))</f>
        <v>Forcejear</v>
      </c>
      <c r="BZ73" s="21" t="s">
        <v>167</v>
      </c>
      <c r="CA73" s="21" t="str">
        <f t="shared" si="67"/>
        <v/>
      </c>
      <c r="CB73" s="21" t="str">
        <f t="shared" si="67"/>
        <v/>
      </c>
      <c r="CC73" s="75" t="str">
        <f>IF($J$24="Español","Juego Sucio (+1)",(IF($J$24="Deutsch","Block",(IF($J$24="Français","Frénésie ","Fend")))))</f>
        <v>Juego Sucio (+1)</v>
      </c>
      <c r="CD73" s="2" t="s">
        <v>167</v>
      </c>
      <c r="CE73" s="80"/>
      <c r="CF73" s="2"/>
      <c r="CG73" s="2" t="str">
        <f t="shared" si="68"/>
        <v/>
      </c>
      <c r="CH73" s="2" t="str">
        <f t="shared" si="69"/>
        <v/>
      </c>
      <c r="CI73" s="2" t="str">
        <f t="shared" si="70"/>
        <v/>
      </c>
      <c r="CJ73" s="2" t="str">
        <f t="shared" si="71"/>
        <v/>
      </c>
      <c r="CK73" s="2" t="str">
        <f t="shared" si="72"/>
        <v/>
      </c>
      <c r="CL73" s="2" t="str">
        <f t="shared" si="73"/>
        <v/>
      </c>
      <c r="CM73" s="2" t="str">
        <f t="shared" si="74"/>
        <v/>
      </c>
      <c r="CN73" s="2" t="str">
        <f t="shared" si="75"/>
        <v/>
      </c>
      <c r="CO73" s="2" t="str">
        <f t="shared" si="76"/>
        <v/>
      </c>
      <c r="CP73" s="2" t="str">
        <f t="shared" si="77"/>
        <v/>
      </c>
      <c r="CQ73" s="2" t="str">
        <f t="shared" si="78"/>
        <v/>
      </c>
      <c r="CR73" s="2" t="str">
        <f t="shared" si="79"/>
        <v/>
      </c>
      <c r="CS73" s="2" t="str">
        <f t="shared" si="80"/>
        <v/>
      </c>
      <c r="CT73" s="2" t="str">
        <f t="shared" si="81"/>
        <v/>
      </c>
      <c r="CU73" s="2" t="str">
        <f t="shared" si="82"/>
        <v/>
      </c>
      <c r="CV73" s="2" t="str">
        <f t="shared" si="83"/>
        <v/>
      </c>
      <c r="CW73" s="2"/>
      <c r="CX73" s="2"/>
      <c r="CY73" s="2"/>
      <c r="CZ73" s="2"/>
    </row>
    <row r="74" spans="2:104" ht="15" hidden="1" customHeight="1" x14ac:dyDescent="0.2">
      <c r="B74" s="122" t="str">
        <f>IF(BU42&gt;0,(IF(J24="Italiano","IL TERZO GIORNO SI DEVONO POSSEDERE DUE ABILITÀ PRIMARIE!   ",IF(J24="Español","¡DEBES TENER DOS HABILIDADES PRIMARIAS EL TERCER DÍA!   ",(IF(J24="Deutsch","SIE MÜSSEN AM DRITTEN TAG ÜBER ZWEI GRUNDFERTIGKEITEN VERFÜGEN!   ",(IF(J24="Français","VOUS DEVEZ AVOIR DEUX COMPÉTENCES PRIMAIRES LE TROISIÈME JOUR!   ","YOU MUST HAVE TWO PRIMARY SKILLS ON THE THIRD DAY!   "))))))),"")</f>
        <v xml:space="preserve">¡DEBES TENER DOS HABILIDADES PRIMARIAS EL TERCER DÍA!   </v>
      </c>
      <c r="C74" s="122"/>
      <c r="D74" s="122"/>
      <c r="E74" s="122"/>
      <c r="F74" s="122"/>
      <c r="G74" s="2"/>
      <c r="H74" s="2"/>
      <c r="I74" s="2"/>
      <c r="J74" s="2"/>
      <c r="K74" s="2">
        <f t="shared" si="84"/>
        <v>0</v>
      </c>
      <c r="L74" s="2">
        <f t="shared" si="59"/>
        <v>0</v>
      </c>
      <c r="M74" s="2">
        <f t="shared" si="60"/>
        <v>0</v>
      </c>
      <c r="N74" s="2">
        <f t="shared" si="60"/>
        <v>0</v>
      </c>
      <c r="O74" s="2">
        <f t="shared" si="61"/>
        <v>0</v>
      </c>
      <c r="P74" s="2"/>
      <c r="Q74" s="1">
        <f>IFERROR((VLOOKUP($BO$1&amp;C10,TeamsViejaGloria!D:M,2,0)+AK74+AC74),0)</f>
        <v>0</v>
      </c>
      <c r="R74" s="1">
        <f>IFERROR((VLOOKUP($BO$1&amp;C10,TeamsViejaGloria!D:M,3,0)+AL74+AD74),0)</f>
        <v>0</v>
      </c>
      <c r="S74" s="1">
        <f>IFERROR((VLOOKUP($BO$1&amp;C10,TeamsViejaGloria!D:M,4,0)+AM74-AE74),0)</f>
        <v>0</v>
      </c>
      <c r="T74" s="1">
        <f>IFERROR((VLOOKUP($BO$1&amp;C10,TeamsViejaGloria!D:M,5,0)+AN74-AF74),0)</f>
        <v>0</v>
      </c>
      <c r="U74" s="1">
        <f>IFERROR((VLOOKUP($BO$1&amp;C10,TeamsViejaGloria!D:M,6,0)+AO74+AG74),0)</f>
        <v>0</v>
      </c>
      <c r="V74" s="2"/>
      <c r="W74" s="2">
        <f>IFERROR((VLOOKUP($BO$1&amp;C10,TeamsViejaGloria!D:M,2,0)),0)</f>
        <v>0</v>
      </c>
      <c r="X74" s="2">
        <f>IFERROR((VLOOKUP($BO$1&amp;C10,TeamsViejaGloria!D:M,3,0)),0)</f>
        <v>0</v>
      </c>
      <c r="Y74" s="2">
        <f>IFERROR((VLOOKUP($BO$1&amp;C10,TeamsViejaGloria!D:M,4,0)),0)</f>
        <v>0</v>
      </c>
      <c r="Z74" s="2">
        <f>IFERROR((VLOOKUP($BO$1&amp;C10,TeamsViejaGloria!D:M,5,0)),0)</f>
        <v>0</v>
      </c>
      <c r="AA74" s="2">
        <f>IFERROR((VLOOKUP($BO$1&amp;C10,TeamsViejaGloria!D:M,6,0)),0)</f>
        <v>0</v>
      </c>
      <c r="AB74" s="2"/>
      <c r="AC74" s="2">
        <f t="shared" si="62"/>
        <v>0</v>
      </c>
      <c r="AD74" s="2">
        <f t="shared" si="63"/>
        <v>0</v>
      </c>
      <c r="AE74" s="2">
        <f t="shared" si="64"/>
        <v>0</v>
      </c>
      <c r="AF74" s="2">
        <f t="shared" si="65"/>
        <v>0</v>
      </c>
      <c r="AG74" s="2">
        <f t="shared" si="66"/>
        <v>0</v>
      </c>
      <c r="AH74" s="2"/>
      <c r="AI74" s="13">
        <v>3</v>
      </c>
      <c r="AJ74" s="2"/>
      <c r="AK74" s="1"/>
      <c r="AL74" s="1"/>
      <c r="AM74" s="1"/>
      <c r="AN74" s="1"/>
      <c r="AO74" s="1"/>
      <c r="AP74" s="2"/>
      <c r="AQ74" s="13">
        <v>9</v>
      </c>
      <c r="AR74" s="12">
        <v>640000</v>
      </c>
      <c r="AS74" s="12">
        <v>90000</v>
      </c>
      <c r="AT74" s="76" t="str">
        <f>IF(J24="English","-1 AV",(IF(J24="Español","-1 AR",(IF(J24="Deutsch","-1 RW",(IF(J24="Français","-1 AR")))))))</f>
        <v>-1 AR</v>
      </c>
      <c r="AU74" s="1"/>
      <c r="AV74" s="1"/>
      <c r="AW74" s="1"/>
      <c r="AX74" s="78">
        <v>6</v>
      </c>
      <c r="AY74" s="78">
        <v>7</v>
      </c>
      <c r="AZ74" s="2" t="s">
        <v>219</v>
      </c>
      <c r="BA74" s="2" t="str">
        <f>IF(J24="Deutsch","NEIN",(IF(J24="Français","NON","NO")))</f>
        <v>NO</v>
      </c>
      <c r="BB74" s="2" t="str">
        <f>IF(J24="Italiano","SI",(IF(J24="Español","SÍ",(IF(J24="Deutsch","JA",(IF(J24="Français","OUI","YES")))))))</f>
        <v>SÍ</v>
      </c>
      <c r="BC74" s="2"/>
      <c r="BD74" s="72" t="s">
        <v>1055</v>
      </c>
      <c r="BE74" s="73">
        <v>90000</v>
      </c>
      <c r="BH74" s="72" t="s">
        <v>1063</v>
      </c>
      <c r="BI74" s="73">
        <f>IFERROR((IF(OR(COUNTIF($BU$2,"*BadlandsBrawl*")),150000,0)),0)</f>
        <v>0</v>
      </c>
      <c r="BK74" s="2"/>
      <c r="BM74" s="2"/>
      <c r="BN74" s="2"/>
      <c r="BO74" s="72" t="s">
        <v>1183</v>
      </c>
      <c r="BP74" s="73">
        <v>50000</v>
      </c>
      <c r="BS74" s="81" t="str">
        <f>IF($J$24="Español","Furia",(IF($J$24="Deutsch","Ballgefühl",(IF($J$24="Français","Frappe précise","Dirty Player (+1)")))))</f>
        <v>Furia</v>
      </c>
      <c r="BT74" s="21" t="s">
        <v>167</v>
      </c>
      <c r="BU74" s="81" t="str">
        <f>IF($J$24="Español","Furia",(IF($J$24="Deutsch","Ballgefühl",(IF($J$24="Français","Frappe précise","Dirty Player (+1)")))))</f>
        <v>Furia</v>
      </c>
      <c r="BV74" s="21" t="s">
        <v>167</v>
      </c>
      <c r="BW74" s="81" t="str">
        <f>IF($J$24="Español","Furia",(IF($J$24="Deutsch","Ballgefühl",(IF($J$24="Français","Frappe précise","Dirty Player (+1)")))))</f>
        <v>Furia</v>
      </c>
      <c r="BX74" s="21" t="s">
        <v>167</v>
      </c>
      <c r="BY74" s="75" t="str">
        <f>IF($J$24="Español","Furia",(IF($J$24="Deutsch","Ballgefühl",(IF($J$24="Français","Frappe précise","Dirty Player (+1)")))))</f>
        <v>Furia</v>
      </c>
      <c r="BZ74" s="21" t="s">
        <v>167</v>
      </c>
      <c r="CA74" s="21" t="str">
        <f t="shared" si="67"/>
        <v/>
      </c>
      <c r="CB74" s="21" t="str">
        <f t="shared" si="67"/>
        <v/>
      </c>
      <c r="CC74" s="75" t="str">
        <f>IF($J$24="Español","Manos Seguras",(IF($J$24="Deutsch","Brutal (+1)",(IF($J$24="Français","Intrépide","Frenzy")))))</f>
        <v>Manos Seguras</v>
      </c>
      <c r="CD74" s="2" t="s">
        <v>167</v>
      </c>
      <c r="CE74" s="80"/>
      <c r="CF74" s="2"/>
      <c r="CG74" s="2" t="str">
        <f t="shared" si="68"/>
        <v/>
      </c>
      <c r="CH74" s="2" t="str">
        <f t="shared" si="69"/>
        <v/>
      </c>
      <c r="CI74" s="2" t="str">
        <f t="shared" si="70"/>
        <v/>
      </c>
      <c r="CJ74" s="2" t="str">
        <f t="shared" si="71"/>
        <v/>
      </c>
      <c r="CK74" s="2" t="str">
        <f t="shared" si="72"/>
        <v/>
      </c>
      <c r="CL74" s="2" t="str">
        <f t="shared" si="73"/>
        <v/>
      </c>
      <c r="CM74" s="2" t="str">
        <f t="shared" si="74"/>
        <v/>
      </c>
      <c r="CN74" s="2" t="str">
        <f t="shared" si="75"/>
        <v/>
      </c>
      <c r="CO74" s="2" t="str">
        <f t="shared" si="76"/>
        <v/>
      </c>
      <c r="CP74" s="2" t="str">
        <f t="shared" si="77"/>
        <v/>
      </c>
      <c r="CQ74" s="2" t="str">
        <f t="shared" si="78"/>
        <v/>
      </c>
      <c r="CR74" s="2" t="str">
        <f t="shared" si="79"/>
        <v/>
      </c>
      <c r="CS74" s="2" t="str">
        <f t="shared" si="80"/>
        <v/>
      </c>
      <c r="CT74" s="2" t="str">
        <f t="shared" si="81"/>
        <v/>
      </c>
      <c r="CU74" s="2" t="str">
        <f t="shared" si="82"/>
        <v/>
      </c>
      <c r="CV74" s="2" t="str">
        <f t="shared" si="83"/>
        <v/>
      </c>
      <c r="CW74" s="2"/>
      <c r="CX74" s="2"/>
      <c r="CY74" s="2"/>
      <c r="CZ74" s="2"/>
    </row>
    <row r="75" spans="2:104" ht="15" hidden="1" customHeight="1" x14ac:dyDescent="0.2">
      <c r="B75" s="122" t="str">
        <f>IF(J22="","",(IF(((IF((ISNUMBER(J22)),0,1))=1),(IF(J24="Italiano","IL NUMERO NAF NON PUÒ CONTENERE LETTERE!   ",IF(J24="Español","¡EL NUMERO NAF NO PUEDE CONTENER LETRAS!   ",(IF(J24="Deutsch","DIE NAF-NUMMER DARF KEINE BUCHSTABEN ENTHALTEN!   ",(IF(J24="Français","LE NUMÉRO NAF NE PEUT PAS CONTENIR DE LETTRES!   ","THE NAF NUMBER CANNOT CONTAIN LETTERS!   "))))))),"")))</f>
        <v/>
      </c>
      <c r="C75" s="122"/>
      <c r="D75" s="122"/>
      <c r="E75" s="122"/>
      <c r="F75" s="122"/>
      <c r="G75" s="2"/>
      <c r="H75" s="2"/>
      <c r="I75" s="2"/>
      <c r="J75" s="2"/>
      <c r="K75" s="2">
        <f t="shared" si="84"/>
        <v>0</v>
      </c>
      <c r="L75" s="2">
        <f t="shared" si="59"/>
        <v>0</v>
      </c>
      <c r="M75" s="2">
        <f t="shared" si="60"/>
        <v>0</v>
      </c>
      <c r="N75" s="2">
        <f t="shared" si="60"/>
        <v>0</v>
      </c>
      <c r="O75" s="2">
        <f t="shared" si="61"/>
        <v>0</v>
      </c>
      <c r="P75" s="2"/>
      <c r="Q75" s="1">
        <f>IFERROR((VLOOKUP($BO$1&amp;C11,TeamsViejaGloria!D:M,2,0)+AK75+AC75),0)</f>
        <v>0</v>
      </c>
      <c r="R75" s="1">
        <f>IFERROR((VLOOKUP($BO$1&amp;C11,TeamsViejaGloria!D:M,3,0)+AL75+AD75),0)</f>
        <v>0</v>
      </c>
      <c r="S75" s="1">
        <f>IFERROR((VLOOKUP($BO$1&amp;C11,TeamsViejaGloria!D:M,4,0)+AM75-AE75),0)</f>
        <v>0</v>
      </c>
      <c r="T75" s="1">
        <f>IFERROR((VLOOKUP($BO$1&amp;C11,TeamsViejaGloria!D:M,5,0)+AN75-AF75),0)</f>
        <v>0</v>
      </c>
      <c r="U75" s="1">
        <f>IFERROR((VLOOKUP($BO$1&amp;C11,TeamsViejaGloria!D:M,6,0)+AO75+AG75),0)</f>
        <v>0</v>
      </c>
      <c r="V75" s="2"/>
      <c r="W75" s="2">
        <f>IFERROR((VLOOKUP($BO$1&amp;C11,TeamsViejaGloria!D:M,2,0)),0)</f>
        <v>0</v>
      </c>
      <c r="X75" s="2">
        <f>IFERROR((VLOOKUP($BO$1&amp;C11,TeamsViejaGloria!D:M,3,0)),0)</f>
        <v>0</v>
      </c>
      <c r="Y75" s="2">
        <f>IFERROR((VLOOKUP($BO$1&amp;C11,TeamsViejaGloria!D:M,4,0)),0)</f>
        <v>0</v>
      </c>
      <c r="Z75" s="2">
        <f>IFERROR((VLOOKUP($BO$1&amp;C11,TeamsViejaGloria!D:M,5,0)),0)</f>
        <v>0</v>
      </c>
      <c r="AA75" s="2">
        <f>IFERROR((VLOOKUP($BO$1&amp;C11,TeamsViejaGloria!D:M,6,0)),0)</f>
        <v>0</v>
      </c>
      <c r="AB75" s="2"/>
      <c r="AC75" s="2">
        <f t="shared" si="62"/>
        <v>0</v>
      </c>
      <c r="AD75" s="2">
        <f t="shared" si="63"/>
        <v>0</v>
      </c>
      <c r="AE75" s="2">
        <f t="shared" si="64"/>
        <v>0</v>
      </c>
      <c r="AF75" s="2">
        <f t="shared" si="65"/>
        <v>0</v>
      </c>
      <c r="AG75" s="2">
        <f t="shared" si="66"/>
        <v>0</v>
      </c>
      <c r="AH75" s="2"/>
      <c r="AI75" s="13">
        <v>4</v>
      </c>
      <c r="AJ75" s="2"/>
      <c r="AK75" s="1"/>
      <c r="AL75" s="1"/>
      <c r="AM75" s="1"/>
      <c r="AN75" s="1"/>
      <c r="AO75" s="1"/>
      <c r="AP75" s="2"/>
      <c r="AQ75" s="12">
        <v>10</v>
      </c>
      <c r="AR75" s="12">
        <v>645000</v>
      </c>
      <c r="AS75" s="12">
        <v>100000</v>
      </c>
      <c r="AT75" s="76" t="str">
        <f>IF(J24="English","-2 AV",(IF(J24="Español","-2 AR",(IF(J24="Deutsch","-2 RW",(IF(J24="Français","-2 AR")))))))</f>
        <v>-2 AR</v>
      </c>
      <c r="AU75" s="1"/>
      <c r="AV75" s="1"/>
      <c r="AW75" s="1"/>
      <c r="AX75" s="78">
        <v>7</v>
      </c>
      <c r="AY75" s="78">
        <v>8</v>
      </c>
      <c r="AZ75" s="1">
        <v>20000</v>
      </c>
      <c r="BA75" s="2"/>
      <c r="BB75" s="2"/>
      <c r="BC75" s="2"/>
      <c r="BD75" s="73"/>
      <c r="BE75" s="73"/>
      <c r="BH75" s="72" t="s">
        <v>1064</v>
      </c>
      <c r="BI75" s="73">
        <f>IFERROR((IF(OR(COUNTIF($BU$2,"*BadlandsBrawl*"),COUNTIF($BU$2,"*UnderworldChallenge*")),150000,0)),0)</f>
        <v>0</v>
      </c>
      <c r="BK75" s="2"/>
      <c r="BM75" s="2"/>
      <c r="BN75" s="2"/>
      <c r="BO75" s="72" t="s">
        <v>1233</v>
      </c>
      <c r="BP75" s="73">
        <v>50000</v>
      </c>
      <c r="BS75" s="81" t="str">
        <f>IF($J$24="Español","Juego Sucio (+1)",(IF($J$24="Deutsch","Block",(IF($J$24="Français","Frénésie ","Fend")))))</f>
        <v>Juego Sucio (+1)</v>
      </c>
      <c r="BT75" s="21" t="s">
        <v>167</v>
      </c>
      <c r="BU75" s="81" t="str">
        <f>IF($J$24="Español","Juego Sucio (+1)",(IF($J$24="Deutsch","Block",(IF($J$24="Français","Frénésie ","Fend")))))</f>
        <v>Juego Sucio (+1)</v>
      </c>
      <c r="BV75" s="21" t="s">
        <v>167</v>
      </c>
      <c r="BW75" s="81" t="str">
        <f>IF($J$24="Español","Juego Sucio (+1)",(IF($J$24="Deutsch","Block",(IF($J$24="Français","Frénésie ","Fend")))))</f>
        <v>Juego Sucio (+1)</v>
      </c>
      <c r="BX75" s="21" t="s">
        <v>167</v>
      </c>
      <c r="BY75" s="75" t="str">
        <f>IF($J$24="Español","Juego Sucio (+1)",(IF($J$24="Deutsch","Block",(IF($J$24="Français","Frénésie ","Fend")))))</f>
        <v>Juego Sucio (+1)</v>
      </c>
      <c r="BZ75" s="21" t="s">
        <v>167</v>
      </c>
      <c r="CA75" s="21" t="str">
        <f t="shared" si="67"/>
        <v/>
      </c>
      <c r="CB75" s="21" t="str">
        <f t="shared" si="67"/>
        <v/>
      </c>
      <c r="CC75" s="75" t="str">
        <f>IF($J$24="Español","Patada",(IF($J$24="Deutsch","Kicken",(IF($J$24="Français","Joueur Déloyal (+1)","Kick")))))</f>
        <v>Patada</v>
      </c>
      <c r="CD75" s="2" t="s">
        <v>167</v>
      </c>
      <c r="CE75" s="80"/>
      <c r="CF75" s="2"/>
      <c r="CG75" s="2" t="str">
        <f t="shared" si="68"/>
        <v/>
      </c>
      <c r="CH75" s="2" t="str">
        <f t="shared" si="69"/>
        <v/>
      </c>
      <c r="CI75" s="2" t="str">
        <f t="shared" si="70"/>
        <v/>
      </c>
      <c r="CJ75" s="2" t="str">
        <f t="shared" si="71"/>
        <v/>
      </c>
      <c r="CK75" s="2" t="str">
        <f t="shared" si="72"/>
        <v/>
      </c>
      <c r="CL75" s="2" t="str">
        <f t="shared" si="73"/>
        <v/>
      </c>
      <c r="CM75" s="2" t="str">
        <f t="shared" si="74"/>
        <v/>
      </c>
      <c r="CN75" s="2" t="str">
        <f t="shared" si="75"/>
        <v/>
      </c>
      <c r="CO75" s="2" t="str">
        <f t="shared" si="76"/>
        <v/>
      </c>
      <c r="CP75" s="2" t="str">
        <f t="shared" si="77"/>
        <v/>
      </c>
      <c r="CQ75" s="2" t="str">
        <f t="shared" si="78"/>
        <v/>
      </c>
      <c r="CR75" s="2" t="str">
        <f t="shared" si="79"/>
        <v/>
      </c>
      <c r="CS75" s="2" t="str">
        <f t="shared" si="80"/>
        <v/>
      </c>
      <c r="CT75" s="2" t="str">
        <f t="shared" si="81"/>
        <v/>
      </c>
      <c r="CU75" s="2" t="str">
        <f t="shared" si="82"/>
        <v/>
      </c>
      <c r="CV75" s="2" t="str">
        <f t="shared" si="83"/>
        <v/>
      </c>
      <c r="CW75" s="2"/>
      <c r="CX75" s="2"/>
      <c r="CY75" s="2"/>
      <c r="CZ75" s="2"/>
    </row>
    <row r="76" spans="2:104" ht="15" hidden="1" customHeight="1" x14ac:dyDescent="0.2">
      <c r="B76" s="122" t="str">
        <f>IF(AV62&gt;0,(IF(J24="Italiano","SI È SCELTA UN'ABILITÀ CHE IL GIOCATORE GIÀ POSSIEDE!   ",IF(J24="Español","¡HAS ELEGIDO UNA HABILIDAD QUE YA TIENE EL JUGADOR!   ",(IF(J24="Deutsch","SIE HABEN EINE FÄHIGKEIT GEWÄHLT, DIE DER SPIELER BEREITS BESITZT!   ",(IF(J24="Français","VOUS AVEZ CHOISI UNE COMPÉTENCE QUE LE JOUEUR POSSÈDE DÉJÀ!   ","YOU HAVE CHOSEN A SKILL THAT THE PLAYER ALREADY HAS!   "))))))),"")</f>
        <v/>
      </c>
      <c r="C76" s="122"/>
      <c r="D76" s="122"/>
      <c r="E76" s="122"/>
      <c r="F76" s="122"/>
      <c r="G76" s="2"/>
      <c r="H76" s="2"/>
      <c r="I76" s="2"/>
      <c r="J76" s="2"/>
      <c r="K76" s="2">
        <f t="shared" si="84"/>
        <v>0</v>
      </c>
      <c r="L76" s="2">
        <f t="shared" si="59"/>
        <v>0</v>
      </c>
      <c r="M76" s="2">
        <f t="shared" si="60"/>
        <v>0</v>
      </c>
      <c r="N76" s="2">
        <f t="shared" si="60"/>
        <v>0</v>
      </c>
      <c r="O76" s="2">
        <f t="shared" si="61"/>
        <v>0</v>
      </c>
      <c r="P76" s="2"/>
      <c r="Q76" s="1">
        <f>IFERROR((VLOOKUP($BO$1&amp;C12,TeamsViejaGloria!D:M,2,0)+AK76+AC76),0)</f>
        <v>0</v>
      </c>
      <c r="R76" s="1">
        <f>IFERROR((VLOOKUP($BO$1&amp;C12,TeamsViejaGloria!D:M,3,0)+AL76+AD76),0)</f>
        <v>0</v>
      </c>
      <c r="S76" s="1">
        <f>IFERROR((VLOOKUP($BO$1&amp;C12,TeamsViejaGloria!D:M,4,0)+AM76-AE76),0)</f>
        <v>0</v>
      </c>
      <c r="T76" s="1">
        <f>IFERROR((VLOOKUP($BO$1&amp;C12,TeamsViejaGloria!D:M,5,0)+AN76-AF76),0)</f>
        <v>0</v>
      </c>
      <c r="U76" s="1">
        <f>IFERROR((VLOOKUP($BO$1&amp;C12,TeamsViejaGloria!D:M,6,0)+AO76+AG76),0)</f>
        <v>0</v>
      </c>
      <c r="V76" s="2"/>
      <c r="W76" s="2">
        <f>IFERROR((VLOOKUP($BO$1&amp;C12,TeamsViejaGloria!D:M,2,0)),0)</f>
        <v>0</v>
      </c>
      <c r="X76" s="2">
        <f>IFERROR((VLOOKUP($BO$1&amp;C12,TeamsViejaGloria!D:M,3,0)),0)</f>
        <v>0</v>
      </c>
      <c r="Y76" s="2">
        <f>IFERROR((VLOOKUP($BO$1&amp;C12,TeamsViejaGloria!D:M,4,0)),0)</f>
        <v>0</v>
      </c>
      <c r="Z76" s="2">
        <f>IFERROR((VLOOKUP($BO$1&amp;C12,TeamsViejaGloria!D:M,5,0)),0)</f>
        <v>0</v>
      </c>
      <c r="AA76" s="2">
        <f>IFERROR((VLOOKUP($BO$1&amp;C12,TeamsViejaGloria!D:M,6,0)),0)</f>
        <v>0</v>
      </c>
      <c r="AB76" s="2"/>
      <c r="AC76" s="2">
        <f t="shared" si="62"/>
        <v>0</v>
      </c>
      <c r="AD76" s="2">
        <f t="shared" si="63"/>
        <v>0</v>
      </c>
      <c r="AE76" s="2">
        <f t="shared" si="64"/>
        <v>0</v>
      </c>
      <c r="AF76" s="2">
        <f t="shared" si="65"/>
        <v>0</v>
      </c>
      <c r="AG76" s="2">
        <f t="shared" si="66"/>
        <v>0</v>
      </c>
      <c r="AH76" s="2"/>
      <c r="AI76" s="2" t="str">
        <f>""</f>
        <v/>
      </c>
      <c r="AJ76" s="2"/>
      <c r="AK76" s="1"/>
      <c r="AL76" s="1"/>
      <c r="AM76" s="1"/>
      <c r="AN76" s="1"/>
      <c r="AO76" s="1"/>
      <c r="AP76" s="2"/>
      <c r="AQ76" s="13">
        <v>11</v>
      </c>
      <c r="AR76" s="12">
        <v>650000</v>
      </c>
      <c r="AS76" s="12">
        <v>110000</v>
      </c>
      <c r="AT76" s="1"/>
      <c r="AU76" s="1"/>
      <c r="AV76" s="1"/>
      <c r="AW76" s="1"/>
      <c r="AX76" s="78">
        <v>8</v>
      </c>
      <c r="AY76" s="78">
        <v>9</v>
      </c>
      <c r="AZ76" s="1">
        <v>30000</v>
      </c>
      <c r="BA76" s="5" t="s">
        <v>220</v>
      </c>
      <c r="BB76" s="2"/>
      <c r="BC76" s="2"/>
      <c r="BD76" s="73"/>
      <c r="BE76" s="73"/>
      <c r="BH76" s="72" t="s">
        <v>1065</v>
      </c>
      <c r="BI76" s="73">
        <v>80000</v>
      </c>
      <c r="BK76" s="2"/>
      <c r="BM76" s="2"/>
      <c r="BN76" s="2"/>
      <c r="BO76" s="72" t="s">
        <v>1405</v>
      </c>
      <c r="BP76" s="73">
        <v>150000</v>
      </c>
      <c r="BS76" s="81" t="str">
        <f>IF($J$24="Español","Manos Seguras",(IF($J$24="Deutsch","Brutal (+1)",(IF($J$24="Français","Intrépide","Frenzy")))))</f>
        <v>Manos Seguras</v>
      </c>
      <c r="BT76" s="21" t="s">
        <v>167</v>
      </c>
      <c r="BU76" s="81" t="str">
        <f>IF($J$24="Español","Manos Seguras",(IF($J$24="Deutsch","Brutal (+1)",(IF($J$24="Français","Intrépide","Frenzy")))))</f>
        <v>Manos Seguras</v>
      </c>
      <c r="BV76" s="21" t="s">
        <v>167</v>
      </c>
      <c r="BW76" s="81" t="str">
        <f>IF($J$24="Español","Manos Seguras",(IF($J$24="Deutsch","Brutal (+1)",(IF($J$24="Français","Intrépide","Frenzy")))))</f>
        <v>Manos Seguras</v>
      </c>
      <c r="BX76" s="21" t="s">
        <v>167</v>
      </c>
      <c r="BY76" s="75" t="str">
        <f>IF($J$24="Español","Manos Seguras",(IF($J$24="Deutsch","Brutal (+1)",(IF($J$24="Français","Intrépide","Frenzy")))))</f>
        <v>Manos Seguras</v>
      </c>
      <c r="BZ76" s="21" t="s">
        <v>167</v>
      </c>
      <c r="CA76" s="75" t="str">
        <f>IF($J$24="Español","Echarse a un Lado",(IF($J$24="Deutsch","Ausweichen",(IF($J$24="Français","Équilibre","Diving Catch")))))</f>
        <v>Echarse a un Lado</v>
      </c>
      <c r="CB76" s="21" t="s">
        <v>168</v>
      </c>
      <c r="CC76" s="75" t="str">
        <f>IF($J$24="Español","Perseguir",(IF($J$24="Deutsch","Manndeckung",(IF($J$24="Français","Lutte","Pro")))))</f>
        <v>Perseguir</v>
      </c>
      <c r="CD76" s="2" t="s">
        <v>167</v>
      </c>
      <c r="CE76" s="80"/>
      <c r="CF76" s="2"/>
      <c r="CG76" s="2" t="str">
        <f t="shared" si="68"/>
        <v/>
      </c>
      <c r="CH76" s="2" t="str">
        <f t="shared" si="69"/>
        <v/>
      </c>
      <c r="CI76" s="2" t="str">
        <f t="shared" si="70"/>
        <v/>
      </c>
      <c r="CJ76" s="2" t="str">
        <f t="shared" si="71"/>
        <v/>
      </c>
      <c r="CK76" s="2" t="str">
        <f t="shared" si="72"/>
        <v/>
      </c>
      <c r="CL76" s="2" t="str">
        <f t="shared" si="73"/>
        <v/>
      </c>
      <c r="CM76" s="2" t="str">
        <f t="shared" si="74"/>
        <v/>
      </c>
      <c r="CN76" s="2" t="str">
        <f t="shared" si="75"/>
        <v/>
      </c>
      <c r="CO76" s="2" t="str">
        <f t="shared" si="76"/>
        <v/>
      </c>
      <c r="CP76" s="2" t="str">
        <f t="shared" si="77"/>
        <v/>
      </c>
      <c r="CQ76" s="2" t="str">
        <f t="shared" si="78"/>
        <v/>
      </c>
      <c r="CR76" s="2" t="str">
        <f t="shared" si="79"/>
        <v/>
      </c>
      <c r="CS76" s="2" t="str">
        <f t="shared" si="80"/>
        <v/>
      </c>
      <c r="CT76" s="2" t="str">
        <f t="shared" si="81"/>
        <v/>
      </c>
      <c r="CU76" s="2" t="str">
        <f t="shared" si="82"/>
        <v/>
      </c>
      <c r="CV76" s="2" t="str">
        <f t="shared" si="83"/>
        <v/>
      </c>
      <c r="CW76" s="2"/>
      <c r="CX76" s="2"/>
      <c r="CY76" s="2"/>
      <c r="CZ76" s="2"/>
    </row>
    <row r="77" spans="2:104" ht="15" hidden="1" customHeight="1" x14ac:dyDescent="0.2">
      <c r="B77" s="2"/>
      <c r="C77" s="82"/>
      <c r="D77" s="82"/>
      <c r="E77" s="82"/>
      <c r="F77" s="82"/>
      <c r="G77" s="2"/>
      <c r="H77" s="2"/>
      <c r="I77" s="2"/>
      <c r="J77" s="2"/>
      <c r="K77" s="2">
        <f t="shared" si="84"/>
        <v>0</v>
      </c>
      <c r="L77" s="2">
        <f t="shared" si="59"/>
        <v>0</v>
      </c>
      <c r="M77" s="2">
        <f t="shared" si="60"/>
        <v>0</v>
      </c>
      <c r="N77" s="2">
        <f t="shared" si="60"/>
        <v>0</v>
      </c>
      <c r="O77" s="2">
        <f t="shared" si="61"/>
        <v>0</v>
      </c>
      <c r="P77" s="2"/>
      <c r="Q77" s="1">
        <f>IFERROR((VLOOKUP($BO$1&amp;C13,TeamsViejaGloria!D:M,2,0)+AK77+AC77),0)</f>
        <v>0</v>
      </c>
      <c r="R77" s="1">
        <f>IFERROR((VLOOKUP($BO$1&amp;C13,TeamsViejaGloria!D:M,3,0)+AL77+AD77),0)</f>
        <v>0</v>
      </c>
      <c r="S77" s="1">
        <f>IFERROR((VLOOKUP($BO$1&amp;C13,TeamsViejaGloria!D:M,4,0)+AM77-AE77),0)</f>
        <v>0</v>
      </c>
      <c r="T77" s="1">
        <f>IFERROR((VLOOKUP($BO$1&amp;C13,TeamsViejaGloria!D:M,5,0)+AN77-AF77),0)</f>
        <v>0</v>
      </c>
      <c r="U77" s="1">
        <f>IFERROR((VLOOKUP($BO$1&amp;C13,TeamsViejaGloria!D:M,6,0)+AO77+AG77),0)</f>
        <v>0</v>
      </c>
      <c r="V77" s="2"/>
      <c r="W77" s="2">
        <f>IFERROR((VLOOKUP($BO$1&amp;C13,TeamsViejaGloria!D:M,2,0)),0)</f>
        <v>0</v>
      </c>
      <c r="X77" s="2">
        <f>IFERROR((VLOOKUP($BO$1&amp;C13,TeamsViejaGloria!D:M,3,0)),0)</f>
        <v>0</v>
      </c>
      <c r="Y77" s="2">
        <f>IFERROR((VLOOKUP($BO$1&amp;C13,TeamsViejaGloria!D:M,4,0)),0)</f>
        <v>0</v>
      </c>
      <c r="Z77" s="2">
        <f>IFERROR((VLOOKUP($BO$1&amp;C13,TeamsViejaGloria!D:M,5,0)),0)</f>
        <v>0</v>
      </c>
      <c r="AA77" s="2">
        <f>IFERROR((VLOOKUP($BO$1&amp;C13,TeamsViejaGloria!D:M,6,0)),0)</f>
        <v>0</v>
      </c>
      <c r="AB77" s="2"/>
      <c r="AC77" s="2">
        <f t="shared" si="62"/>
        <v>0</v>
      </c>
      <c r="AD77" s="2">
        <f t="shared" si="63"/>
        <v>0</v>
      </c>
      <c r="AE77" s="2">
        <f t="shared" si="64"/>
        <v>0</v>
      </c>
      <c r="AF77" s="2">
        <f t="shared" si="65"/>
        <v>0</v>
      </c>
      <c r="AG77" s="2">
        <f t="shared" si="66"/>
        <v>0</v>
      </c>
      <c r="AH77" s="2"/>
      <c r="AI77" s="2">
        <v>1</v>
      </c>
      <c r="AJ77" s="2"/>
      <c r="AK77" s="1"/>
      <c r="AL77" s="1"/>
      <c r="AM77" s="1"/>
      <c r="AN77" s="1"/>
      <c r="AO77" s="1"/>
      <c r="AP77" s="2"/>
      <c r="AQ77" s="13">
        <v>12</v>
      </c>
      <c r="AR77" s="12">
        <v>655000</v>
      </c>
      <c r="AS77" s="12">
        <v>120000</v>
      </c>
      <c r="AT77" s="1"/>
      <c r="AU77" s="1"/>
      <c r="AV77" s="1"/>
      <c r="AW77" s="1"/>
      <c r="AX77" s="78">
        <v>9</v>
      </c>
      <c r="AY77" s="78">
        <v>10</v>
      </c>
      <c r="AZ77" s="1">
        <v>40000</v>
      </c>
      <c r="BA77" s="2">
        <f>SUM(AR2:AR17)</f>
        <v>0</v>
      </c>
      <c r="BB77" s="2"/>
      <c r="BC77" s="2"/>
      <c r="BD77" s="2"/>
      <c r="BE77" s="2"/>
      <c r="BI77" s="2"/>
      <c r="BK77" s="2"/>
      <c r="BM77" s="2"/>
      <c r="BN77" s="2"/>
      <c r="BO77" s="72" t="s">
        <v>1489</v>
      </c>
      <c r="BP77" s="73">
        <v>50000</v>
      </c>
      <c r="BS77" s="81" t="str">
        <f>IF($J$24="Español","Patada",(IF($J$24="Deutsch","Kicken",(IF($J$24="Français","Joueur Déloyal (+1)","Kick")))))</f>
        <v>Patada</v>
      </c>
      <c r="BT77" s="21" t="s">
        <v>167</v>
      </c>
      <c r="BU77" s="81" t="str">
        <f>IF($J$24="Español","Patada",(IF($J$24="Deutsch","Kicken",(IF($J$24="Français","Joueur Déloyal (+1)","Kick")))))</f>
        <v>Patada</v>
      </c>
      <c r="BV77" s="21" t="s">
        <v>167</v>
      </c>
      <c r="BW77" s="81" t="str">
        <f>IF($J$24="Español","Patada",(IF($J$24="Deutsch","Kicken",(IF($J$24="Français","Joueur Déloyal (+1)","Kick")))))</f>
        <v>Patada</v>
      </c>
      <c r="BX77" s="21" t="s">
        <v>167</v>
      </c>
      <c r="BY77" s="75" t="str">
        <f>IF($J$24="Español","Patada",(IF($J$24="Deutsch","Kicken",(IF($J$24="Français","Joueur Déloyal (+1)","Kick")))))</f>
        <v>Patada</v>
      </c>
      <c r="BZ77" s="21" t="s">
        <v>167</v>
      </c>
      <c r="CA77" s="75" t="str">
        <f>IF($J$24="Español","En Pie de un Salto",(IF($J$24="Deutsch","Fangsicher",(IF($J$24="Français","Esquive","Diving Tackle")))))</f>
        <v>En Pie de un Salto</v>
      </c>
      <c r="CB77" s="21" t="s">
        <v>168</v>
      </c>
      <c r="CC77" s="75" t="str">
        <f>IF($J$24="Español","Placaje Defensivo",(IF($J$24="Deutsch","Profi",(IF($J$24="Français","Parade","Shadowing")))))</f>
        <v>Placaje Defensivo</v>
      </c>
      <c r="CD77" s="2" t="s">
        <v>167</v>
      </c>
      <c r="CE77" s="80"/>
      <c r="CF77" s="2"/>
      <c r="CG77" s="2" t="str">
        <f t="shared" si="68"/>
        <v/>
      </c>
      <c r="CH77" s="2" t="str">
        <f t="shared" si="69"/>
        <v/>
      </c>
      <c r="CI77" s="2" t="str">
        <f t="shared" si="70"/>
        <v/>
      </c>
      <c r="CJ77" s="2" t="str">
        <f t="shared" si="71"/>
        <v/>
      </c>
      <c r="CK77" s="2" t="str">
        <f t="shared" si="72"/>
        <v/>
      </c>
      <c r="CL77" s="2" t="str">
        <f t="shared" si="73"/>
        <v/>
      </c>
      <c r="CM77" s="2" t="str">
        <f t="shared" si="74"/>
        <v/>
      </c>
      <c r="CN77" s="2" t="str">
        <f t="shared" si="75"/>
        <v/>
      </c>
      <c r="CO77" s="2" t="str">
        <f t="shared" si="76"/>
        <v/>
      </c>
      <c r="CP77" s="2" t="str">
        <f t="shared" si="77"/>
        <v/>
      </c>
      <c r="CQ77" s="2" t="str">
        <f t="shared" si="78"/>
        <v/>
      </c>
      <c r="CR77" s="2" t="str">
        <f t="shared" si="79"/>
        <v/>
      </c>
      <c r="CS77" s="2" t="str">
        <f t="shared" si="80"/>
        <v/>
      </c>
      <c r="CT77" s="2" t="str">
        <f t="shared" si="81"/>
        <v/>
      </c>
      <c r="CU77" s="2" t="str">
        <f t="shared" si="82"/>
        <v/>
      </c>
      <c r="CV77" s="2" t="str">
        <f t="shared" si="83"/>
        <v/>
      </c>
      <c r="CW77" s="2"/>
      <c r="CX77" s="2"/>
      <c r="CY77" s="2"/>
      <c r="CZ77" s="2"/>
    </row>
    <row r="78" spans="2:104" ht="15" hidden="1" customHeight="1" x14ac:dyDescent="0.2">
      <c r="B78" s="2"/>
      <c r="C78" s="10"/>
      <c r="D78" s="10"/>
      <c r="E78" s="10"/>
      <c r="F78" s="10"/>
      <c r="G78" s="2"/>
      <c r="H78" s="2"/>
      <c r="I78" s="2"/>
      <c r="J78" s="2"/>
      <c r="K78" s="2">
        <f t="shared" si="84"/>
        <v>0</v>
      </c>
      <c r="L78" s="2">
        <f t="shared" si="59"/>
        <v>0</v>
      </c>
      <c r="M78" s="2">
        <f t="shared" si="60"/>
        <v>0</v>
      </c>
      <c r="N78" s="2">
        <f t="shared" si="60"/>
        <v>0</v>
      </c>
      <c r="O78" s="2">
        <f t="shared" si="61"/>
        <v>0</v>
      </c>
      <c r="P78" s="2"/>
      <c r="Q78" s="1">
        <f>IFERROR((VLOOKUP($BO$1&amp;C14,TeamsViejaGloria!D:M,2,0)+AK78+AC78),0)</f>
        <v>0</v>
      </c>
      <c r="R78" s="1">
        <f>IFERROR((VLOOKUP($BO$1&amp;C14,TeamsViejaGloria!D:M,3,0)+AL78+AD78),0)</f>
        <v>0</v>
      </c>
      <c r="S78" s="1">
        <f>IFERROR((VLOOKUP($BO$1&amp;C14,TeamsViejaGloria!D:M,4,0)+AM78-AE78),0)</f>
        <v>0</v>
      </c>
      <c r="T78" s="1">
        <f>IFERROR((VLOOKUP($BO$1&amp;C14,TeamsViejaGloria!D:M,5,0)+AN78-AF78),0)</f>
        <v>0</v>
      </c>
      <c r="U78" s="1">
        <f>IFERROR((VLOOKUP($BO$1&amp;C14,TeamsViejaGloria!D:M,6,0)+AO78+AG78),0)</f>
        <v>0</v>
      </c>
      <c r="V78" s="2"/>
      <c r="W78" s="2">
        <f>IFERROR((VLOOKUP($BO$1&amp;C14,TeamsViejaGloria!D:M,2,0)),0)</f>
        <v>0</v>
      </c>
      <c r="X78" s="2">
        <f>IFERROR((VLOOKUP($BO$1&amp;C14,TeamsViejaGloria!D:M,3,0)),0)</f>
        <v>0</v>
      </c>
      <c r="Y78" s="2">
        <f>IFERROR((VLOOKUP($BO$1&amp;C14,TeamsViejaGloria!D:M,4,0)),0)</f>
        <v>0</v>
      </c>
      <c r="Z78" s="2">
        <f>IFERROR((VLOOKUP($BO$1&amp;C14,TeamsViejaGloria!D:M,5,0)),0)</f>
        <v>0</v>
      </c>
      <c r="AA78" s="2">
        <f>IFERROR((VLOOKUP($BO$1&amp;C14,TeamsViejaGloria!D:M,6,0)),0)</f>
        <v>0</v>
      </c>
      <c r="AB78" s="2"/>
      <c r="AC78" s="2">
        <f t="shared" si="62"/>
        <v>0</v>
      </c>
      <c r="AD78" s="2">
        <f t="shared" si="63"/>
        <v>0</v>
      </c>
      <c r="AE78" s="2">
        <f t="shared" si="64"/>
        <v>0</v>
      </c>
      <c r="AF78" s="2">
        <f t="shared" si="65"/>
        <v>0</v>
      </c>
      <c r="AG78" s="2">
        <f t="shared" si="66"/>
        <v>0</v>
      </c>
      <c r="AH78" s="2"/>
      <c r="AI78" s="2">
        <v>-1</v>
      </c>
      <c r="AJ78" s="2"/>
      <c r="AK78" s="1"/>
      <c r="AL78" s="1"/>
      <c r="AM78" s="1"/>
      <c r="AN78" s="1"/>
      <c r="AO78" s="1"/>
      <c r="AP78" s="2"/>
      <c r="AQ78" s="12">
        <v>13</v>
      </c>
      <c r="AR78" s="12">
        <v>660000</v>
      </c>
      <c r="AS78" s="12">
        <v>130000</v>
      </c>
      <c r="AT78" s="1"/>
      <c r="AU78" s="1"/>
      <c r="AV78" s="1"/>
      <c r="AW78" s="1"/>
      <c r="AX78" s="78">
        <v>10</v>
      </c>
      <c r="AY78" s="78">
        <v>11</v>
      </c>
      <c r="AZ78" s="1">
        <v>50000</v>
      </c>
      <c r="BA78" s="5" t="s">
        <v>221</v>
      </c>
      <c r="BB78" s="2"/>
      <c r="BC78" s="2"/>
      <c r="BD78" s="2"/>
      <c r="BE78" s="2"/>
      <c r="BI78" s="2"/>
      <c r="BK78" s="2"/>
      <c r="BM78" s="2"/>
      <c r="BN78" s="2"/>
      <c r="BO78" s="74" t="s">
        <v>1521</v>
      </c>
      <c r="BP78" s="73">
        <v>150000</v>
      </c>
      <c r="BS78" s="81" t="str">
        <f>IF($J$24="Español","Perseguir",(IF($J$24="Deutsch","Manndeckung",(IF($J$24="Français","Lutte","Pro")))))</f>
        <v>Perseguir</v>
      </c>
      <c r="BT78" s="21" t="s">
        <v>167</v>
      </c>
      <c r="BU78" s="81" t="str">
        <f>IF($J$24="Español","Perseguir",(IF($J$24="Deutsch","Manndeckung",(IF($J$24="Français","Lutte","Pro")))))</f>
        <v>Perseguir</v>
      </c>
      <c r="BV78" s="21" t="s">
        <v>167</v>
      </c>
      <c r="BW78" s="81" t="str">
        <f>IF($J$24="Español","Perseguir",(IF($J$24="Deutsch","Manndeckung",(IF($J$24="Français","Lutte","Pro")))))</f>
        <v>Perseguir</v>
      </c>
      <c r="BX78" s="21" t="s">
        <v>167</v>
      </c>
      <c r="BY78" s="75" t="str">
        <f>IF($J$24="Español","Perseguir",(IF($J$24="Deutsch","Manndeckung",(IF($J$24="Français","Lutte","Pro")))))</f>
        <v>Perseguir</v>
      </c>
      <c r="BZ78" s="21" t="s">
        <v>167</v>
      </c>
      <c r="CA78" s="75" t="str">
        <f>IF($J$24="Español","Esprintar",(IF($J$24="Deutsch","Fliegender Tackle",(IF($J$24="Français","Glissade contrôlée","Dodge")))))</f>
        <v>Esprintar</v>
      </c>
      <c r="CB78" s="21" t="s">
        <v>168</v>
      </c>
      <c r="CC78" s="75" t="str">
        <f>IF($J$24="Español","Placar",(IF($J$24="Deutsch","Rasend",(IF($J$24="Français","Poursuite","Strip Ball")))))</f>
        <v>Placar</v>
      </c>
      <c r="CD78" s="2" t="s">
        <v>167</v>
      </c>
      <c r="CE78" s="80"/>
      <c r="CF78" s="2"/>
      <c r="CG78" s="2" t="str">
        <f t="shared" si="68"/>
        <v/>
      </c>
      <c r="CH78" s="2" t="str">
        <f t="shared" si="69"/>
        <v/>
      </c>
      <c r="CI78" s="2" t="str">
        <f t="shared" si="70"/>
        <v/>
      </c>
      <c r="CJ78" s="2" t="str">
        <f t="shared" si="71"/>
        <v/>
      </c>
      <c r="CK78" s="2" t="str">
        <f t="shared" si="72"/>
        <v/>
      </c>
      <c r="CL78" s="2" t="str">
        <f t="shared" si="73"/>
        <v/>
      </c>
      <c r="CM78" s="2" t="str">
        <f t="shared" si="74"/>
        <v/>
      </c>
      <c r="CN78" s="2" t="str">
        <f t="shared" si="75"/>
        <v/>
      </c>
      <c r="CO78" s="2" t="str">
        <f t="shared" si="76"/>
        <v/>
      </c>
      <c r="CP78" s="2" t="str">
        <f t="shared" si="77"/>
        <v/>
      </c>
      <c r="CQ78" s="2" t="str">
        <f t="shared" si="78"/>
        <v/>
      </c>
      <c r="CR78" s="2" t="str">
        <f t="shared" si="79"/>
        <v/>
      </c>
      <c r="CS78" s="2" t="str">
        <f t="shared" si="80"/>
        <v/>
      </c>
      <c r="CT78" s="2" t="str">
        <f t="shared" si="81"/>
        <v/>
      </c>
      <c r="CU78" s="2" t="str">
        <f t="shared" si="82"/>
        <v/>
      </c>
      <c r="CV78" s="2" t="str">
        <f t="shared" si="83"/>
        <v/>
      </c>
      <c r="CW78" s="2"/>
      <c r="CX78" s="2"/>
      <c r="CY78" s="2"/>
      <c r="CZ78" s="2"/>
    </row>
    <row r="79" spans="2:104" ht="15" hidden="1" customHeight="1" x14ac:dyDescent="0.2">
      <c r="B79" s="2"/>
      <c r="C79" s="2"/>
      <c r="D79" s="2"/>
      <c r="E79" s="2"/>
      <c r="F79" s="2"/>
      <c r="G79" s="2"/>
      <c r="H79" s="2"/>
      <c r="I79" s="2"/>
      <c r="J79" s="2"/>
      <c r="K79" s="2">
        <f t="shared" si="84"/>
        <v>0</v>
      </c>
      <c r="L79" s="2">
        <f t="shared" si="59"/>
        <v>0</v>
      </c>
      <c r="M79" s="2">
        <f t="shared" si="60"/>
        <v>0</v>
      </c>
      <c r="N79" s="2">
        <f t="shared" si="60"/>
        <v>0</v>
      </c>
      <c r="O79" s="2">
        <f t="shared" si="61"/>
        <v>0</v>
      </c>
      <c r="P79" s="2"/>
      <c r="Q79" s="1">
        <f>IFERROR((VLOOKUP($BO$1&amp;C15,TeamsViejaGloria!D:M,2,0)+AK79+AC79),0)</f>
        <v>0</v>
      </c>
      <c r="R79" s="1">
        <f>IFERROR((VLOOKUP($BO$1&amp;C15,TeamsViejaGloria!D:M,3,0)+AL79+AD79),0)</f>
        <v>0</v>
      </c>
      <c r="S79" s="1">
        <f>IFERROR((VLOOKUP($BO$1&amp;C15,TeamsViejaGloria!D:M,4,0)+AM79-AE79),0)</f>
        <v>0</v>
      </c>
      <c r="T79" s="1">
        <f>IFERROR((VLOOKUP($BO$1&amp;C15,TeamsViejaGloria!D:M,5,0)+AN79-AF79),0)</f>
        <v>0</v>
      </c>
      <c r="U79" s="1">
        <f>IFERROR((VLOOKUP($BO$1&amp;C15,TeamsViejaGloria!D:M,6,0)+AO79+AG79),0)</f>
        <v>0</v>
      </c>
      <c r="V79" s="2"/>
      <c r="W79" s="2">
        <f>IFERROR((VLOOKUP($BO$1&amp;C15,TeamsViejaGloria!D:M,2,0)),0)</f>
        <v>0</v>
      </c>
      <c r="X79" s="2">
        <f>IFERROR((VLOOKUP($BO$1&amp;C15,TeamsViejaGloria!D:M,3,0)),0)</f>
        <v>0</v>
      </c>
      <c r="Y79" s="2">
        <f>IFERROR((VLOOKUP($BO$1&amp;C15,TeamsViejaGloria!D:M,4,0)),0)</f>
        <v>0</v>
      </c>
      <c r="Z79" s="2">
        <f>IFERROR((VLOOKUP($BO$1&amp;C15,TeamsViejaGloria!D:M,5,0)),0)</f>
        <v>0</v>
      </c>
      <c r="AA79" s="2">
        <f>IFERROR((VLOOKUP($BO$1&amp;C15,TeamsViejaGloria!D:M,6,0)),0)</f>
        <v>0</v>
      </c>
      <c r="AB79" s="2"/>
      <c r="AC79" s="2">
        <f t="shared" si="62"/>
        <v>0</v>
      </c>
      <c r="AD79" s="2">
        <f t="shared" si="63"/>
        <v>0</v>
      </c>
      <c r="AE79" s="2">
        <f t="shared" si="64"/>
        <v>0</v>
      </c>
      <c r="AF79" s="2">
        <f t="shared" si="65"/>
        <v>0</v>
      </c>
      <c r="AG79" s="2">
        <f t="shared" si="66"/>
        <v>0</v>
      </c>
      <c r="AH79" s="2"/>
      <c r="AI79" s="2"/>
      <c r="AJ79" s="2"/>
      <c r="AK79" s="1"/>
      <c r="AL79" s="1"/>
      <c r="AM79" s="1"/>
      <c r="AN79" s="1"/>
      <c r="AO79" s="1"/>
      <c r="AP79" s="2"/>
      <c r="AQ79" s="13">
        <v>14</v>
      </c>
      <c r="AR79" s="12">
        <v>665000</v>
      </c>
      <c r="AS79" s="12">
        <v>140000</v>
      </c>
      <c r="AT79" s="1"/>
      <c r="AU79" s="1"/>
      <c r="AV79" s="1"/>
      <c r="AW79" s="1"/>
      <c r="AX79" s="78">
        <v>11</v>
      </c>
      <c r="AY79" s="78">
        <v>12</v>
      </c>
      <c r="AZ79" s="1">
        <v>60000</v>
      </c>
      <c r="BA79" s="2">
        <f>VLOOKUP(BO1,BL:BR,7,FALSE)</f>
        <v>1</v>
      </c>
      <c r="BB79" s="2"/>
      <c r="BC79" s="2"/>
      <c r="BD79" s="2"/>
      <c r="BE79" s="2"/>
      <c r="BI79" s="2"/>
      <c r="BK79" s="2"/>
      <c r="BM79" s="2"/>
      <c r="BN79" s="2"/>
      <c r="BO79" s="2"/>
      <c r="BS79" s="81" t="str">
        <f>IF($J$24="Español","Placaje Defensivo",(IF($J$24="Deutsch","Profi",(IF($J$24="Français","Parade","Shadowing")))))</f>
        <v>Placaje Defensivo</v>
      </c>
      <c r="BT79" s="21" t="s">
        <v>167</v>
      </c>
      <c r="BU79" s="81" t="str">
        <f>IF($J$24="Español","Placaje Defensivo",(IF($J$24="Deutsch","Profi",(IF($J$24="Français","Parade","Shadowing")))))</f>
        <v>Placaje Defensivo</v>
      </c>
      <c r="BV79" s="21" t="s">
        <v>167</v>
      </c>
      <c r="BW79" s="81" t="str">
        <f>IF($J$24="Español","Placaje Defensivo",(IF($J$24="Deutsch","Profi",(IF($J$24="Français","Parade","Shadowing")))))</f>
        <v>Placaje Defensivo</v>
      </c>
      <c r="BX79" s="21" t="s">
        <v>167</v>
      </c>
      <c r="BY79" s="75" t="str">
        <f>IF($J$24="Español","Placaje Defensivo",(IF($J$24="Deutsch","Profi",(IF($J$24="Français","Parade","Shadowing")))))</f>
        <v>Placaje Defensivo</v>
      </c>
      <c r="BZ79" s="21" t="s">
        <v>167</v>
      </c>
      <c r="CA79" s="75" t="str">
        <f>IF($J$24="Español","Esquivar",(IF($J$24="Deutsch","Gewandt",(IF($J$24="Français","Libération contrôlée","Defensive")))))</f>
        <v>Esquivar</v>
      </c>
      <c r="CB79" s="21" t="s">
        <v>168</v>
      </c>
      <c r="CC79" s="75" t="str">
        <f>IF($J$24="Español","Profesional",(IF($J$24="Deutsch","Tackle",(IF($J$24="Français","Prise sûre","Sure Hands")))))</f>
        <v>Profesional</v>
      </c>
      <c r="CD79" s="2" t="s">
        <v>167</v>
      </c>
      <c r="CE79" s="80"/>
      <c r="CF79" s="2"/>
      <c r="CG79" s="2" t="str">
        <f t="shared" si="68"/>
        <v/>
      </c>
      <c r="CH79" s="2" t="str">
        <f t="shared" si="69"/>
        <v/>
      </c>
      <c r="CI79" s="2" t="str">
        <f t="shared" si="70"/>
        <v/>
      </c>
      <c r="CJ79" s="2" t="str">
        <f t="shared" si="71"/>
        <v/>
      </c>
      <c r="CK79" s="2" t="str">
        <f t="shared" si="72"/>
        <v/>
      </c>
      <c r="CL79" s="2" t="str">
        <f t="shared" si="73"/>
        <v/>
      </c>
      <c r="CM79" s="2" t="str">
        <f t="shared" si="74"/>
        <v/>
      </c>
      <c r="CN79" s="2" t="str">
        <f t="shared" si="75"/>
        <v/>
      </c>
      <c r="CO79" s="2" t="str">
        <f t="shared" si="76"/>
        <v/>
      </c>
      <c r="CP79" s="2" t="str">
        <f t="shared" si="77"/>
        <v/>
      </c>
      <c r="CQ79" s="2" t="str">
        <f t="shared" si="78"/>
        <v/>
      </c>
      <c r="CR79" s="2" t="str">
        <f t="shared" si="79"/>
        <v/>
      </c>
      <c r="CS79" s="2" t="str">
        <f t="shared" si="80"/>
        <v/>
      </c>
      <c r="CT79" s="2" t="str">
        <f t="shared" si="81"/>
        <v/>
      </c>
      <c r="CU79" s="2" t="str">
        <f t="shared" si="82"/>
        <v/>
      </c>
      <c r="CV79" s="2" t="str">
        <f t="shared" si="83"/>
        <v/>
      </c>
      <c r="CW79" s="2"/>
      <c r="CX79" s="2"/>
      <c r="CY79" s="2"/>
      <c r="CZ79" s="2"/>
    </row>
    <row r="80" spans="2:104" ht="15" hidden="1" customHeight="1" x14ac:dyDescent="0.2">
      <c r="B80" s="2"/>
      <c r="C80" s="2"/>
      <c r="D80" s="2"/>
      <c r="E80" s="2"/>
      <c r="F80" s="2"/>
      <c r="G80" s="2"/>
      <c r="H80" s="2"/>
      <c r="I80" s="2"/>
      <c r="J80" s="2"/>
      <c r="K80" s="2">
        <f t="shared" si="84"/>
        <v>0</v>
      </c>
      <c r="L80" s="2">
        <f t="shared" si="59"/>
        <v>0</v>
      </c>
      <c r="M80" s="2">
        <f t="shared" si="60"/>
        <v>0</v>
      </c>
      <c r="N80" s="2">
        <f t="shared" si="60"/>
        <v>0</v>
      </c>
      <c r="O80" s="2">
        <f t="shared" si="61"/>
        <v>0</v>
      </c>
      <c r="P80" s="2"/>
      <c r="Q80" s="1">
        <f>IFERROR((VLOOKUP($BO$1&amp;C16,TeamsViejaGloria!D:M,2,0)+AK80+AC80),0)</f>
        <v>0</v>
      </c>
      <c r="R80" s="1">
        <f>IFERROR((VLOOKUP($BO$1&amp;C16,TeamsViejaGloria!D:M,3,0)+AL80+AD80),0)</f>
        <v>0</v>
      </c>
      <c r="S80" s="1">
        <f>IFERROR((VLOOKUP($BO$1&amp;C16,TeamsViejaGloria!D:M,4,0)+AM80-AE80),0)</f>
        <v>0</v>
      </c>
      <c r="T80" s="1">
        <f>IFERROR((VLOOKUP($BO$1&amp;C16,TeamsViejaGloria!D:M,5,0)+AN80-AF80),0)</f>
        <v>0</v>
      </c>
      <c r="U80" s="1">
        <f>IFERROR((VLOOKUP($BO$1&amp;C16,TeamsViejaGloria!D:M,6,0)+AO80+AG80),0)</f>
        <v>0</v>
      </c>
      <c r="V80" s="2"/>
      <c r="W80" s="2">
        <f>IFERROR((VLOOKUP($BO$1&amp;C16,TeamsViejaGloria!D:M,2,0)),0)</f>
        <v>0</v>
      </c>
      <c r="X80" s="2">
        <f>IFERROR((VLOOKUP($BO$1&amp;C16,TeamsViejaGloria!D:M,3,0)),0)</f>
        <v>0</v>
      </c>
      <c r="Y80" s="2">
        <f>IFERROR((VLOOKUP($BO$1&amp;C16,TeamsViejaGloria!D:M,4,0)),0)</f>
        <v>0</v>
      </c>
      <c r="Z80" s="2">
        <f>IFERROR((VLOOKUP($BO$1&amp;C16,TeamsViejaGloria!D:M,5,0)),0)</f>
        <v>0</v>
      </c>
      <c r="AA80" s="2">
        <f>IFERROR((VLOOKUP($BO$1&amp;C16,TeamsViejaGloria!D:M,6,0)),0)</f>
        <v>0</v>
      </c>
      <c r="AB80" s="2"/>
      <c r="AC80" s="2">
        <f t="shared" si="62"/>
        <v>0</v>
      </c>
      <c r="AD80" s="2">
        <f t="shared" si="63"/>
        <v>0</v>
      </c>
      <c r="AE80" s="2">
        <f t="shared" si="64"/>
        <v>0</v>
      </c>
      <c r="AF80" s="2">
        <f t="shared" si="65"/>
        <v>0</v>
      </c>
      <c r="AG80" s="2">
        <f t="shared" si="66"/>
        <v>0</v>
      </c>
      <c r="AH80" s="2"/>
      <c r="AI80" s="2"/>
      <c r="AJ80" s="2"/>
      <c r="AK80" s="1"/>
      <c r="AL80" s="1"/>
      <c r="AM80" s="1"/>
      <c r="AN80" s="1"/>
      <c r="AO80" s="1"/>
      <c r="AP80" s="2"/>
      <c r="AQ80" s="13">
        <v>15</v>
      </c>
      <c r="AR80" s="12">
        <v>670000</v>
      </c>
      <c r="AS80" s="12">
        <v>150000</v>
      </c>
      <c r="AT80" s="1"/>
      <c r="AU80" s="1"/>
      <c r="AV80" s="1"/>
      <c r="AW80" s="1"/>
      <c r="AX80" s="78">
        <v>12</v>
      </c>
      <c r="AY80" s="78">
        <v>13</v>
      </c>
      <c r="AZ80" s="1">
        <v>70000</v>
      </c>
      <c r="BA80" s="5" t="s">
        <v>222</v>
      </c>
      <c r="BB80" s="2"/>
      <c r="BC80" s="2"/>
      <c r="BD80" s="2"/>
      <c r="BE80" s="2"/>
      <c r="BI80" s="2"/>
      <c r="BK80" s="2"/>
      <c r="BM80" s="2"/>
      <c r="BN80" s="2"/>
      <c r="BO80" s="2"/>
      <c r="BS80" s="81" t="str">
        <f>IF($J$24="Español","Placar",(IF($J$24="Deutsch","Rasend",(IF($J$24="Français","Poursuite","Strip Ball")))))</f>
        <v>Placar</v>
      </c>
      <c r="BT80" s="21" t="s">
        <v>167</v>
      </c>
      <c r="BU80" s="81" t="str">
        <f>IF($J$24="Español","Placar",(IF($J$24="Deutsch","Rasend",(IF($J$24="Français","Poursuite","Strip Ball")))))</f>
        <v>Placar</v>
      </c>
      <c r="BV80" s="21" t="s">
        <v>167</v>
      </c>
      <c r="BW80" s="81" t="str">
        <f>IF($J$24="Español","Placar",(IF($J$24="Deutsch","Rasend",(IF($J$24="Français","Poursuite","Strip Ball")))))</f>
        <v>Placar</v>
      </c>
      <c r="BX80" s="21" t="s">
        <v>167</v>
      </c>
      <c r="BY80" s="75" t="str">
        <f>IF($J$24="Español","Placar",(IF($J$24="Deutsch","Rasend",(IF($J$24="Français","Poursuite","Strip Ball")))))</f>
        <v>Placar</v>
      </c>
      <c r="BZ80" s="21" t="s">
        <v>167</v>
      </c>
      <c r="CA80" s="75" t="str">
        <f>IF($J$24="Español","Furtivo",(IF($J$24="Deutsch","Hechtsprung",(IF($J$24="Français","Réception ","Jump Up")))))</f>
        <v>Furtivo</v>
      </c>
      <c r="CB80" s="21" t="s">
        <v>168</v>
      </c>
      <c r="CC80" s="75" t="str">
        <f>IF($J$24="Español","Robar Balón",(IF($J$24="Deutsch","Unerschrocken",(IF($J$24="Français","Pro","Tackle")))))</f>
        <v>Robar Balón</v>
      </c>
      <c r="CD80" s="2" t="s">
        <v>167</v>
      </c>
      <c r="CE80" s="80"/>
      <c r="CF80" s="2"/>
      <c r="CG80" s="2" t="str">
        <f t="shared" si="68"/>
        <v/>
      </c>
      <c r="CH80" s="2" t="str">
        <f t="shared" si="69"/>
        <v/>
      </c>
      <c r="CI80" s="2" t="str">
        <f t="shared" si="70"/>
        <v/>
      </c>
      <c r="CJ80" s="2" t="str">
        <f t="shared" si="71"/>
        <v/>
      </c>
      <c r="CK80" s="2" t="str">
        <f t="shared" si="72"/>
        <v/>
      </c>
      <c r="CL80" s="2" t="str">
        <f t="shared" si="73"/>
        <v/>
      </c>
      <c r="CM80" s="2" t="str">
        <f t="shared" si="74"/>
        <v/>
      </c>
      <c r="CN80" s="2" t="str">
        <f t="shared" si="75"/>
        <v/>
      </c>
      <c r="CO80" s="2" t="str">
        <f t="shared" si="76"/>
        <v/>
      </c>
      <c r="CP80" s="2" t="str">
        <f t="shared" si="77"/>
        <v/>
      </c>
      <c r="CQ80" s="2" t="str">
        <f t="shared" si="78"/>
        <v/>
      </c>
      <c r="CR80" s="2" t="str">
        <f t="shared" si="79"/>
        <v/>
      </c>
      <c r="CS80" s="2" t="str">
        <f t="shared" si="80"/>
        <v/>
      </c>
      <c r="CT80" s="2" t="str">
        <f t="shared" si="81"/>
        <v/>
      </c>
      <c r="CU80" s="2" t="str">
        <f t="shared" si="82"/>
        <v/>
      </c>
      <c r="CV80" s="2" t="str">
        <f t="shared" si="83"/>
        <v/>
      </c>
      <c r="CW80" s="2"/>
      <c r="CX80" s="2"/>
      <c r="CY80" s="2"/>
      <c r="CZ80" s="2"/>
    </row>
    <row r="81" spans="2:104" ht="15" hidden="1" customHeight="1" x14ac:dyDescent="0.2">
      <c r="B81" s="2"/>
      <c r="C81" s="2"/>
      <c r="D81" s="2"/>
      <c r="E81" s="2"/>
      <c r="F81" s="2"/>
      <c r="G81" s="2"/>
      <c r="H81" s="2"/>
      <c r="I81" s="2"/>
      <c r="J81" s="2"/>
      <c r="K81" s="2">
        <f t="shared" si="84"/>
        <v>0</v>
      </c>
      <c r="L81" s="2">
        <f t="shared" si="59"/>
        <v>0</v>
      </c>
      <c r="M81" s="2">
        <f t="shared" si="60"/>
        <v>0</v>
      </c>
      <c r="N81" s="2">
        <f t="shared" si="60"/>
        <v>0</v>
      </c>
      <c r="O81" s="2">
        <f t="shared" si="61"/>
        <v>0</v>
      </c>
      <c r="P81" s="2"/>
      <c r="Q81" s="1">
        <f>IFERROR((VLOOKUP($BO$1&amp;C17,TeamsViejaGloria!D:M,2,0)+AK81+AC81),0)</f>
        <v>0</v>
      </c>
      <c r="R81" s="1">
        <f>IFERROR((VLOOKUP($BO$1&amp;C17,TeamsViejaGloria!D:M,3,0)+AL81+AD81),0)</f>
        <v>0</v>
      </c>
      <c r="S81" s="1">
        <f>IFERROR((VLOOKUP($BO$1&amp;C17,TeamsViejaGloria!D:M,4,0)+AM81-AE81),0)</f>
        <v>0</v>
      </c>
      <c r="T81" s="1">
        <f>IFERROR((VLOOKUP($BO$1&amp;C17,TeamsViejaGloria!D:M,5,0)+AN81-AF81),0)</f>
        <v>0</v>
      </c>
      <c r="U81" s="1">
        <f>IFERROR((VLOOKUP($BO$1&amp;C17,TeamsViejaGloria!D:M,6,0)+AO81+AG81),0)</f>
        <v>0</v>
      </c>
      <c r="V81" s="2"/>
      <c r="W81" s="2">
        <f>IFERROR((VLOOKUP($BO$1&amp;C17,TeamsViejaGloria!D:M,2,0)),0)</f>
        <v>0</v>
      </c>
      <c r="X81" s="2">
        <f>IFERROR((VLOOKUP($BO$1&amp;C17,TeamsViejaGloria!D:M,3,0)),0)</f>
        <v>0</v>
      </c>
      <c r="Y81" s="2">
        <f>IFERROR((VLOOKUP($BO$1&amp;C17,TeamsViejaGloria!D:M,4,0)),0)</f>
        <v>0</v>
      </c>
      <c r="Z81" s="2">
        <f>IFERROR((VLOOKUP($BO$1&amp;C17,TeamsViejaGloria!D:M,5,0)),0)</f>
        <v>0</v>
      </c>
      <c r="AA81" s="2">
        <f>IFERROR((VLOOKUP($BO$1&amp;C17,TeamsViejaGloria!D:M,6,0)),0)</f>
        <v>0</v>
      </c>
      <c r="AB81" s="2"/>
      <c r="AC81" s="2">
        <f t="shared" si="62"/>
        <v>0</v>
      </c>
      <c r="AD81" s="2">
        <f t="shared" si="63"/>
        <v>0</v>
      </c>
      <c r="AE81" s="2">
        <f t="shared" si="64"/>
        <v>0</v>
      </c>
      <c r="AF81" s="2">
        <f t="shared" si="65"/>
        <v>0</v>
      </c>
      <c r="AG81" s="2">
        <f t="shared" si="66"/>
        <v>0</v>
      </c>
      <c r="AH81" s="2"/>
      <c r="AI81" s="2"/>
      <c r="AJ81" s="2"/>
      <c r="AK81" s="1"/>
      <c r="AL81" s="1"/>
      <c r="AM81" s="1"/>
      <c r="AN81" s="1"/>
      <c r="AO81" s="1"/>
      <c r="AP81" s="2"/>
      <c r="AQ81" s="12">
        <v>16</v>
      </c>
      <c r="AR81" s="12">
        <v>675000</v>
      </c>
      <c r="AS81" s="12">
        <v>160000</v>
      </c>
      <c r="AT81" s="1"/>
      <c r="AU81" s="1"/>
      <c r="AV81" s="1"/>
      <c r="AW81" s="1"/>
      <c r="AX81" s="78">
        <v>13</v>
      </c>
      <c r="AY81" s="78">
        <v>14</v>
      </c>
      <c r="AZ81" s="1">
        <v>80000</v>
      </c>
      <c r="BA81" s="2" t="str">
        <f>IFERROR((IF(BU2="Favouredof",(IF($J$24="Italiano","(sceglierne uno)",(IF($J$24="Español","(elegir uno)",(IF($J$24="Deutsch","(wähle)",(IF(J25="Français","(choisir soit)","(choose either)")))))))),"")),"")</f>
        <v/>
      </c>
      <c r="BB81" s="2"/>
      <c r="BC81" s="2"/>
      <c r="BD81" s="2"/>
      <c r="BE81" s="2"/>
      <c r="BI81" s="2"/>
      <c r="BJ81" s="2"/>
      <c r="BL81" s="13"/>
      <c r="BN81" s="2"/>
      <c r="BO81" s="2"/>
      <c r="BP81" s="13"/>
      <c r="BS81" s="81" t="str">
        <f>IF($J$24="Español","Profesional",(IF($J$24="Deutsch","Tackle",(IF($J$24="Français","Prise sûre","Sure Hands")))))</f>
        <v>Profesional</v>
      </c>
      <c r="BT81" s="21" t="s">
        <v>167</v>
      </c>
      <c r="BU81" s="81" t="str">
        <f>IF($J$24="Español","Profesional",(IF($J$24="Deutsch","Tackle",(IF($J$24="Français","Prise sûre","Sure Hands")))))</f>
        <v>Profesional</v>
      </c>
      <c r="BV81" s="21" t="s">
        <v>167</v>
      </c>
      <c r="BW81" s="81" t="str">
        <f>IF($J$24="Español","Profesional",(IF($J$24="Deutsch","Tackle",(IF($J$24="Français","Prise sûre","Sure Hands")))))</f>
        <v>Profesional</v>
      </c>
      <c r="BX81" s="21" t="s">
        <v>167</v>
      </c>
      <c r="BY81" s="75" t="str">
        <f>IF($J$24="Español","Profesional",(IF($J$24="Deutsch","Tackle",(IF($J$24="Français","Prise sûre","Sure Hands")))))</f>
        <v>Profesional</v>
      </c>
      <c r="BZ81" s="21" t="s">
        <v>167</v>
      </c>
      <c r="CA81" s="75" t="str">
        <f>IF($J$24="Español","Pies Firmes",(IF($J$24="Deutsch","Heimtückisch",(IF($J$24="Français","Réception plongeante ","Leap")))))</f>
        <v>Pies Firmes</v>
      </c>
      <c r="CB81" s="21" t="s">
        <v>168</v>
      </c>
      <c r="CC81" s="75" t="str">
        <f>IF($J$24="Español","Zafarse",(IF($J$24="Deutsch","Wrestling",(IF($J$24="Français","Tacle","Wrestle")))))</f>
        <v>Zafarse</v>
      </c>
      <c r="CD81" s="2" t="s">
        <v>167</v>
      </c>
      <c r="CE81" s="2"/>
      <c r="CF81" s="2"/>
      <c r="CG81" s="2" t="str">
        <f t="shared" si="68"/>
        <v/>
      </c>
      <c r="CH81" s="2" t="str">
        <f t="shared" si="69"/>
        <v/>
      </c>
      <c r="CI81" s="2" t="str">
        <f t="shared" si="70"/>
        <v/>
      </c>
      <c r="CJ81" s="2" t="str">
        <f t="shared" si="71"/>
        <v/>
      </c>
      <c r="CK81" s="2" t="str">
        <f t="shared" si="72"/>
        <v/>
      </c>
      <c r="CL81" s="2" t="str">
        <f t="shared" si="73"/>
        <v/>
      </c>
      <c r="CM81" s="2" t="str">
        <f t="shared" si="74"/>
        <v/>
      </c>
      <c r="CN81" s="2" t="str">
        <f t="shared" si="75"/>
        <v/>
      </c>
      <c r="CO81" s="2" t="str">
        <f t="shared" si="76"/>
        <v/>
      </c>
      <c r="CP81" s="2" t="str">
        <f t="shared" si="77"/>
        <v/>
      </c>
      <c r="CQ81" s="2" t="str">
        <f t="shared" si="78"/>
        <v/>
      </c>
      <c r="CR81" s="2" t="str">
        <f t="shared" si="79"/>
        <v/>
      </c>
      <c r="CS81" s="2" t="str">
        <f t="shared" si="80"/>
        <v/>
      </c>
      <c r="CT81" s="2" t="str">
        <f t="shared" si="81"/>
        <v/>
      </c>
      <c r="CU81" s="2" t="str">
        <f t="shared" si="82"/>
        <v/>
      </c>
      <c r="CV81" s="2" t="str">
        <f t="shared" si="83"/>
        <v/>
      </c>
      <c r="CW81" s="2"/>
      <c r="CX81" s="2"/>
      <c r="CY81" s="2"/>
      <c r="CZ81" s="2"/>
    </row>
    <row r="82" spans="2:104" ht="15" hidden="1" customHeight="1" x14ac:dyDescent="0.2">
      <c r="B82" s="1"/>
      <c r="C82" s="1"/>
      <c r="D82" s="1"/>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13">
        <v>17</v>
      </c>
      <c r="AR82" s="12">
        <v>680000</v>
      </c>
      <c r="AS82" s="12">
        <v>170000</v>
      </c>
      <c r="AT82" s="1"/>
      <c r="AU82" s="1"/>
      <c r="AV82" s="1"/>
      <c r="AW82" s="1"/>
      <c r="AX82" s="78">
        <v>14</v>
      </c>
      <c r="AY82" s="78">
        <v>15</v>
      </c>
      <c r="AZ82" s="1">
        <v>90000</v>
      </c>
      <c r="BA82" s="2" t="str">
        <f>IF(OR(BU2="Favouredof",BU2="FavouredofWorldsEdgeSuperleagueBadlandsBrawl"),(IF(BO2="Nurgle","",(IF(BO2="DaemonsofKhorne","","Chaos Undivided")))),"")</f>
        <v/>
      </c>
      <c r="BB82" s="2"/>
      <c r="BC82" s="2"/>
      <c r="BD82" s="2"/>
      <c r="BE82" s="2"/>
      <c r="BI82" s="2"/>
      <c r="BJ82" s="13"/>
      <c r="BL82" s="13"/>
      <c r="BN82" s="13"/>
      <c r="BO82" s="2"/>
      <c r="BP82" s="13"/>
      <c r="BS82" s="81" t="str">
        <f>IF($J$24="Español","Robar Balón",(IF($J$24="Deutsch","Unerschrocken",(IF($J$24="Français","Pro","Tackle")))))</f>
        <v>Robar Balón</v>
      </c>
      <c r="BT82" s="21" t="s">
        <v>167</v>
      </c>
      <c r="BU82" s="81" t="str">
        <f>IF($J$24="Español","Robar Balón",(IF($J$24="Deutsch","Unerschrocken",(IF($J$24="Français","Pro","Tackle")))))</f>
        <v>Robar Balón</v>
      </c>
      <c r="BV82" s="21" t="s">
        <v>167</v>
      </c>
      <c r="BW82" s="81" t="str">
        <f>IF($J$24="Español","Robar Balón",(IF($J$24="Deutsch","Unerschrocken",(IF($J$24="Français","Pro","Tackle")))))</f>
        <v>Robar Balón</v>
      </c>
      <c r="BX82" s="21" t="s">
        <v>167</v>
      </c>
      <c r="BY82" s="75" t="str">
        <f>IF($J$24="Español","Robar Balón",(IF($J$24="Deutsch","Unerschrocken",(IF($J$24="Français","Pro","Tackle")))))</f>
        <v>Robar Balón</v>
      </c>
      <c r="BZ82" s="21" t="s">
        <v>167</v>
      </c>
      <c r="CA82" s="75" t="str">
        <f>IF($J$24="Español","Placaje Heroico",(IF($J$24="Deutsch","Sichere Hände",(IF($J$24="Français","Rétablissement","Safe Pair of Hands")))))</f>
        <v>Placaje Heroico</v>
      </c>
      <c r="CB82" s="21" t="s">
        <v>168</v>
      </c>
      <c r="CC82" s="75" t="str">
        <f>IF($J$24="Español","Atrapar",(IF($J$24="Deutsch","Aufspringen",(IF($J$24="Français","Défenseur ","Catch")))))</f>
        <v>Atrapar</v>
      </c>
      <c r="CD82" s="2" t="s">
        <v>168</v>
      </c>
      <c r="CE82" s="80"/>
      <c r="CF82" s="2"/>
      <c r="CG82" s="2" t="str">
        <f t="shared" si="68"/>
        <v/>
      </c>
      <c r="CH82" s="2" t="str">
        <f t="shared" si="69"/>
        <v/>
      </c>
      <c r="CI82" s="2" t="str">
        <f t="shared" si="70"/>
        <v/>
      </c>
      <c r="CJ82" s="2" t="str">
        <f t="shared" si="71"/>
        <v/>
      </c>
      <c r="CK82" s="2" t="str">
        <f t="shared" si="72"/>
        <v/>
      </c>
      <c r="CL82" s="2" t="str">
        <f t="shared" si="73"/>
        <v/>
      </c>
      <c r="CM82" s="2" t="str">
        <f t="shared" si="74"/>
        <v/>
      </c>
      <c r="CN82" s="2" t="str">
        <f t="shared" si="75"/>
        <v/>
      </c>
      <c r="CO82" s="2" t="str">
        <f t="shared" si="76"/>
        <v/>
      </c>
      <c r="CP82" s="2" t="str">
        <f t="shared" si="77"/>
        <v/>
      </c>
      <c r="CQ82" s="2" t="str">
        <f t="shared" si="78"/>
        <v/>
      </c>
      <c r="CR82" s="2" t="str">
        <f t="shared" si="79"/>
        <v/>
      </c>
      <c r="CS82" s="2" t="str">
        <f t="shared" si="80"/>
        <v/>
      </c>
      <c r="CT82" s="2" t="str">
        <f t="shared" si="81"/>
        <v/>
      </c>
      <c r="CU82" s="2" t="str">
        <f t="shared" si="82"/>
        <v/>
      </c>
      <c r="CV82" s="2" t="str">
        <f t="shared" si="83"/>
        <v/>
      </c>
      <c r="CW82" s="2"/>
      <c r="CX82" s="2"/>
      <c r="CY82" s="2"/>
      <c r="CZ82" s="2"/>
    </row>
    <row r="83" spans="2:104" ht="14.25" hidden="1" customHeight="1" x14ac:dyDescent="0.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83">
        <f>SUM(AM2:AM17)</f>
        <v>0</v>
      </c>
      <c r="AJ83" s="2"/>
      <c r="AK83" s="2"/>
      <c r="AL83" s="2"/>
      <c r="AM83" s="2"/>
      <c r="AN83" s="2"/>
      <c r="AO83" s="2"/>
      <c r="AP83" s="2"/>
      <c r="AQ83" s="13">
        <v>18</v>
      </c>
      <c r="AR83" s="12">
        <v>685000</v>
      </c>
      <c r="AS83" s="12">
        <v>180000</v>
      </c>
      <c r="AT83" s="1"/>
      <c r="AU83" s="1"/>
      <c r="AV83" s="1"/>
      <c r="AW83" s="1"/>
      <c r="AX83" s="78">
        <v>15</v>
      </c>
      <c r="AY83" s="78">
        <v>16</v>
      </c>
      <c r="AZ83" s="1">
        <v>100000</v>
      </c>
      <c r="BA83" s="2" t="str">
        <f>IF(OR(BU2="Favouredof",BU2="FavouredofWorldsEdgeSuperleagueBadlandsBrawl"),(IF(BO2="Nurgle","",(IF(BO2="DaemonsofKhorne","","Khorne")))),"")</f>
        <v/>
      </c>
      <c r="BB83" s="2"/>
      <c r="BC83" s="2"/>
      <c r="BD83" s="2"/>
      <c r="BE83" s="2"/>
      <c r="BI83" s="2"/>
      <c r="BJ83" s="13"/>
      <c r="BL83" s="13"/>
      <c r="BN83" s="13"/>
      <c r="BO83" s="2"/>
      <c r="BP83" s="13"/>
      <c r="BS83" s="81" t="str">
        <f>IF($J$24="Español","Zafarse",(IF($J$24="Deutsch","Wrestling",(IF($J$24="Français","Tacle","Wrestle")))))</f>
        <v>Zafarse</v>
      </c>
      <c r="BT83" s="21" t="s">
        <v>167</v>
      </c>
      <c r="BU83" s="81" t="str">
        <f>IF($J$24="Español","Zafarse",(IF($J$24="Deutsch","Wrestling",(IF($J$24="Français","Tacle","Wrestle")))))</f>
        <v>Zafarse</v>
      </c>
      <c r="BV83" s="21" t="s">
        <v>167</v>
      </c>
      <c r="BW83" s="81" t="str">
        <f>IF($J$24="Español","Zafarse",(IF($J$24="Deutsch","Wrestling",(IF($J$24="Français","Tacle","Wrestle")))))</f>
        <v>Zafarse</v>
      </c>
      <c r="BX83" s="21" t="s">
        <v>167</v>
      </c>
      <c r="BY83" s="75" t="str">
        <f>IF($J$24="Español","Zafarse",(IF($J$24="Deutsch","Wrestling",(IF($J$24="Français","Tacle","Wrestle")))))</f>
        <v>Zafarse</v>
      </c>
      <c r="BZ83" s="21" t="s">
        <v>167</v>
      </c>
      <c r="CA83" s="75" t="str">
        <f>IF($J$24="Español","Proteger el Cuero",(IF($J$24="Deutsch","Springen",(IF($J$24="Français","Saut","Sidestep")))))</f>
        <v>Proteger el Cuero</v>
      </c>
      <c r="CB83" s="21" t="s">
        <v>168</v>
      </c>
      <c r="CC83" s="75" t="str">
        <f>IF($J$24="Español","Echarse a un Lado",(IF($J$24="Deutsch","Ausweichen",(IF($J$24="Français","Équilibre","Diving Catch")))))</f>
        <v>Echarse a un Lado</v>
      </c>
      <c r="CD83" s="2" t="s">
        <v>168</v>
      </c>
      <c r="CE83" s="80"/>
      <c r="CF83" s="2"/>
      <c r="CG83" s="2" t="str">
        <f t="shared" si="68"/>
        <v/>
      </c>
      <c r="CH83" s="2" t="str">
        <f t="shared" si="69"/>
        <v/>
      </c>
      <c r="CI83" s="2" t="str">
        <f t="shared" si="70"/>
        <v/>
      </c>
      <c r="CJ83" s="2" t="str">
        <f t="shared" si="71"/>
        <v/>
      </c>
      <c r="CK83" s="2" t="str">
        <f t="shared" si="72"/>
        <v/>
      </c>
      <c r="CL83" s="2" t="str">
        <f t="shared" si="73"/>
        <v/>
      </c>
      <c r="CM83" s="2" t="str">
        <f t="shared" si="74"/>
        <v/>
      </c>
      <c r="CN83" s="2" t="str">
        <f t="shared" si="75"/>
        <v/>
      </c>
      <c r="CO83" s="2" t="str">
        <f t="shared" si="76"/>
        <v/>
      </c>
      <c r="CP83" s="2" t="str">
        <f t="shared" si="77"/>
        <v/>
      </c>
      <c r="CQ83" s="2" t="str">
        <f t="shared" si="78"/>
        <v/>
      </c>
      <c r="CR83" s="2" t="str">
        <f t="shared" si="79"/>
        <v/>
      </c>
      <c r="CS83" s="2" t="str">
        <f t="shared" si="80"/>
        <v/>
      </c>
      <c r="CT83" s="2" t="str">
        <f t="shared" si="81"/>
        <v/>
      </c>
      <c r="CU83" s="2" t="str">
        <f t="shared" si="82"/>
        <v/>
      </c>
      <c r="CV83" s="2" t="str">
        <f t="shared" si="83"/>
        <v/>
      </c>
      <c r="CW83" s="2"/>
      <c r="CX83" s="2"/>
      <c r="CY83" s="2"/>
      <c r="CZ83" s="2"/>
    </row>
    <row r="84" spans="2:104" ht="15" hidden="1" customHeight="1" x14ac:dyDescent="0.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12">
        <v>19</v>
      </c>
      <c r="AR84" s="12">
        <v>690000</v>
      </c>
      <c r="AS84" s="12">
        <v>190000</v>
      </c>
      <c r="AT84" s="1"/>
      <c r="AU84" s="1"/>
      <c r="AV84" s="1"/>
      <c r="AW84" s="1"/>
      <c r="AX84" s="78">
        <v>16</v>
      </c>
      <c r="AY84" s="78">
        <v>17</v>
      </c>
      <c r="AZ84" s="1">
        <v>110000</v>
      </c>
      <c r="BA84" s="2" t="str">
        <f>IF(OR(BU2="Favouredof",BU2="FavouredofWorldsEdgeSuperleagueBadlandsBrawl"),(IF(BO2="Nurgle","",(IF(BO2="DaemonsofKhorne","","Nurgle")))),"")</f>
        <v/>
      </c>
      <c r="BB84" s="2"/>
      <c r="BC84" s="2"/>
      <c r="BD84" s="2"/>
      <c r="BE84" s="2"/>
      <c r="BJ84" s="13"/>
      <c r="BL84" s="13"/>
      <c r="BN84" s="13"/>
      <c r="BO84" s="2"/>
      <c r="BP84" s="13"/>
      <c r="BS84" s="81" t="str">
        <f>IF($J$24="Español","Atrapar",(IF($J$24="Deutsch","Aufspringen",(IF($J$24="Français","Défenseur ","Catch")))))</f>
        <v>Atrapar</v>
      </c>
      <c r="BT84" s="21" t="s">
        <v>168</v>
      </c>
      <c r="BU84" s="81" t="str">
        <f>IF($J$24="Español","Atrapar",(IF($J$24="Deutsch","Aufspringen",(IF($J$24="Français","Défenseur ","Catch")))))</f>
        <v>Atrapar</v>
      </c>
      <c r="BV84" s="21" t="s">
        <v>168</v>
      </c>
      <c r="BW84" s="81" t="str">
        <f>IF($J$24="Español","Atrapar",(IF($J$24="Deutsch","Aufspringen",(IF($J$24="Français","Défenseur ","Catch")))))</f>
        <v>Atrapar</v>
      </c>
      <c r="BX84" s="21" t="s">
        <v>168</v>
      </c>
      <c r="BY84" s="75" t="str">
        <f>IF($J$24="Español","Atrapar",(IF($J$24="Deutsch","Aufspringen",(IF($J$24="Français","Défenseur ","Catch")))))</f>
        <v>Atrapar</v>
      </c>
      <c r="BZ84" s="21" t="s">
        <v>168</v>
      </c>
      <c r="CA84" s="75" t="str">
        <f>IF($J$24="Español","Recepción Heroica",(IF($J$24="Deutsch","Sprinten",(IF($J$24="Français","Sprint","Sneaky Git")))))</f>
        <v>Recepción Heroica</v>
      </c>
      <c r="CB84" s="21" t="s">
        <v>168</v>
      </c>
      <c r="CC84" s="75" t="str">
        <f>IF($J$24="Español","En Pie de un Salto",(IF($J$24="Deutsch","Fangsicher",(IF($J$24="Français","Esquive","Diving Tackle")))))</f>
        <v>En Pie de un Salto</v>
      </c>
      <c r="CD84" s="2" t="s">
        <v>168</v>
      </c>
      <c r="CE84" s="80"/>
      <c r="CF84" s="2"/>
      <c r="CG84" s="2" t="str">
        <f t="shared" si="68"/>
        <v/>
      </c>
      <c r="CH84" s="2" t="str">
        <f t="shared" si="69"/>
        <v/>
      </c>
      <c r="CI84" s="2" t="str">
        <f t="shared" si="70"/>
        <v/>
      </c>
      <c r="CJ84" s="2" t="str">
        <f t="shared" si="71"/>
        <v/>
      </c>
      <c r="CK84" s="2" t="str">
        <f t="shared" si="72"/>
        <v/>
      </c>
      <c r="CL84" s="2" t="str">
        <f t="shared" si="73"/>
        <v/>
      </c>
      <c r="CM84" s="2" t="str">
        <f t="shared" si="74"/>
        <v/>
      </c>
      <c r="CN84" s="2" t="str">
        <f t="shared" si="75"/>
        <v/>
      </c>
      <c r="CO84" s="2" t="str">
        <f t="shared" si="76"/>
        <v/>
      </c>
      <c r="CP84" s="2" t="str">
        <f t="shared" si="77"/>
        <v/>
      </c>
      <c r="CQ84" s="2" t="str">
        <f t="shared" si="78"/>
        <v/>
      </c>
      <c r="CR84" s="2" t="str">
        <f t="shared" si="79"/>
        <v/>
      </c>
      <c r="CS84" s="2" t="str">
        <f t="shared" si="80"/>
        <v/>
      </c>
      <c r="CT84" s="2" t="str">
        <f t="shared" si="81"/>
        <v/>
      </c>
      <c r="CU84" s="2" t="str">
        <f t="shared" si="82"/>
        <v/>
      </c>
      <c r="CV84" s="2" t="str">
        <f t="shared" si="83"/>
        <v/>
      </c>
      <c r="CW84" s="2"/>
      <c r="CX84" s="2"/>
      <c r="CY84" s="2"/>
      <c r="CZ84" s="2"/>
    </row>
    <row r="85" spans="2:104" ht="15" hidden="1" customHeight="1" x14ac:dyDescent="0.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13">
        <v>20</v>
      </c>
      <c r="AR85" s="12">
        <v>695000</v>
      </c>
      <c r="AS85" s="12">
        <v>200000</v>
      </c>
      <c r="AT85" s="1"/>
      <c r="AU85" s="1"/>
      <c r="AV85" s="1"/>
      <c r="AW85" s="1"/>
      <c r="AX85" s="78">
        <v>17</v>
      </c>
      <c r="AY85" s="78">
        <v>18</v>
      </c>
      <c r="AZ85" s="1">
        <v>120000</v>
      </c>
      <c r="BA85" s="2" t="str">
        <f>IF(OR(BU2="Favouredof",BU2="FavouredofWorldsEdgeSuperleagueBadlandsBrawl"),(IF(BO2="Nurgle","",(IF(BO2="DaemonsofKhorne","","Slaanesh")))),"")</f>
        <v/>
      </c>
      <c r="BB85" s="2"/>
      <c r="BC85" s="2"/>
      <c r="BD85" s="2"/>
      <c r="BE85" s="2"/>
      <c r="BJ85" s="13"/>
      <c r="BL85" s="13"/>
      <c r="BN85" s="13"/>
      <c r="BO85" s="2"/>
      <c r="BP85" s="13"/>
      <c r="BS85" s="81" t="str">
        <f>IF($J$24="Español","Echarse a un Lado",(IF($J$24="Deutsch","Ausweichen",(IF($J$24="Français","Équilibre","Diving Catch")))))</f>
        <v>Echarse a un Lado</v>
      </c>
      <c r="BT85" s="21" t="s">
        <v>168</v>
      </c>
      <c r="BU85" s="81" t="str">
        <f>IF($J$24="Español","Echarse a un Lado",(IF($J$24="Deutsch","Ausweichen",(IF($J$24="Français","Équilibre","Diving Catch")))))</f>
        <v>Echarse a un Lado</v>
      </c>
      <c r="BV85" s="21" t="s">
        <v>168</v>
      </c>
      <c r="BW85" s="81" t="str">
        <f>IF($J$24="Español","Echarse a un Lado",(IF($J$24="Deutsch","Ausweichen",(IF($J$24="Français","Équilibre","Diving Catch")))))</f>
        <v>Echarse a un Lado</v>
      </c>
      <c r="BX85" s="21" t="s">
        <v>168</v>
      </c>
      <c r="BY85" s="75" t="str">
        <f>IF($J$24="Español","Echarse a un Lado",(IF($J$24="Deutsch","Ausweichen",(IF($J$24="Français","Équilibre","Diving Catch")))))</f>
        <v>Echarse a un Lado</v>
      </c>
      <c r="BZ85" s="21" t="s">
        <v>168</v>
      </c>
      <c r="CA85" s="75" t="str">
        <f>IF($J$24="Español","Romper Defensas",(IF($J$24="Deutsch","Sprintensicher",(IF($J$24="Français","Sournois","Sprint")))))</f>
        <v>Romper Defensas</v>
      </c>
      <c r="CB85" s="21" t="s">
        <v>168</v>
      </c>
      <c r="CC85" s="75" t="str">
        <f>IF($J$24="Español","Esprintar",(IF($J$24="Deutsch","Fliegender Tackle",(IF($J$24="Français","Glissade contrôlée","Dodge")))))</f>
        <v>Esprintar</v>
      </c>
      <c r="CD85" s="2" t="s">
        <v>168</v>
      </c>
      <c r="CE85" s="80"/>
      <c r="CF85" s="2"/>
      <c r="CG85" s="2" t="str">
        <f t="shared" si="68"/>
        <v/>
      </c>
      <c r="CH85" s="2" t="str">
        <f t="shared" si="69"/>
        <v/>
      </c>
      <c r="CI85" s="2" t="str">
        <f t="shared" si="70"/>
        <v/>
      </c>
      <c r="CJ85" s="2" t="str">
        <f t="shared" si="71"/>
        <v/>
      </c>
      <c r="CK85" s="2" t="str">
        <f t="shared" si="72"/>
        <v/>
      </c>
      <c r="CL85" s="2" t="str">
        <f t="shared" si="73"/>
        <v/>
      </c>
      <c r="CM85" s="2" t="str">
        <f t="shared" si="74"/>
        <v/>
      </c>
      <c r="CN85" s="2" t="str">
        <f t="shared" si="75"/>
        <v/>
      </c>
      <c r="CO85" s="2" t="str">
        <f t="shared" si="76"/>
        <v/>
      </c>
      <c r="CP85" s="2" t="str">
        <f t="shared" si="77"/>
        <v/>
      </c>
      <c r="CQ85" s="2" t="str">
        <f t="shared" si="78"/>
        <v/>
      </c>
      <c r="CR85" s="2" t="str">
        <f t="shared" si="79"/>
        <v/>
      </c>
      <c r="CS85" s="2" t="str">
        <f t="shared" si="80"/>
        <v/>
      </c>
      <c r="CT85" s="2" t="str">
        <f t="shared" si="81"/>
        <v/>
      </c>
      <c r="CU85" s="2" t="str">
        <f t="shared" si="82"/>
        <v/>
      </c>
      <c r="CV85" s="2" t="str">
        <f t="shared" si="83"/>
        <v/>
      </c>
      <c r="CW85" s="2"/>
      <c r="CX85" s="2"/>
      <c r="CY85" s="2"/>
      <c r="CZ85" s="2"/>
    </row>
    <row r="86" spans="2:104" ht="15" hidden="1" customHeight="1" x14ac:dyDescent="0.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13">
        <v>21</v>
      </c>
      <c r="AR86" s="12">
        <v>700000</v>
      </c>
      <c r="AS86" s="12">
        <v>210000</v>
      </c>
      <c r="AT86" s="1"/>
      <c r="AU86" s="1"/>
      <c r="AV86" s="1"/>
      <c r="AW86" s="1"/>
      <c r="AX86" s="78">
        <v>18</v>
      </c>
      <c r="AY86" s="78">
        <v>19</v>
      </c>
      <c r="AZ86" s="1">
        <v>130000</v>
      </c>
      <c r="BA86" s="2" t="str">
        <f>IF(OR(BU2="Favouredof",BU2="FavouredofWorldsEdgeSuperleagueBadlandsBrawl"),(IF(BO2="Nurgle","",(IF(BO2="DaemonsofKhorne","","Tzeentch")))),"")</f>
        <v/>
      </c>
      <c r="BB86" s="2"/>
      <c r="BC86" s="2"/>
      <c r="BD86" s="2"/>
      <c r="BE86" s="2"/>
      <c r="BJ86" s="13"/>
      <c r="BL86" s="13"/>
      <c r="BN86" s="13"/>
      <c r="BO86" s="2"/>
      <c r="BP86" s="13"/>
      <c r="BS86" s="81" t="str">
        <f>IF($J$24="Español","En Pie de un Salto",(IF($J$24="Deutsch","Fangsicher",(IF($J$24="Français","Esquive","Diving Tackle")))))</f>
        <v>En Pie de un Salto</v>
      </c>
      <c r="BT86" s="21" t="s">
        <v>168</v>
      </c>
      <c r="BU86" s="81" t="str">
        <f>IF($J$24="Español","En Pie de un Salto",(IF($J$24="Deutsch","Fangsicher",(IF($J$24="Français","Esquive","Diving Tackle")))))</f>
        <v>En Pie de un Salto</v>
      </c>
      <c r="BV86" s="21" t="s">
        <v>168</v>
      </c>
      <c r="BW86" s="81" t="str">
        <f>IF($J$24="Español","En Pie de un Salto",(IF($J$24="Deutsch","Fangsicher",(IF($J$24="Français","Esquive","Diving Tackle")))))</f>
        <v>En Pie de un Salto</v>
      </c>
      <c r="BX86" s="21" t="s">
        <v>168</v>
      </c>
      <c r="BY86" s="75" t="str">
        <f>IF($J$24="Español","En Pie de un Salto",(IF($J$24="Deutsch","Fangsicher",(IF($J$24="Français","Esquive","Diving Tackle")))))</f>
        <v>En Pie de un Salto</v>
      </c>
      <c r="BZ86" s="21" t="s">
        <v>168</v>
      </c>
      <c r="CA86" s="75" t="str">
        <f>IF($J$24="Español","Saltar",(IF($J$24="Deutsch","Wehrhaft",(IF($J$24="Français","Tacle plongeant ","Sure Feet")))))</f>
        <v>Saltar</v>
      </c>
      <c r="CB86" s="21" t="s">
        <v>168</v>
      </c>
      <c r="CC86" s="75" t="str">
        <f>IF($J$24="Español","Esquivar",(IF($J$24="Deutsch","Gewandt",(IF($J$24="Français","Libération contrôlée","Defensive")))))</f>
        <v>Esquivar</v>
      </c>
      <c r="CD86" s="2" t="s">
        <v>168</v>
      </c>
      <c r="CE86" s="80"/>
      <c r="CF86" s="2"/>
      <c r="CG86" s="2" t="str">
        <f t="shared" si="68"/>
        <v/>
      </c>
      <c r="CH86" s="2" t="str">
        <f t="shared" si="69"/>
        <v/>
      </c>
      <c r="CI86" s="2" t="str">
        <f t="shared" si="70"/>
        <v/>
      </c>
      <c r="CJ86" s="2" t="str">
        <f t="shared" si="71"/>
        <v/>
      </c>
      <c r="CK86" s="2" t="str">
        <f t="shared" si="72"/>
        <v/>
      </c>
      <c r="CL86" s="2" t="str">
        <f t="shared" si="73"/>
        <v/>
      </c>
      <c r="CM86" s="2" t="str">
        <f t="shared" si="74"/>
        <v/>
      </c>
      <c r="CN86" s="2" t="str">
        <f t="shared" si="75"/>
        <v/>
      </c>
      <c r="CO86" s="2" t="str">
        <f t="shared" si="76"/>
        <v/>
      </c>
      <c r="CP86" s="2" t="str">
        <f t="shared" si="77"/>
        <v/>
      </c>
      <c r="CQ86" s="2" t="str">
        <f t="shared" si="78"/>
        <v/>
      </c>
      <c r="CR86" s="2" t="str">
        <f t="shared" si="79"/>
        <v/>
      </c>
      <c r="CS86" s="2" t="str">
        <f t="shared" si="80"/>
        <v/>
      </c>
      <c r="CT86" s="2" t="str">
        <f t="shared" si="81"/>
        <v/>
      </c>
      <c r="CU86" s="2" t="str">
        <f t="shared" si="82"/>
        <v/>
      </c>
      <c r="CV86" s="2" t="str">
        <f t="shared" si="83"/>
        <v/>
      </c>
      <c r="CW86" s="2"/>
      <c r="CX86" s="2"/>
      <c r="CY86" s="2"/>
      <c r="CZ86" s="2"/>
    </row>
    <row r="87" spans="2:104" ht="15" hidden="1" customHeight="1" x14ac:dyDescent="0.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12">
        <v>22</v>
      </c>
      <c r="AR87" s="12">
        <v>705000</v>
      </c>
      <c r="AS87" s="12">
        <v>220000</v>
      </c>
      <c r="AT87" s="1"/>
      <c r="AU87" s="1"/>
      <c r="AV87" s="1"/>
      <c r="AW87" s="1"/>
      <c r="AX87" s="78">
        <v>19</v>
      </c>
      <c r="AY87" s="78">
        <v>20</v>
      </c>
      <c r="AZ87" s="1">
        <v>140000</v>
      </c>
      <c r="BA87" s="2"/>
      <c r="BB87" s="2"/>
      <c r="BC87" s="2"/>
      <c r="BD87" s="2"/>
      <c r="BE87" s="2"/>
      <c r="BJ87" s="13"/>
      <c r="BL87" s="13"/>
      <c r="BN87" s="13"/>
      <c r="BO87" s="2"/>
      <c r="BP87" s="13"/>
      <c r="BS87" s="81" t="str">
        <f>IF($J$24="Español","Esprintar",(IF($J$24="Deutsch","Fliegender Tackle",(IF($J$24="Français","Glissade contrôlée","Dodge")))))</f>
        <v>Esprintar</v>
      </c>
      <c r="BT87" s="21" t="s">
        <v>168</v>
      </c>
      <c r="BU87" s="81" t="str">
        <f>IF($J$24="Español","Esprintar",(IF($J$24="Deutsch","Fliegender Tackle",(IF($J$24="Français","Glissade contrôlée","Dodge")))))</f>
        <v>Esprintar</v>
      </c>
      <c r="BV87" s="21" t="s">
        <v>168</v>
      </c>
      <c r="BW87" s="81" t="str">
        <f>IF($J$24="Español","Esprintar",(IF($J$24="Deutsch","Fliegender Tackle",(IF($J$24="Français","Glissade contrôlée","Dodge")))))</f>
        <v>Esprintar</v>
      </c>
      <c r="BX87" s="21" t="s">
        <v>168</v>
      </c>
      <c r="BY87" s="75" t="str">
        <f>IF($J$24="Español","Esprintar",(IF($J$24="Deutsch","Fliegender Tackle",(IF($J$24="Français","Glissade contrôlée","Dodge")))))</f>
        <v>Esprintar</v>
      </c>
      <c r="BZ87" s="21" t="s">
        <v>168</v>
      </c>
      <c r="CA87" s="21" t="str">
        <f t="shared" ref="CA87:CB144" si="85">""</f>
        <v/>
      </c>
      <c r="CB87" s="21" t="str">
        <f t="shared" si="85"/>
        <v/>
      </c>
      <c r="CC87" s="75" t="str">
        <f>IF($J$24="Español","Furtivo",(IF($J$24="Deutsch","Hechtsprung",(IF($J$24="Français","Réception ","Jump Up")))))</f>
        <v>Furtivo</v>
      </c>
      <c r="CD87" s="2" t="s">
        <v>168</v>
      </c>
      <c r="CE87" s="80"/>
      <c r="CF87" s="2"/>
      <c r="CG87" s="2" t="str">
        <f t="shared" si="68"/>
        <v/>
      </c>
      <c r="CH87" s="2" t="str">
        <f t="shared" si="69"/>
        <v/>
      </c>
      <c r="CI87" s="2" t="str">
        <f t="shared" si="70"/>
        <v/>
      </c>
      <c r="CJ87" s="2" t="str">
        <f t="shared" si="71"/>
        <v/>
      </c>
      <c r="CK87" s="2" t="str">
        <f t="shared" si="72"/>
        <v/>
      </c>
      <c r="CL87" s="2" t="str">
        <f t="shared" si="73"/>
        <v/>
      </c>
      <c r="CM87" s="2" t="str">
        <f t="shared" si="74"/>
        <v/>
      </c>
      <c r="CN87" s="2" t="str">
        <f t="shared" si="75"/>
        <v/>
      </c>
      <c r="CO87" s="2" t="str">
        <f t="shared" si="76"/>
        <v/>
      </c>
      <c r="CP87" s="2" t="str">
        <f t="shared" si="77"/>
        <v/>
      </c>
      <c r="CQ87" s="2" t="str">
        <f t="shared" si="78"/>
        <v/>
      </c>
      <c r="CR87" s="2" t="str">
        <f t="shared" si="79"/>
        <v/>
      </c>
      <c r="CS87" s="2" t="str">
        <f t="shared" si="80"/>
        <v/>
      </c>
      <c r="CT87" s="2" t="str">
        <f t="shared" si="81"/>
        <v/>
      </c>
      <c r="CU87" s="2" t="str">
        <f t="shared" si="82"/>
        <v/>
      </c>
      <c r="CV87" s="2" t="str">
        <f t="shared" si="83"/>
        <v/>
      </c>
      <c r="CW87" s="2"/>
      <c r="CX87" s="2"/>
      <c r="CY87" s="2"/>
      <c r="CZ87" s="2"/>
    </row>
    <row r="88" spans="2:104" ht="15" hidden="1" customHeight="1" x14ac:dyDescent="0.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13">
        <v>23</v>
      </c>
      <c r="AR88" s="12">
        <v>710000</v>
      </c>
      <c r="AS88" s="12">
        <v>230000</v>
      </c>
      <c r="AT88" s="1"/>
      <c r="AU88" s="1"/>
      <c r="AV88" s="1"/>
      <c r="AW88" s="1"/>
      <c r="AX88" s="78">
        <v>20</v>
      </c>
      <c r="AY88" s="2"/>
      <c r="AZ88" s="1">
        <v>150000</v>
      </c>
      <c r="BA88" s="2"/>
      <c r="BB88" s="2"/>
      <c r="BC88" s="2"/>
      <c r="BD88" s="2"/>
      <c r="BE88" s="2"/>
      <c r="BJ88" s="2"/>
      <c r="BL88" s="2"/>
      <c r="BN88" s="2"/>
      <c r="BO88" s="2"/>
      <c r="BP88" s="2"/>
      <c r="BS88" s="81" t="str">
        <f>IF($J$24="Español","Esquivar",(IF($J$24="Deutsch","Gewandt",(IF($J$24="Français","Libération contrôlée","Defensive")))))</f>
        <v>Esquivar</v>
      </c>
      <c r="BT88" s="21" t="s">
        <v>168</v>
      </c>
      <c r="BU88" s="81" t="str">
        <f>IF($J$24="Español","Esquivar",(IF($J$24="Deutsch","Gewandt",(IF($J$24="Français","Libération contrôlée","Defensive")))))</f>
        <v>Esquivar</v>
      </c>
      <c r="BV88" s="21" t="s">
        <v>168</v>
      </c>
      <c r="BW88" s="81" t="str">
        <f>IF($J$24="Español","Esquivar",(IF($J$24="Deutsch","Gewandt",(IF($J$24="Français","Libération contrôlée","Defensive")))))</f>
        <v>Esquivar</v>
      </c>
      <c r="BX88" s="21" t="s">
        <v>168</v>
      </c>
      <c r="BY88" s="75" t="str">
        <f>IF($J$24="Español","Esquivar",(IF($J$24="Deutsch","Gewandt",(IF($J$24="Français","Libération contrôlée","Defensive")))))</f>
        <v>Esquivar</v>
      </c>
      <c r="BZ88" s="21" t="s">
        <v>168</v>
      </c>
      <c r="CA88" s="21" t="str">
        <f t="shared" si="85"/>
        <v/>
      </c>
      <c r="CB88" s="21" t="str">
        <f t="shared" si="85"/>
        <v/>
      </c>
      <c r="CC88" s="75" t="str">
        <f>IF($J$24="Español","Pies Firmes",(IF($J$24="Deutsch","Heimtückisch",(IF($J$24="Français","Réception plongeante ","Leap")))))</f>
        <v>Pies Firmes</v>
      </c>
      <c r="CD88" s="2" t="s">
        <v>168</v>
      </c>
      <c r="CE88" s="80"/>
      <c r="CF88" s="2"/>
      <c r="CG88" s="2" t="str">
        <f t="shared" si="68"/>
        <v/>
      </c>
      <c r="CH88" s="2" t="str">
        <f t="shared" si="69"/>
        <v/>
      </c>
      <c r="CI88" s="2" t="str">
        <f t="shared" si="70"/>
        <v/>
      </c>
      <c r="CJ88" s="2" t="str">
        <f t="shared" si="71"/>
        <v/>
      </c>
      <c r="CK88" s="2" t="str">
        <f t="shared" si="72"/>
        <v/>
      </c>
      <c r="CL88" s="2" t="str">
        <f t="shared" si="73"/>
        <v/>
      </c>
      <c r="CM88" s="2" t="str">
        <f t="shared" si="74"/>
        <v/>
      </c>
      <c r="CN88" s="2" t="str">
        <f t="shared" si="75"/>
        <v/>
      </c>
      <c r="CO88" s="2" t="str">
        <f t="shared" si="76"/>
        <v/>
      </c>
      <c r="CP88" s="2" t="str">
        <f t="shared" si="77"/>
        <v/>
      </c>
      <c r="CQ88" s="2" t="str">
        <f t="shared" si="78"/>
        <v/>
      </c>
      <c r="CR88" s="2" t="str">
        <f t="shared" si="79"/>
        <v/>
      </c>
      <c r="CS88" s="2" t="str">
        <f t="shared" si="80"/>
        <v/>
      </c>
      <c r="CT88" s="2" t="str">
        <f t="shared" si="81"/>
        <v/>
      </c>
      <c r="CU88" s="2" t="str">
        <f t="shared" si="82"/>
        <v/>
      </c>
      <c r="CV88" s="2" t="str">
        <f t="shared" si="83"/>
        <v/>
      </c>
      <c r="CW88" s="2"/>
      <c r="CX88" s="2"/>
      <c r="CY88" s="2"/>
      <c r="CZ88" s="2"/>
    </row>
    <row r="89" spans="2:104" ht="15" hidden="1" customHeight="1" x14ac:dyDescent="0.2">
      <c r="B89" s="122"/>
      <c r="C89" s="123"/>
      <c r="D89" s="123"/>
      <c r="E89" s="123"/>
      <c r="F89" s="123"/>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13">
        <v>24</v>
      </c>
      <c r="AR89" s="12">
        <v>715000</v>
      </c>
      <c r="AS89" s="12">
        <v>240000</v>
      </c>
      <c r="AT89" s="1"/>
      <c r="AU89" s="1"/>
      <c r="AV89" s="1"/>
      <c r="AW89" s="1"/>
      <c r="AX89" s="2"/>
      <c r="AY89" s="2"/>
      <c r="AZ89" s="1">
        <v>160000</v>
      </c>
      <c r="BA89" s="2"/>
      <c r="BB89" s="2"/>
      <c r="BC89" s="2"/>
      <c r="BD89" s="2"/>
      <c r="BE89" s="2"/>
      <c r="BJ89" s="13"/>
      <c r="BL89" s="13"/>
      <c r="BN89" s="13"/>
      <c r="BO89" s="2"/>
      <c r="BP89" s="13"/>
      <c r="BS89" s="81" t="str">
        <f>IF($J$24="Español","Furtivo",(IF($J$24="Deutsch","Hechtsprung",(IF($J$24="Français","Réception ","Jump Up")))))</f>
        <v>Furtivo</v>
      </c>
      <c r="BT89" s="21" t="s">
        <v>168</v>
      </c>
      <c r="BU89" s="81" t="str">
        <f>IF($J$24="Español","Furtivo",(IF($J$24="Deutsch","Hechtsprung",(IF($J$24="Français","Réception ","Jump Up")))))</f>
        <v>Furtivo</v>
      </c>
      <c r="BV89" s="21" t="s">
        <v>168</v>
      </c>
      <c r="BW89" s="81" t="str">
        <f>IF($J$24="Español","Furtivo",(IF($J$24="Deutsch","Hechtsprung",(IF($J$24="Français","Réception ","Jump Up")))))</f>
        <v>Furtivo</v>
      </c>
      <c r="BX89" s="21" t="s">
        <v>168</v>
      </c>
      <c r="BY89" s="75" t="str">
        <f>IF($J$24="Español","Furtivo",(IF($J$24="Deutsch","Hechtsprung",(IF($J$24="Français","Réception ","Jump Up")))))</f>
        <v>Furtivo</v>
      </c>
      <c r="BZ89" s="21" t="s">
        <v>168</v>
      </c>
      <c r="CA89" s="21" t="str">
        <f t="shared" si="85"/>
        <v/>
      </c>
      <c r="CB89" s="21" t="str">
        <f t="shared" si="85"/>
        <v/>
      </c>
      <c r="CC89" s="75" t="str">
        <f>IF($J$24="Español","Placaje Heroico",(IF($J$24="Deutsch","Sichere Hände",(IF($J$24="Français","Rétablissement","Safe Pair of Hands")))))</f>
        <v>Placaje Heroico</v>
      </c>
      <c r="CD89" s="2" t="s">
        <v>168</v>
      </c>
      <c r="CE89" s="80" t="s">
        <v>216</v>
      </c>
      <c r="CF89" s="2"/>
      <c r="CG89" s="2" t="str">
        <f t="shared" si="68"/>
        <v/>
      </c>
      <c r="CH89" s="2" t="str">
        <f t="shared" si="69"/>
        <v/>
      </c>
      <c r="CI89" s="2" t="str">
        <f t="shared" si="70"/>
        <v/>
      </c>
      <c r="CJ89" s="2" t="str">
        <f t="shared" si="71"/>
        <v/>
      </c>
      <c r="CK89" s="2" t="str">
        <f t="shared" si="72"/>
        <v/>
      </c>
      <c r="CL89" s="2" t="str">
        <f t="shared" si="73"/>
        <v/>
      </c>
      <c r="CM89" s="2" t="str">
        <f t="shared" si="74"/>
        <v/>
      </c>
      <c r="CN89" s="2" t="str">
        <f t="shared" si="75"/>
        <v/>
      </c>
      <c r="CO89" s="2" t="str">
        <f t="shared" si="76"/>
        <v/>
      </c>
      <c r="CP89" s="2" t="str">
        <f t="shared" si="77"/>
        <v/>
      </c>
      <c r="CQ89" s="2" t="str">
        <f t="shared" si="78"/>
        <v/>
      </c>
      <c r="CR89" s="2" t="str">
        <f t="shared" si="79"/>
        <v/>
      </c>
      <c r="CS89" s="2" t="str">
        <f t="shared" si="80"/>
        <v/>
      </c>
      <c r="CT89" s="2" t="str">
        <f t="shared" si="81"/>
        <v/>
      </c>
      <c r="CU89" s="2" t="str">
        <f t="shared" si="82"/>
        <v/>
      </c>
      <c r="CV89" s="2" t="str">
        <f t="shared" si="83"/>
        <v/>
      </c>
      <c r="CW89" s="2"/>
      <c r="CX89" s="2"/>
      <c r="CY89" s="2"/>
      <c r="CZ89" s="2"/>
    </row>
    <row r="90" spans="2:104" ht="15" hidden="1" customHeight="1" x14ac:dyDescent="0.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12">
        <v>25</v>
      </c>
      <c r="AR90" s="12">
        <v>720000</v>
      </c>
      <c r="AS90" s="12">
        <v>250000</v>
      </c>
      <c r="AT90" s="1"/>
      <c r="AU90" s="1"/>
      <c r="AV90" s="1"/>
      <c r="AW90" s="1"/>
      <c r="AX90" s="2"/>
      <c r="AY90" s="2"/>
      <c r="AZ90" s="1">
        <v>170000</v>
      </c>
      <c r="BA90" s="2"/>
      <c r="BB90" s="2"/>
      <c r="BC90" s="2"/>
      <c r="BD90" s="2"/>
      <c r="BE90" s="2"/>
      <c r="BJ90" s="13"/>
      <c r="BL90" s="13"/>
      <c r="BN90" s="13"/>
      <c r="BO90" s="2"/>
      <c r="BP90" s="13"/>
      <c r="BS90" s="81" t="str">
        <f>IF($J$24="Español","Pies Firmes",(IF($J$24="Deutsch","Heimtückisch",(IF($J$24="Français","Réception plongeante ","Leap")))))</f>
        <v>Pies Firmes</v>
      </c>
      <c r="BT90" s="21" t="s">
        <v>168</v>
      </c>
      <c r="BU90" s="81" t="str">
        <f>IF($J$24="Español","Pies Firmes",(IF($J$24="Deutsch","Heimtückisch",(IF($J$24="Français","Réception plongeante ","Leap")))))</f>
        <v>Pies Firmes</v>
      </c>
      <c r="BV90" s="21" t="s">
        <v>168</v>
      </c>
      <c r="BW90" s="81" t="str">
        <f>IF($J$24="Español","Pies Firmes",(IF($J$24="Deutsch","Heimtückisch",(IF($J$24="Français","Réception plongeante ","Leap")))))</f>
        <v>Pies Firmes</v>
      </c>
      <c r="BX90" s="21" t="s">
        <v>168</v>
      </c>
      <c r="BY90" s="75" t="str">
        <f>IF($J$24="Español","Pies Firmes",(IF($J$24="Deutsch","Heimtückisch",(IF($J$24="Français","Réception plongeante ","Leap")))))</f>
        <v>Pies Firmes</v>
      </c>
      <c r="BZ90" s="21" t="s">
        <v>168</v>
      </c>
      <c r="CA90" s="21" t="str">
        <f t="shared" si="85"/>
        <v/>
      </c>
      <c r="CB90" s="21" t="str">
        <f t="shared" si="85"/>
        <v/>
      </c>
      <c r="CC90" s="75" t="str">
        <f>IF($J$24="Español","Proteger el Cuero",(IF($J$24="Deutsch","Springen",(IF($J$24="Français","Saut","Sidestep")))))</f>
        <v>Proteger el Cuero</v>
      </c>
      <c r="CD90" s="2" t="s">
        <v>168</v>
      </c>
      <c r="CE90" s="80"/>
      <c r="CF90" s="2"/>
      <c r="CG90" s="2" t="str">
        <f t="shared" si="68"/>
        <v/>
      </c>
      <c r="CH90" s="2" t="str">
        <f t="shared" si="69"/>
        <v/>
      </c>
      <c r="CI90" s="2" t="str">
        <f t="shared" si="70"/>
        <v/>
      </c>
      <c r="CJ90" s="2" t="str">
        <f t="shared" si="71"/>
        <v/>
      </c>
      <c r="CK90" s="2" t="str">
        <f t="shared" si="72"/>
        <v/>
      </c>
      <c r="CL90" s="2" t="str">
        <f t="shared" si="73"/>
        <v/>
      </c>
      <c r="CM90" s="2" t="str">
        <f t="shared" si="74"/>
        <v/>
      </c>
      <c r="CN90" s="2" t="str">
        <f t="shared" si="75"/>
        <v/>
      </c>
      <c r="CO90" s="2" t="str">
        <f t="shared" si="76"/>
        <v/>
      </c>
      <c r="CP90" s="2" t="str">
        <f t="shared" si="77"/>
        <v/>
      </c>
      <c r="CQ90" s="2" t="str">
        <f t="shared" si="78"/>
        <v/>
      </c>
      <c r="CR90" s="2" t="str">
        <f t="shared" si="79"/>
        <v/>
      </c>
      <c r="CS90" s="2" t="str">
        <f t="shared" si="80"/>
        <v/>
      </c>
      <c r="CT90" s="2" t="str">
        <f t="shared" si="81"/>
        <v/>
      </c>
      <c r="CU90" s="2" t="str">
        <f t="shared" si="82"/>
        <v/>
      </c>
      <c r="CV90" s="2" t="str">
        <f t="shared" si="83"/>
        <v/>
      </c>
      <c r="CW90" s="2"/>
      <c r="CX90" s="2"/>
      <c r="CY90" s="2"/>
      <c r="CZ90" s="2"/>
    </row>
    <row r="91" spans="2:104" ht="15" hidden="1" customHeight="1" x14ac:dyDescent="0.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13">
        <v>26</v>
      </c>
      <c r="AR91" s="12">
        <v>725000</v>
      </c>
      <c r="AS91" s="12">
        <v>260000</v>
      </c>
      <c r="AT91" s="1"/>
      <c r="AU91" s="1"/>
      <c r="AV91" s="1"/>
      <c r="AW91" s="1"/>
      <c r="AX91" s="2"/>
      <c r="AY91" s="2"/>
      <c r="AZ91" s="1">
        <v>180000</v>
      </c>
      <c r="BA91" s="2"/>
      <c r="BB91" s="2"/>
      <c r="BC91" s="2"/>
      <c r="BD91" s="2"/>
      <c r="BE91" s="2"/>
      <c r="BJ91" s="13"/>
      <c r="BL91" s="13"/>
      <c r="BN91" s="13"/>
      <c r="BO91" s="2"/>
      <c r="BP91" s="13"/>
      <c r="BS91" s="81" t="str">
        <f>IF($J$24="Español","Placaje Heroico",(IF($J$24="Deutsch","Sichere Hände",(IF($J$24="Français","Rétablissement","Safe Pair of Hands")))))</f>
        <v>Placaje Heroico</v>
      </c>
      <c r="BT91" s="21" t="s">
        <v>168</v>
      </c>
      <c r="BU91" s="81" t="str">
        <f>IF($J$24="Español","Placaje Heroico",(IF($J$24="Deutsch","Sichere Hände",(IF($J$24="Français","Rétablissement","Safe Pair of Hands")))))</f>
        <v>Placaje Heroico</v>
      </c>
      <c r="BV91" s="21" t="s">
        <v>168</v>
      </c>
      <c r="BW91" s="81" t="str">
        <f>IF($J$24="Español","Placaje Heroico",(IF($J$24="Deutsch","Sichere Hände",(IF($J$24="Français","Rétablissement","Safe Pair of Hands")))))</f>
        <v>Placaje Heroico</v>
      </c>
      <c r="BX91" s="21" t="s">
        <v>168</v>
      </c>
      <c r="BY91" s="75" t="str">
        <f>IF($J$24="Español","Placaje Heroico",(IF($J$24="Deutsch","Sichere Hände",(IF($J$24="Français","Rétablissement","Safe Pair of Hands")))))</f>
        <v>Placaje Heroico</v>
      </c>
      <c r="BZ91" s="21" t="s">
        <v>168</v>
      </c>
      <c r="CA91" s="21" t="str">
        <f t="shared" si="85"/>
        <v/>
      </c>
      <c r="CB91" s="21" t="str">
        <f t="shared" si="85"/>
        <v/>
      </c>
      <c r="CC91" s="75" t="str">
        <f>IF($J$24="Español","Recepción Heroica",(IF($J$24="Deutsch","Sprinten",(IF($J$24="Français","Sprint","Sneaky Git")))))</f>
        <v>Recepción Heroica</v>
      </c>
      <c r="CD91" s="2" t="s">
        <v>168</v>
      </c>
      <c r="CE91" s="80"/>
      <c r="CF91" s="2"/>
      <c r="CG91" s="2" t="str">
        <f t="shared" si="68"/>
        <v/>
      </c>
      <c r="CH91" s="2" t="str">
        <f t="shared" si="69"/>
        <v/>
      </c>
      <c r="CI91" s="2" t="str">
        <f t="shared" si="70"/>
        <v/>
      </c>
      <c r="CJ91" s="2" t="str">
        <f t="shared" si="71"/>
        <v/>
      </c>
      <c r="CK91" s="2" t="str">
        <f t="shared" si="72"/>
        <v/>
      </c>
      <c r="CL91" s="2" t="str">
        <f t="shared" si="73"/>
        <v/>
      </c>
      <c r="CM91" s="2" t="str">
        <f t="shared" si="74"/>
        <v/>
      </c>
      <c r="CN91" s="2" t="str">
        <f t="shared" si="75"/>
        <v/>
      </c>
      <c r="CO91" s="2" t="str">
        <f t="shared" si="76"/>
        <v/>
      </c>
      <c r="CP91" s="2" t="str">
        <f t="shared" si="77"/>
        <v/>
      </c>
      <c r="CQ91" s="2" t="str">
        <f t="shared" si="78"/>
        <v/>
      </c>
      <c r="CR91" s="2" t="str">
        <f t="shared" si="79"/>
        <v/>
      </c>
      <c r="CS91" s="2" t="str">
        <f t="shared" si="80"/>
        <v/>
      </c>
      <c r="CT91" s="2" t="str">
        <f t="shared" si="81"/>
        <v/>
      </c>
      <c r="CU91" s="2" t="str">
        <f t="shared" si="82"/>
        <v/>
      </c>
      <c r="CV91" s="2" t="str">
        <f t="shared" si="83"/>
        <v/>
      </c>
      <c r="CW91" s="2"/>
      <c r="CX91" s="2"/>
      <c r="CY91" s="2"/>
      <c r="CZ91" s="2"/>
    </row>
    <row r="92" spans="2:104" ht="15" hidden="1" customHeight="1" x14ac:dyDescent="0.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13">
        <v>27</v>
      </c>
      <c r="AR92" s="12">
        <v>730000</v>
      </c>
      <c r="AS92" s="12">
        <v>270000</v>
      </c>
      <c r="AT92" s="1"/>
      <c r="AU92" s="1"/>
      <c r="AV92" s="1"/>
      <c r="AW92" s="1"/>
      <c r="AX92" s="2"/>
      <c r="AY92" s="2"/>
      <c r="AZ92" s="1">
        <v>190000</v>
      </c>
      <c r="BA92" s="2"/>
      <c r="BB92" s="2"/>
      <c r="BC92" s="2"/>
      <c r="BD92" s="2"/>
      <c r="BE92" s="2"/>
      <c r="BJ92" s="13"/>
      <c r="BL92" s="13"/>
      <c r="BN92" s="13"/>
      <c r="BO92" s="2"/>
      <c r="BP92" s="13"/>
      <c r="BS92" s="81" t="str">
        <f>IF($J$24="Español","Proteger el Cuero",(IF($J$24="Deutsch","Springen",(IF($J$24="Français","Saut","Sidestep")))))</f>
        <v>Proteger el Cuero</v>
      </c>
      <c r="BT92" s="21" t="s">
        <v>168</v>
      </c>
      <c r="BU92" s="81" t="str">
        <f>IF($J$24="Español","Proteger el Cuero",(IF($J$24="Deutsch","Springen",(IF($J$24="Français","Saut","Sidestep")))))</f>
        <v>Proteger el Cuero</v>
      </c>
      <c r="BV92" s="21" t="s">
        <v>168</v>
      </c>
      <c r="BW92" s="81" t="str">
        <f>IF($J$24="Español","Proteger el Cuero",(IF($J$24="Deutsch","Springen",(IF($J$24="Français","Saut","Sidestep")))))</f>
        <v>Proteger el Cuero</v>
      </c>
      <c r="BX92" s="21" t="s">
        <v>168</v>
      </c>
      <c r="BY92" s="75" t="str">
        <f>IF($J$24="Español","Proteger el Cuero",(IF($J$24="Deutsch","Springen",(IF($J$24="Français","Saut","Sidestep")))))</f>
        <v>Proteger el Cuero</v>
      </c>
      <c r="BZ92" s="21" t="s">
        <v>168</v>
      </c>
      <c r="CA92" s="21" t="str">
        <f t="shared" si="85"/>
        <v/>
      </c>
      <c r="CB92" s="21" t="str">
        <f t="shared" si="85"/>
        <v/>
      </c>
      <c r="CC92" s="75" t="str">
        <f>IF($J$24="Español","Romper Defensas",(IF($J$24="Deutsch","Sprintensicher",(IF($J$24="Français","Sournois","Sprint")))))</f>
        <v>Romper Defensas</v>
      </c>
      <c r="CD92" s="2" t="s">
        <v>168</v>
      </c>
      <c r="CE92" s="80"/>
      <c r="CF92" s="2"/>
      <c r="CG92" s="2" t="str">
        <f t="shared" si="68"/>
        <v/>
      </c>
      <c r="CH92" s="2" t="str">
        <f t="shared" si="69"/>
        <v/>
      </c>
      <c r="CI92" s="2" t="str">
        <f t="shared" si="70"/>
        <v/>
      </c>
      <c r="CJ92" s="2" t="str">
        <f t="shared" si="71"/>
        <v/>
      </c>
      <c r="CK92" s="2" t="str">
        <f t="shared" si="72"/>
        <v/>
      </c>
      <c r="CL92" s="2" t="str">
        <f t="shared" si="73"/>
        <v/>
      </c>
      <c r="CM92" s="2" t="str">
        <f t="shared" si="74"/>
        <v/>
      </c>
      <c r="CN92" s="2" t="str">
        <f t="shared" si="75"/>
        <v/>
      </c>
      <c r="CO92" s="2" t="str">
        <f t="shared" si="76"/>
        <v/>
      </c>
      <c r="CP92" s="2" t="str">
        <f t="shared" si="77"/>
        <v/>
      </c>
      <c r="CQ92" s="2" t="str">
        <f t="shared" si="78"/>
        <v/>
      </c>
      <c r="CR92" s="2" t="str">
        <f t="shared" si="79"/>
        <v/>
      </c>
      <c r="CS92" s="2" t="str">
        <f t="shared" si="80"/>
        <v/>
      </c>
      <c r="CT92" s="2" t="str">
        <f t="shared" si="81"/>
        <v/>
      </c>
      <c r="CU92" s="2" t="str">
        <f t="shared" si="82"/>
        <v/>
      </c>
      <c r="CV92" s="2" t="str">
        <f t="shared" si="83"/>
        <v/>
      </c>
      <c r="CW92" s="2"/>
      <c r="CX92" s="2"/>
      <c r="CY92" s="2"/>
      <c r="CZ92" s="2"/>
    </row>
    <row r="93" spans="2:104" ht="15" hidden="1" customHeight="1" x14ac:dyDescent="0.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12">
        <v>28</v>
      </c>
      <c r="AR93" s="12">
        <v>735000</v>
      </c>
      <c r="AS93" s="12">
        <v>280000</v>
      </c>
      <c r="AT93" s="1"/>
      <c r="AU93" s="1"/>
      <c r="AV93" s="1"/>
      <c r="AW93" s="1"/>
      <c r="AX93" s="2"/>
      <c r="AY93" s="2"/>
      <c r="AZ93" s="1">
        <v>200000</v>
      </c>
      <c r="BA93" s="2"/>
      <c r="BB93" s="2"/>
      <c r="BC93" s="2"/>
      <c r="BD93" s="2"/>
      <c r="BE93" s="2"/>
      <c r="BJ93" s="13"/>
      <c r="BL93" s="13"/>
      <c r="BN93" s="13"/>
      <c r="BO93" s="2"/>
      <c r="BP93" s="13"/>
      <c r="BS93" s="81" t="str">
        <f>IF($J$24="Español","Recepción Heroica",(IF($J$24="Deutsch","Sprinten",(IF($J$24="Français","Sprint","Sneaky Git")))))</f>
        <v>Recepción Heroica</v>
      </c>
      <c r="BT93" s="21" t="s">
        <v>168</v>
      </c>
      <c r="BU93" s="81" t="str">
        <f>IF($J$24="Español","Recepción Heroica",(IF($J$24="Deutsch","Sprinten",(IF($J$24="Français","Sprint","Sneaky Git")))))</f>
        <v>Recepción Heroica</v>
      </c>
      <c r="BV93" s="21" t="s">
        <v>168</v>
      </c>
      <c r="BW93" s="81" t="str">
        <f>IF($J$24="Español","Recepción Heroica",(IF($J$24="Deutsch","Sprinten",(IF($J$24="Français","Sprint","Sneaky Git")))))</f>
        <v>Recepción Heroica</v>
      </c>
      <c r="BX93" s="21" t="s">
        <v>168</v>
      </c>
      <c r="BY93" s="75" t="str">
        <f>IF($J$24="Español","Recepción Heroica",(IF($J$24="Deutsch","Sprinten",(IF($J$24="Français","Sprint","Sneaky Git")))))</f>
        <v>Recepción Heroica</v>
      </c>
      <c r="BZ93" s="21" t="s">
        <v>168</v>
      </c>
      <c r="CA93" s="21" t="str">
        <f t="shared" si="85"/>
        <v/>
      </c>
      <c r="CB93" s="21" t="str">
        <f t="shared" si="85"/>
        <v/>
      </c>
      <c r="CC93" s="75" t="str">
        <f>IF($J$24="Español","Saltar",(IF($J$24="Deutsch","Wehrhaft",(IF($J$24="Français","Tacle plongeant ","Sure Feet")))))</f>
        <v>Saltar</v>
      </c>
      <c r="CD93" s="2" t="s">
        <v>168</v>
      </c>
      <c r="CE93" s="80"/>
      <c r="CF93" s="2"/>
      <c r="CG93" s="2" t="str">
        <f t="shared" si="68"/>
        <v/>
      </c>
      <c r="CH93" s="2" t="str">
        <f t="shared" si="69"/>
        <v/>
      </c>
      <c r="CI93" s="2" t="str">
        <f t="shared" si="70"/>
        <v/>
      </c>
      <c r="CJ93" s="2" t="str">
        <f t="shared" si="71"/>
        <v/>
      </c>
      <c r="CK93" s="2" t="str">
        <f t="shared" si="72"/>
        <v/>
      </c>
      <c r="CL93" s="2" t="str">
        <f t="shared" si="73"/>
        <v/>
      </c>
      <c r="CM93" s="2" t="str">
        <f t="shared" si="74"/>
        <v/>
      </c>
      <c r="CN93" s="2" t="str">
        <f t="shared" si="75"/>
        <v/>
      </c>
      <c r="CO93" s="2" t="str">
        <f t="shared" si="76"/>
        <v/>
      </c>
      <c r="CP93" s="2" t="str">
        <f t="shared" si="77"/>
        <v/>
      </c>
      <c r="CQ93" s="2" t="str">
        <f t="shared" si="78"/>
        <v/>
      </c>
      <c r="CR93" s="2" t="str">
        <f t="shared" si="79"/>
        <v/>
      </c>
      <c r="CS93" s="2" t="str">
        <f t="shared" si="80"/>
        <v/>
      </c>
      <c r="CT93" s="2" t="str">
        <f t="shared" si="81"/>
        <v/>
      </c>
      <c r="CU93" s="2" t="str">
        <f t="shared" si="82"/>
        <v/>
      </c>
      <c r="CV93" s="2" t="str">
        <f t="shared" si="83"/>
        <v/>
      </c>
      <c r="CW93" s="2"/>
      <c r="CX93" s="2"/>
      <c r="CY93" s="2"/>
      <c r="CZ93" s="2"/>
    </row>
    <row r="94" spans="2:104" ht="15" hidden="1" customHeight="1" x14ac:dyDescent="0.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13">
        <v>29</v>
      </c>
      <c r="AR94" s="12">
        <v>740000</v>
      </c>
      <c r="AS94" s="12">
        <v>290000</v>
      </c>
      <c r="AT94" s="1"/>
      <c r="AU94" s="1"/>
      <c r="AV94" s="1"/>
      <c r="AW94" s="1"/>
      <c r="AX94" s="2"/>
      <c r="AY94" s="2"/>
      <c r="AZ94" s="1">
        <v>210000</v>
      </c>
      <c r="BA94" s="2"/>
      <c r="BB94" s="2"/>
      <c r="BC94" s="2"/>
      <c r="BD94" s="2"/>
      <c r="BE94" s="2"/>
      <c r="BJ94" s="13"/>
      <c r="BL94" s="13"/>
      <c r="BN94" s="13"/>
      <c r="BO94" s="2"/>
      <c r="BP94" s="13"/>
      <c r="BS94" s="81" t="str">
        <f>IF($J$24="Español","Romper Defensas",(IF($J$24="Deutsch","Sprintensicher",(IF($J$24="Français","Sournois","Sprint")))))</f>
        <v>Romper Defensas</v>
      </c>
      <c r="BT94" s="21" t="s">
        <v>168</v>
      </c>
      <c r="BU94" s="81" t="str">
        <f>IF($J$24="Español","Romper Defensas",(IF($J$24="Deutsch","Sprintensicher",(IF($J$24="Français","Sournois","Sprint")))))</f>
        <v>Romper Defensas</v>
      </c>
      <c r="BV94" s="21" t="s">
        <v>168</v>
      </c>
      <c r="BW94" s="81" t="str">
        <f>IF($J$24="Español","Romper Defensas",(IF($J$24="Deutsch","Sprintensicher",(IF($J$24="Français","Sournois","Sprint")))))</f>
        <v>Romper Defensas</v>
      </c>
      <c r="BX94" s="21" t="s">
        <v>168</v>
      </c>
      <c r="BY94" s="75" t="str">
        <f>IF($J$24="Español","Romper Defensas",(IF($J$24="Deutsch","Sprintensicher",(IF($J$24="Français","Sournois","Sprint")))))</f>
        <v>Romper Defensas</v>
      </c>
      <c r="BZ94" s="21" t="s">
        <v>168</v>
      </c>
      <c r="CA94" s="21" t="str">
        <f t="shared" si="85"/>
        <v/>
      </c>
      <c r="CB94" s="21" t="str">
        <f t="shared" si="85"/>
        <v/>
      </c>
      <c r="CC94" s="21" t="str">
        <f>IF($J$24="Español","Atento al Balón",(IF($J$24="Deutsch","Abspiel",(IF($J$24="Français","Canonnier","Accurate")))))</f>
        <v>Atento al Balón</v>
      </c>
      <c r="CD94" s="2" t="s">
        <v>170</v>
      </c>
      <c r="CE94" s="80"/>
      <c r="CG94" s="2" t="str">
        <f t="shared" si="68"/>
        <v/>
      </c>
      <c r="CH94" s="2" t="str">
        <f t="shared" si="69"/>
        <v/>
      </c>
      <c r="CI94" s="2" t="str">
        <f t="shared" si="70"/>
        <v/>
      </c>
      <c r="CJ94" s="2" t="str">
        <f t="shared" si="71"/>
        <v/>
      </c>
      <c r="CK94" s="2" t="str">
        <f t="shared" si="72"/>
        <v/>
      </c>
      <c r="CL94" s="2" t="str">
        <f t="shared" si="73"/>
        <v/>
      </c>
      <c r="CM94" s="2" t="str">
        <f t="shared" si="74"/>
        <v/>
      </c>
      <c r="CN94" s="2" t="str">
        <f t="shared" si="75"/>
        <v/>
      </c>
      <c r="CO94" s="2" t="str">
        <f t="shared" si="76"/>
        <v/>
      </c>
      <c r="CP94" s="2" t="str">
        <f t="shared" si="77"/>
        <v/>
      </c>
      <c r="CQ94" s="2" t="str">
        <f t="shared" si="78"/>
        <v/>
      </c>
      <c r="CR94" s="2" t="str">
        <f t="shared" si="79"/>
        <v/>
      </c>
      <c r="CS94" s="2" t="str">
        <f t="shared" si="80"/>
        <v/>
      </c>
      <c r="CT94" s="2" t="str">
        <f t="shared" si="81"/>
        <v/>
      </c>
      <c r="CU94" s="2" t="str">
        <f t="shared" si="82"/>
        <v/>
      </c>
      <c r="CV94" s="2" t="str">
        <f t="shared" si="83"/>
        <v/>
      </c>
      <c r="CW94" s="2"/>
      <c r="CX94" s="2"/>
      <c r="CY94" s="2"/>
      <c r="CZ94" s="2"/>
    </row>
    <row r="95" spans="2:104" ht="15" hidden="1" customHeight="1" x14ac:dyDescent="0.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13">
        <v>30</v>
      </c>
      <c r="AR95" s="12">
        <v>745000</v>
      </c>
      <c r="AS95" s="12">
        <v>300000</v>
      </c>
      <c r="AT95" s="1"/>
      <c r="AU95" s="1"/>
      <c r="AV95" s="1"/>
      <c r="AW95" s="1"/>
      <c r="AX95" s="2"/>
      <c r="AY95" s="2"/>
      <c r="AZ95" s="1">
        <v>220000</v>
      </c>
      <c r="BA95" s="2"/>
      <c r="BB95" s="2"/>
      <c r="BC95" s="2"/>
      <c r="BD95" s="2"/>
      <c r="BE95" s="2"/>
      <c r="BJ95" s="13"/>
      <c r="BL95" s="13"/>
      <c r="BN95" s="13"/>
      <c r="BO95" s="2"/>
      <c r="BP95" s="13"/>
      <c r="BS95" s="81" t="str">
        <f>IF($J$24="Español","Saltar",(IF($J$24="Deutsch","Wehrhaft",(IF($J$24="Français","Tacle plongeant ","Sure Feet")))))</f>
        <v>Saltar</v>
      </c>
      <c r="BT95" s="21" t="s">
        <v>168</v>
      </c>
      <c r="BU95" s="81" t="str">
        <f>IF($J$24="Español","Saltar",(IF($J$24="Deutsch","Wehrhaft",(IF($J$24="Français","Tacle plongeant ","Sure Feet")))))</f>
        <v>Saltar</v>
      </c>
      <c r="BV95" s="21" t="s">
        <v>168</v>
      </c>
      <c r="BW95" s="81" t="str">
        <f>IF($J$24="Español","Saltar",(IF($J$24="Deutsch","Wehrhaft",(IF($J$24="Français","Tacle plongeant ","Sure Feet")))))</f>
        <v>Saltar</v>
      </c>
      <c r="BX95" s="21" t="s">
        <v>168</v>
      </c>
      <c r="BY95" s="75" t="str">
        <f>IF($J$24="Español","Saltar",(IF($J$24="Deutsch","Wehrhaft",(IF($J$24="Français","Tacle plongeant ","Sure Feet")))))</f>
        <v>Saltar</v>
      </c>
      <c r="BZ95" s="21" t="s">
        <v>168</v>
      </c>
      <c r="CA95" s="21" t="str">
        <f t="shared" si="85"/>
        <v/>
      </c>
      <c r="CB95" s="21" t="str">
        <f t="shared" si="85"/>
        <v/>
      </c>
      <c r="CC95" s="21" t="str">
        <f>IF($J$24="Español","Cañonero",(IF($J$24="Deutsch","Hau wech das Leder",(IF($J$24="Français","Chef","Cannoneer")))))</f>
        <v>Cañonero</v>
      </c>
      <c r="CD95" s="2" t="s">
        <v>170</v>
      </c>
      <c r="CE95" s="80"/>
      <c r="CG95" s="2" t="str">
        <f t="shared" si="68"/>
        <v/>
      </c>
      <c r="CH95" s="2" t="str">
        <f t="shared" si="69"/>
        <v/>
      </c>
      <c r="CI95" s="2" t="str">
        <f t="shared" si="70"/>
        <v/>
      </c>
      <c r="CJ95" s="2" t="str">
        <f t="shared" si="71"/>
        <v/>
      </c>
      <c r="CK95" s="2" t="str">
        <f t="shared" si="72"/>
        <v/>
      </c>
      <c r="CL95" s="2" t="str">
        <f t="shared" si="73"/>
        <v/>
      </c>
      <c r="CM95" s="2" t="str">
        <f t="shared" si="74"/>
        <v/>
      </c>
      <c r="CN95" s="2" t="str">
        <f t="shared" si="75"/>
        <v/>
      </c>
      <c r="CO95" s="2" t="str">
        <f t="shared" si="76"/>
        <v/>
      </c>
      <c r="CP95" s="2" t="str">
        <f t="shared" si="77"/>
        <v/>
      </c>
      <c r="CQ95" s="2" t="str">
        <f t="shared" si="78"/>
        <v/>
      </c>
      <c r="CR95" s="2" t="str">
        <f t="shared" si="79"/>
        <v/>
      </c>
      <c r="CS95" s="2" t="str">
        <f t="shared" si="80"/>
        <v/>
      </c>
      <c r="CT95" s="2" t="str">
        <f t="shared" si="81"/>
        <v/>
      </c>
      <c r="CU95" s="2" t="str">
        <f t="shared" si="82"/>
        <v/>
      </c>
      <c r="CV95" s="2" t="str">
        <f t="shared" si="83"/>
        <v/>
      </c>
      <c r="CW95" s="2"/>
      <c r="CX95" s="2"/>
      <c r="CY95" s="2"/>
      <c r="CZ95" s="2"/>
    </row>
    <row r="96" spans="2:104" ht="15" hidden="1" customHeight="1" x14ac:dyDescent="0.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12">
        <v>31</v>
      </c>
      <c r="AR96" s="12">
        <v>750000</v>
      </c>
      <c r="AS96" s="12">
        <v>310000</v>
      </c>
      <c r="AT96" s="1"/>
      <c r="AU96" s="1"/>
      <c r="AV96" s="1"/>
      <c r="AW96" s="1"/>
      <c r="AX96" s="2"/>
      <c r="AY96" s="2"/>
      <c r="AZ96" s="1">
        <v>230000</v>
      </c>
      <c r="BA96" s="2"/>
      <c r="BB96" s="2"/>
      <c r="BC96" s="2"/>
      <c r="BD96" s="2"/>
      <c r="BE96" s="2"/>
      <c r="BJ96" s="13"/>
      <c r="BL96" s="13"/>
      <c r="BN96" s="13"/>
      <c r="BO96" s="2"/>
      <c r="BP96" s="13"/>
      <c r="BS96" s="21" t="str">
        <f>IF($J$24="Español","Atento al Balón",(IF($J$24="Deutsch","Abspiel",(IF($J$24="Français","Canonnier","Accurate")))))</f>
        <v>Atento al Balón</v>
      </c>
      <c r="BT96" s="21" t="s">
        <v>170</v>
      </c>
      <c r="BU96" s="81" t="str">
        <f>IF($J$24="Español","Abrirse Paso",(IF($J$24="Deutsch","Armhebel",(IF($J$24="Français","Bagarre","Arm Bar")))))</f>
        <v>Abrirse Paso</v>
      </c>
      <c r="BV96" s="21" t="s">
        <v>169</v>
      </c>
      <c r="BW96" s="21" t="str">
        <f>IF($J$24="Español","Atento al Balón",(IF($J$24="Deutsch","Abspiel",(IF($J$24="Français","Canonnier","Accurate")))))</f>
        <v>Atento al Balón</v>
      </c>
      <c r="BX96" s="21" t="s">
        <v>170</v>
      </c>
      <c r="BY96" s="75" t="str">
        <f>IF($J$24="Español","Abrirse Paso",(IF($J$24="Deutsch","Armhebel",(IF($J$24="Français","Bagarre","Arm Bar")))))</f>
        <v>Abrirse Paso</v>
      </c>
      <c r="BZ96" s="21" t="s">
        <v>169</v>
      </c>
      <c r="CA96" s="21" t="str">
        <f t="shared" si="85"/>
        <v/>
      </c>
      <c r="CB96" s="21" t="str">
        <f t="shared" si="85"/>
        <v/>
      </c>
      <c r="CC96" s="75" t="str">
        <f>IF($J$24="Español","Dejada",(IF($J$24="Deutsch","Im Laufen passen",(IF($J$24="Français","Délestage","Cloud Burster")))))</f>
        <v>Dejada</v>
      </c>
      <c r="CD96" s="2" t="s">
        <v>170</v>
      </c>
      <c r="CE96" s="80"/>
      <c r="CG96" s="2" t="str">
        <f t="shared" si="68"/>
        <v/>
      </c>
      <c r="CH96" s="2" t="str">
        <f t="shared" si="69"/>
        <v/>
      </c>
      <c r="CI96" s="2" t="str">
        <f t="shared" si="70"/>
        <v/>
      </c>
      <c r="CJ96" s="2" t="str">
        <f t="shared" si="71"/>
        <v/>
      </c>
      <c r="CK96" s="2" t="str">
        <f t="shared" si="72"/>
        <v/>
      </c>
      <c r="CL96" s="2" t="str">
        <f t="shared" si="73"/>
        <v/>
      </c>
      <c r="CM96" s="2" t="str">
        <f t="shared" si="74"/>
        <v/>
      </c>
      <c r="CN96" s="2" t="str">
        <f t="shared" si="75"/>
        <v/>
      </c>
      <c r="CO96" s="2" t="str">
        <f t="shared" si="76"/>
        <v/>
      </c>
      <c r="CP96" s="2" t="str">
        <f t="shared" si="77"/>
        <v/>
      </c>
      <c r="CQ96" s="2" t="str">
        <f t="shared" si="78"/>
        <v/>
      </c>
      <c r="CR96" s="2" t="str">
        <f t="shared" si="79"/>
        <v/>
      </c>
      <c r="CS96" s="2" t="str">
        <f t="shared" si="80"/>
        <v/>
      </c>
      <c r="CT96" s="2" t="str">
        <f t="shared" si="81"/>
        <v/>
      </c>
      <c r="CU96" s="2" t="str">
        <f t="shared" si="82"/>
        <v/>
      </c>
      <c r="CV96" s="2" t="str">
        <f t="shared" si="83"/>
        <v/>
      </c>
      <c r="CW96" s="2"/>
      <c r="CX96" s="2"/>
      <c r="CY96" s="2"/>
      <c r="CZ96" s="2"/>
    </row>
    <row r="97" spans="43:104" ht="15" hidden="1" customHeight="1" x14ac:dyDescent="0.2">
      <c r="AQ97" s="13">
        <v>32</v>
      </c>
      <c r="AR97" s="12">
        <v>755000</v>
      </c>
      <c r="AS97" s="12">
        <v>320000</v>
      </c>
      <c r="AT97" s="1"/>
      <c r="AU97" s="1"/>
      <c r="AV97" s="1"/>
      <c r="AW97" s="1"/>
      <c r="AX97" s="2"/>
      <c r="AY97" s="2"/>
      <c r="AZ97" s="1">
        <v>240000</v>
      </c>
      <c r="BA97" s="2"/>
      <c r="BB97" s="2"/>
      <c r="BC97" s="2"/>
      <c r="BD97" s="2"/>
      <c r="BE97" s="2"/>
      <c r="BJ97" s="13"/>
      <c r="BL97" s="13"/>
      <c r="BN97" s="13"/>
      <c r="BO97" s="2"/>
      <c r="BP97" s="13"/>
      <c r="BS97" s="21" t="str">
        <f>IF($J$24="Español","Cañonero",(IF($J$24="Deutsch","Hau wech das Leder",(IF($J$24="Français","Chef","Cannoneer")))))</f>
        <v>Cañonero</v>
      </c>
      <c r="BT97" s="21" t="s">
        <v>170</v>
      </c>
      <c r="BU97" s="81" t="str">
        <f>IF($J$24="Español","Apartar",(IF($J$24="Deutsch","Greifer",(IF($J$24="Français","Blocage multiple","Brawler")))))</f>
        <v>Apartar</v>
      </c>
      <c r="BV97" s="21" t="s">
        <v>169</v>
      </c>
      <c r="BW97" s="21" t="str">
        <f>IF($J$24="Español","Cañonero",(IF($J$24="Deutsch","Hau wech das Leder",(IF($J$24="Français","Chef","Cannoneer")))))</f>
        <v>Cañonero</v>
      </c>
      <c r="BX97" s="21" t="s">
        <v>170</v>
      </c>
      <c r="BY97" s="75" t="str">
        <f>IF($J$24="Español","Apartar",(IF($J$24="Deutsch","Greifer",(IF($J$24="Français","Blocage multiple","Brawler")))))</f>
        <v>Apartar</v>
      </c>
      <c r="BZ97" s="21" t="s">
        <v>169</v>
      </c>
      <c r="CA97" s="21" t="str">
        <f t="shared" si="85"/>
        <v/>
      </c>
      <c r="CB97" s="21" t="str">
        <f t="shared" si="85"/>
        <v/>
      </c>
      <c r="CC97" s="75" t="str">
        <f>IF($J$24="Español","Líder",(IF($J$24="Deutsch","In die Wolken",(IF($J$24="Français","Fumblerooskie","Dump-Off")))))</f>
        <v>Líder</v>
      </c>
      <c r="CD97" s="2" t="s">
        <v>170</v>
      </c>
      <c r="CE97" s="80"/>
      <c r="CG97" s="2" t="str">
        <f t="shared" si="68"/>
        <v/>
      </c>
      <c r="CH97" s="2" t="str">
        <f t="shared" si="69"/>
        <v/>
      </c>
      <c r="CI97" s="2" t="str">
        <f t="shared" si="70"/>
        <v/>
      </c>
      <c r="CJ97" s="2" t="str">
        <f t="shared" si="71"/>
        <v/>
      </c>
      <c r="CK97" s="2" t="str">
        <f t="shared" si="72"/>
        <v/>
      </c>
      <c r="CL97" s="2" t="str">
        <f t="shared" si="73"/>
        <v/>
      </c>
      <c r="CM97" s="2" t="str">
        <f t="shared" si="74"/>
        <v/>
      </c>
      <c r="CN97" s="2" t="str">
        <f t="shared" si="75"/>
        <v/>
      </c>
      <c r="CO97" s="2" t="str">
        <f t="shared" si="76"/>
        <v/>
      </c>
      <c r="CP97" s="2" t="str">
        <f t="shared" si="77"/>
        <v/>
      </c>
      <c r="CQ97" s="2" t="str">
        <f t="shared" si="78"/>
        <v/>
      </c>
      <c r="CR97" s="2" t="str">
        <f t="shared" si="79"/>
        <v/>
      </c>
      <c r="CS97" s="2" t="str">
        <f t="shared" si="80"/>
        <v/>
      </c>
      <c r="CT97" s="2" t="str">
        <f t="shared" si="81"/>
        <v/>
      </c>
      <c r="CU97" s="2" t="str">
        <f t="shared" si="82"/>
        <v/>
      </c>
      <c r="CV97" s="2" t="str">
        <f t="shared" si="83"/>
        <v/>
      </c>
      <c r="CW97" s="2"/>
      <c r="CX97" s="2"/>
      <c r="CY97" s="2"/>
      <c r="CZ97" s="2"/>
    </row>
    <row r="98" spans="43:104" ht="15" hidden="1" customHeight="1" x14ac:dyDescent="0.2">
      <c r="AQ98" s="13">
        <v>33</v>
      </c>
      <c r="AR98" s="12">
        <v>760000</v>
      </c>
      <c r="AS98" s="12">
        <v>330000</v>
      </c>
      <c r="AT98" s="1"/>
      <c r="AU98" s="1"/>
      <c r="AV98" s="1"/>
      <c r="AW98" s="1"/>
      <c r="AX98" s="2"/>
      <c r="AY98" s="2"/>
      <c r="AZ98" s="1">
        <v>250000</v>
      </c>
      <c r="BA98" s="2"/>
      <c r="BB98" s="2"/>
      <c r="BC98" s="2"/>
      <c r="BD98" s="2"/>
      <c r="BE98" s="2"/>
      <c r="BJ98" s="13"/>
      <c r="BL98" s="13"/>
      <c r="BN98" s="13"/>
      <c r="BO98" s="2"/>
      <c r="BP98" s="13"/>
      <c r="BS98" s="81" t="str">
        <f>IF($J$24="Español","Dejada",(IF($J$24="Deutsch","Im Laufen passen",(IF($J$24="Français","Délestage","Cloud Burster")))))</f>
        <v>Dejada</v>
      </c>
      <c r="BT98" s="21" t="s">
        <v>170</v>
      </c>
      <c r="BU98" s="81" t="str">
        <f>IF($J$24="Español","Brazo Fuerte",(IF($J$24="Deutsch","Knochenbrecher (+1)",(IF($J$24="Français","Bras musclé","Break Tackle")))))</f>
        <v>Brazo Fuerte</v>
      </c>
      <c r="BV98" s="21" t="s">
        <v>169</v>
      </c>
      <c r="BW98" s="81" t="str">
        <f>IF($J$24="Español","Dejada",(IF($J$24="Deutsch","Im Laufen passen",(IF($J$24="Français","Délestage","Cloud Burster")))))</f>
        <v>Dejada</v>
      </c>
      <c r="BX98" s="21" t="s">
        <v>170</v>
      </c>
      <c r="BY98" s="75" t="str">
        <f>IF($J$24="Español","Brazo Fuerte",(IF($J$24="Deutsch","Knochenbrecher (+1)",(IF($J$24="Français","Bras musclé","Break Tackle")))))</f>
        <v>Brazo Fuerte</v>
      </c>
      <c r="BZ98" s="21" t="s">
        <v>169</v>
      </c>
      <c r="CA98" s="21" t="str">
        <f t="shared" si="85"/>
        <v/>
      </c>
      <c r="CB98" s="21" t="str">
        <f t="shared" si="85"/>
        <v/>
      </c>
      <c r="CC98" s="75" t="str">
        <f>IF($J$24="Español","Nervios de Acero",(IF($J$24="Deutsch","Immer am Ball",(IF($J$24="Français","Nerfs d’acier","Fumblerooskie")))))</f>
        <v>Nervios de Acero</v>
      </c>
      <c r="CD98" s="2" t="s">
        <v>170</v>
      </c>
      <c r="CE98" s="80"/>
      <c r="CF98" s="2"/>
      <c r="CG98" s="2" t="str">
        <f t="shared" si="68"/>
        <v/>
      </c>
      <c r="CH98" s="2" t="str">
        <f t="shared" si="69"/>
        <v/>
      </c>
      <c r="CI98" s="2" t="str">
        <f t="shared" si="70"/>
        <v/>
      </c>
      <c r="CJ98" s="2" t="str">
        <f t="shared" si="71"/>
        <v/>
      </c>
      <c r="CK98" s="2" t="str">
        <f t="shared" si="72"/>
        <v/>
      </c>
      <c r="CL98" s="2" t="str">
        <f t="shared" si="73"/>
        <v/>
      </c>
      <c r="CM98" s="2" t="str">
        <f t="shared" si="74"/>
        <v/>
      </c>
      <c r="CN98" s="2" t="str">
        <f t="shared" si="75"/>
        <v/>
      </c>
      <c r="CO98" s="2" t="str">
        <f t="shared" si="76"/>
        <v/>
      </c>
      <c r="CP98" s="2" t="str">
        <f t="shared" si="77"/>
        <v/>
      </c>
      <c r="CQ98" s="2" t="str">
        <f t="shared" si="78"/>
        <v/>
      </c>
      <c r="CR98" s="2" t="str">
        <f t="shared" si="79"/>
        <v/>
      </c>
      <c r="CS98" s="2" t="str">
        <f t="shared" si="80"/>
        <v/>
      </c>
      <c r="CT98" s="2" t="str">
        <f t="shared" si="81"/>
        <v/>
      </c>
      <c r="CU98" s="2" t="str">
        <f t="shared" si="82"/>
        <v/>
      </c>
      <c r="CV98" s="2" t="str">
        <f t="shared" si="83"/>
        <v/>
      </c>
      <c r="CW98" s="2"/>
      <c r="CX98" s="2"/>
      <c r="CY98" s="2"/>
      <c r="CZ98" s="2"/>
    </row>
    <row r="99" spans="43:104" ht="15" hidden="1" customHeight="1" x14ac:dyDescent="0.2">
      <c r="AQ99" s="12">
        <v>34</v>
      </c>
      <c r="AR99" s="12">
        <v>765000</v>
      </c>
      <c r="AS99" s="12">
        <v>340000</v>
      </c>
      <c r="AT99" s="1"/>
      <c r="AU99" s="1"/>
      <c r="AV99" s="1"/>
      <c r="AW99" s="1"/>
      <c r="AX99" s="2"/>
      <c r="AY99" s="2"/>
      <c r="AZ99" s="1">
        <v>260000</v>
      </c>
      <c r="BA99" s="2"/>
      <c r="BB99" s="2"/>
      <c r="BC99" s="2"/>
      <c r="BD99" s="2"/>
      <c r="BE99" s="2"/>
      <c r="BJ99" s="13"/>
      <c r="BL99" s="13"/>
      <c r="BN99" s="13"/>
      <c r="BO99" s="2"/>
      <c r="BP99" s="13"/>
      <c r="BS99" s="81" t="str">
        <f>IF($J$24="Español","Líder",(IF($J$24="Deutsch","In die Wolken",(IF($J$24="Français","Fumblerooskie","Dump-Off")))))</f>
        <v>Líder</v>
      </c>
      <c r="BT99" s="21" t="s">
        <v>170</v>
      </c>
      <c r="BU99" s="81" t="str">
        <f>IF($J$24="Español","Cabeza Dura",(IF($J$24="Deutsch","Mehrfachblock",(IF($J$24="Français","Châtaigne (+1)","Grab")))))</f>
        <v>Cabeza Dura</v>
      </c>
      <c r="BV99" s="21" t="s">
        <v>169</v>
      </c>
      <c r="BW99" s="81" t="str">
        <f>IF($J$24="Español","Líder",(IF($J$24="Deutsch","In die Wolken",(IF($J$24="Français","Fumblerooskie","Dump-Off")))))</f>
        <v>Líder</v>
      </c>
      <c r="BX99" s="21" t="s">
        <v>170</v>
      </c>
      <c r="BY99" s="75" t="str">
        <f>IF($J$24="Español","Cabeza Dura",(IF($J$24="Deutsch","Mehrfachblock",(IF($J$24="Français","Châtaigne (+1)","Grab")))))</f>
        <v>Cabeza Dura</v>
      </c>
      <c r="BZ99" s="21" t="s">
        <v>169</v>
      </c>
      <c r="CA99" s="21" t="str">
        <f t="shared" si="85"/>
        <v/>
      </c>
      <c r="CB99" s="21" t="str">
        <f t="shared" si="85"/>
        <v/>
      </c>
      <c r="CC99" s="75" t="str">
        <f>IF($J$24="Español","Partenubes",(IF($J$24="Deutsch","Kanonier",(IF($J$24="Français","Passe","Hail Mary Pass")))))</f>
        <v>Partenubes</v>
      </c>
      <c r="CD99" s="2" t="s">
        <v>170</v>
      </c>
      <c r="CE99" s="80"/>
      <c r="CF99" s="2"/>
      <c r="CG99" s="2" t="str">
        <f t="shared" si="68"/>
        <v/>
      </c>
      <c r="CH99" s="2" t="str">
        <f t="shared" si="69"/>
        <v/>
      </c>
      <c r="CI99" s="2" t="str">
        <f t="shared" si="70"/>
        <v/>
      </c>
      <c r="CJ99" s="2" t="str">
        <f t="shared" si="71"/>
        <v/>
      </c>
      <c r="CK99" s="2" t="str">
        <f t="shared" si="72"/>
        <v/>
      </c>
      <c r="CL99" s="2" t="str">
        <f t="shared" si="73"/>
        <v/>
      </c>
      <c r="CM99" s="2" t="str">
        <f t="shared" si="74"/>
        <v/>
      </c>
      <c r="CN99" s="2" t="str">
        <f t="shared" si="75"/>
        <v/>
      </c>
      <c r="CO99" s="2" t="str">
        <f t="shared" si="76"/>
        <v/>
      </c>
      <c r="CP99" s="2" t="str">
        <f t="shared" si="77"/>
        <v/>
      </c>
      <c r="CQ99" s="2" t="str">
        <f t="shared" si="78"/>
        <v/>
      </c>
      <c r="CR99" s="2" t="str">
        <f t="shared" si="79"/>
        <v/>
      </c>
      <c r="CS99" s="2" t="str">
        <f t="shared" si="80"/>
        <v/>
      </c>
      <c r="CT99" s="2" t="str">
        <f t="shared" si="81"/>
        <v/>
      </c>
      <c r="CU99" s="2" t="str">
        <f t="shared" si="82"/>
        <v/>
      </c>
      <c r="CV99" s="2" t="str">
        <f t="shared" si="83"/>
        <v/>
      </c>
      <c r="CW99" s="2"/>
      <c r="CX99" s="2"/>
      <c r="CY99" s="2"/>
      <c r="CZ99" s="2"/>
    </row>
    <row r="100" spans="43:104" ht="15" hidden="1" customHeight="1" x14ac:dyDescent="0.2">
      <c r="AQ100" s="13">
        <v>35</v>
      </c>
      <c r="AR100" s="12">
        <v>770000</v>
      </c>
      <c r="AS100" s="12">
        <v>350000</v>
      </c>
      <c r="AT100" s="1"/>
      <c r="AU100" s="1"/>
      <c r="AV100" s="1"/>
      <c r="AW100" s="1"/>
      <c r="AX100" s="2"/>
      <c r="AY100" s="2"/>
      <c r="AZ100" s="1">
        <v>270000</v>
      </c>
      <c r="BA100" s="2"/>
      <c r="BB100" s="2"/>
      <c r="BC100" s="2"/>
      <c r="BD100" s="2"/>
      <c r="BE100" s="2"/>
      <c r="BJ100" s="13"/>
      <c r="BL100" s="13"/>
      <c r="BN100" s="13"/>
      <c r="BO100" s="2"/>
      <c r="BP100" s="13"/>
      <c r="BS100" s="81" t="str">
        <f>IF($J$24="Español","Nervios de Acero",(IF($J$24="Deutsch","Immer am Ball",(IF($J$24="Français","Nerfs d’acier","Fumblerooskie")))))</f>
        <v>Nervios de Acero</v>
      </c>
      <c r="BT100" s="21" t="s">
        <v>170</v>
      </c>
      <c r="BU100" s="81" t="str">
        <f>IF($J$24="Español","Crujir",(IF($J$24="Deutsch","Ramme",(IF($J$24="Français","Clé de bras","Guard")))))</f>
        <v>Crujir</v>
      </c>
      <c r="BV100" s="21" t="s">
        <v>169</v>
      </c>
      <c r="BW100" s="81" t="str">
        <f>IF($J$24="Español","Nervios de Acero",(IF($J$24="Deutsch","Immer am Ball",(IF($J$24="Français","Nerfs d’acier","Fumblerooskie")))))</f>
        <v>Nervios de Acero</v>
      </c>
      <c r="BX100" s="21" t="s">
        <v>170</v>
      </c>
      <c r="BY100" s="75" t="str">
        <f>IF($J$24="Español","Crujir",(IF($J$24="Deutsch","Ramme",(IF($J$24="Français","Clé de bras","Guard")))))</f>
        <v>Crujir</v>
      </c>
      <c r="BZ100" s="21" t="s">
        <v>169</v>
      </c>
      <c r="CA100" s="21" t="str">
        <f t="shared" si="85"/>
        <v/>
      </c>
      <c r="CB100" s="21" t="str">
        <f t="shared" si="85"/>
        <v/>
      </c>
      <c r="CC100" s="75" t="str">
        <f>IF($J$24="Español","Pasar",(IF($J$24="Deutsch","Nerven aus Stahl",(IF($J$24="Français","Passe assurée","Leader")))))</f>
        <v>Pasar</v>
      </c>
      <c r="CD100" s="2" t="s">
        <v>170</v>
      </c>
      <c r="CE100" s="80"/>
      <c r="CF100" s="2"/>
      <c r="CG100" s="2" t="str">
        <f t="shared" si="68"/>
        <v/>
      </c>
      <c r="CH100" s="2" t="str">
        <f t="shared" si="69"/>
        <v/>
      </c>
      <c r="CI100" s="2" t="str">
        <f t="shared" si="70"/>
        <v/>
      </c>
      <c r="CJ100" s="2" t="str">
        <f t="shared" si="71"/>
        <v/>
      </c>
      <c r="CK100" s="2" t="str">
        <f t="shared" si="72"/>
        <v/>
      </c>
      <c r="CL100" s="2" t="str">
        <f t="shared" si="73"/>
        <v/>
      </c>
      <c r="CM100" s="2" t="str">
        <f t="shared" si="74"/>
        <v/>
      </c>
      <c r="CN100" s="2" t="str">
        <f t="shared" si="75"/>
        <v/>
      </c>
      <c r="CO100" s="2" t="str">
        <f t="shared" si="76"/>
        <v/>
      </c>
      <c r="CP100" s="2" t="str">
        <f t="shared" si="77"/>
        <v/>
      </c>
      <c r="CQ100" s="2" t="str">
        <f t="shared" si="78"/>
        <v/>
      </c>
      <c r="CR100" s="2" t="str">
        <f t="shared" si="79"/>
        <v/>
      </c>
      <c r="CS100" s="2" t="str">
        <f t="shared" si="80"/>
        <v/>
      </c>
      <c r="CT100" s="2" t="str">
        <f t="shared" si="81"/>
        <v/>
      </c>
      <c r="CU100" s="2" t="str">
        <f t="shared" si="82"/>
        <v/>
      </c>
      <c r="CV100" s="2" t="str">
        <f t="shared" si="83"/>
        <v/>
      </c>
      <c r="CW100" s="2"/>
      <c r="CX100" s="2"/>
      <c r="CY100" s="2"/>
      <c r="CZ100" s="2"/>
    </row>
    <row r="101" spans="43:104" ht="15" hidden="1" customHeight="1" x14ac:dyDescent="0.2">
      <c r="AQ101" s="13">
        <v>36</v>
      </c>
      <c r="AR101" s="12">
        <v>775000</v>
      </c>
      <c r="AS101" s="12">
        <v>360000</v>
      </c>
      <c r="AT101" s="1"/>
      <c r="AU101" s="1"/>
      <c r="AV101" s="1"/>
      <c r="AW101" s="1"/>
      <c r="AX101" s="2"/>
      <c r="AY101" s="2"/>
      <c r="AZ101" s="1">
        <v>280000</v>
      </c>
      <c r="BA101" s="2"/>
      <c r="BB101" s="2"/>
      <c r="BC101" s="2"/>
      <c r="BD101" s="2"/>
      <c r="BE101" s="2"/>
      <c r="BJ101" s="13"/>
      <c r="BL101" s="13"/>
      <c r="BN101" s="13"/>
      <c r="BO101" s="2"/>
      <c r="BP101" s="13"/>
      <c r="BS101" s="81" t="str">
        <f>IF($J$24="Español","Partenubes",(IF($J$24="Deutsch","Kanonier",(IF($J$24="Français","Passe","Hail Mary Pass")))))</f>
        <v>Partenubes</v>
      </c>
      <c r="BT101" s="21" t="s">
        <v>170</v>
      </c>
      <c r="BU101" s="21" t="str">
        <f>IF($J$24="Español","Defensa",(IF($J$24="Deutsch","Raufbold",(IF($J$24="Français","Crâne épais","Juggernaut")))))</f>
        <v>Defensa</v>
      </c>
      <c r="BV101" s="21" t="s">
        <v>169</v>
      </c>
      <c r="BW101" s="81" t="str">
        <f>IF($J$24="Español","Partenubes",(IF($J$24="Deutsch","Kanonier",(IF($J$24="Français","Passe","Hail Mary Pass")))))</f>
        <v>Partenubes</v>
      </c>
      <c r="BX101" s="21" t="s">
        <v>170</v>
      </c>
      <c r="BY101" s="21" t="str">
        <f>IF($J$24="Español","Defensa",(IF($J$24="Deutsch","Raufbold",(IF($J$24="Français","Crâne épais","Juggernaut")))))</f>
        <v>Defensa</v>
      </c>
      <c r="BZ101" s="21" t="s">
        <v>169</v>
      </c>
      <c r="CA101" s="21" t="str">
        <f t="shared" si="85"/>
        <v/>
      </c>
      <c r="CB101" s="21" t="str">
        <f t="shared" si="85"/>
        <v/>
      </c>
      <c r="CC101" s="75" t="str">
        <f>IF($J$24="Español","Pase a la Carrera",(IF($J$24="Deutsch","Scheinpatzer",(IF($J$24="Français","Passe dans la course","Nerves of Steel")))))</f>
        <v>Pase a la Carrera</v>
      </c>
      <c r="CD101" s="2" t="s">
        <v>170</v>
      </c>
      <c r="CE101" s="80"/>
      <c r="CF101" s="2"/>
      <c r="CG101" s="2" t="str">
        <f t="shared" si="68"/>
        <v/>
      </c>
      <c r="CH101" s="2" t="str">
        <f t="shared" si="69"/>
        <v/>
      </c>
      <c r="CI101" s="2" t="str">
        <f t="shared" si="70"/>
        <v/>
      </c>
      <c r="CJ101" s="2" t="str">
        <f t="shared" si="71"/>
        <v/>
      </c>
      <c r="CK101" s="2" t="str">
        <f t="shared" si="72"/>
        <v/>
      </c>
      <c r="CL101" s="2" t="str">
        <f t="shared" si="73"/>
        <v/>
      </c>
      <c r="CM101" s="2" t="str">
        <f t="shared" si="74"/>
        <v/>
      </c>
      <c r="CN101" s="2" t="str">
        <f t="shared" si="75"/>
        <v/>
      </c>
      <c r="CO101" s="2" t="str">
        <f t="shared" si="76"/>
        <v/>
      </c>
      <c r="CP101" s="2" t="str">
        <f t="shared" si="77"/>
        <v/>
      </c>
      <c r="CQ101" s="2" t="str">
        <f t="shared" si="78"/>
        <v/>
      </c>
      <c r="CR101" s="2" t="str">
        <f t="shared" si="79"/>
        <v/>
      </c>
      <c r="CS101" s="2" t="str">
        <f t="shared" si="80"/>
        <v/>
      </c>
      <c r="CT101" s="2" t="str">
        <f t="shared" si="81"/>
        <v/>
      </c>
      <c r="CU101" s="2" t="str">
        <f t="shared" si="82"/>
        <v/>
      </c>
      <c r="CV101" s="2" t="str">
        <f t="shared" si="83"/>
        <v/>
      </c>
      <c r="CW101" s="2"/>
      <c r="CX101" s="2"/>
      <c r="CY101" s="2"/>
      <c r="CZ101" s="2"/>
    </row>
    <row r="102" spans="43:104" ht="15" hidden="1" customHeight="1" x14ac:dyDescent="0.2">
      <c r="AQ102" s="12">
        <v>37</v>
      </c>
      <c r="AR102" s="12">
        <v>780000</v>
      </c>
      <c r="AS102" s="12">
        <v>370000</v>
      </c>
      <c r="AT102" s="1"/>
      <c r="AU102" s="1"/>
      <c r="AV102" s="1"/>
      <c r="AW102" s="1"/>
      <c r="AX102" s="2"/>
      <c r="AY102" s="71"/>
      <c r="AZ102" s="1">
        <v>290000</v>
      </c>
      <c r="BA102" s="71"/>
      <c r="BB102" s="71"/>
      <c r="BC102" s="2"/>
      <c r="BD102" s="71"/>
      <c r="BE102" s="2"/>
      <c r="BH102" s="5"/>
      <c r="BI102" s="5"/>
      <c r="BJ102" s="13"/>
      <c r="BL102" s="13"/>
      <c r="BN102" s="13"/>
      <c r="BO102" s="2"/>
      <c r="BP102" s="13"/>
      <c r="BS102" s="81" t="str">
        <f>IF($J$24="Español","Pasar",(IF($J$24="Deutsch","Nerven aus Stahl",(IF($J$24="Français","Passe assurée","Leader")))))</f>
        <v>Pasar</v>
      </c>
      <c r="BT102" s="21" t="s">
        <v>170</v>
      </c>
      <c r="BU102" s="21" t="str">
        <f>IF($J$24="Español","Golpe Mortífero (+1)",(IF($J$24="Deutsch","Schweres Gerät",(IF($J$24="Français","Esquive en force","Mighty Blow (+1)")))))</f>
        <v>Golpe Mortífero (+1)</v>
      </c>
      <c r="BV102" s="21" t="s">
        <v>169</v>
      </c>
      <c r="BW102" s="81" t="str">
        <f>IF($J$24="Español","Pasar",(IF($J$24="Deutsch","Nerven aus Stahl",(IF($J$24="Français","Passe assurée","Leader")))))</f>
        <v>Pasar</v>
      </c>
      <c r="BX102" s="21" t="s">
        <v>170</v>
      </c>
      <c r="BY102" s="21" t="str">
        <f>IF($J$24="Español","Golpe Mortífero (+1)",(IF($J$24="Deutsch","Schweres Gerät",(IF($J$24="Français","Esquive en force","Mighty Blow (+1)")))))</f>
        <v>Golpe Mortífero (+1)</v>
      </c>
      <c r="BZ102" s="21" t="s">
        <v>169</v>
      </c>
      <c r="CA102" s="21" t="str">
        <f t="shared" si="85"/>
        <v/>
      </c>
      <c r="CB102" s="21" t="str">
        <f t="shared" si="85"/>
        <v/>
      </c>
      <c r="CC102" s="75" t="str">
        <f>IF($J$24="Español","Pase a lo Loco",(IF($J$24="Deutsch","Sicherer Pass",(IF($J$24="Français","Passe désespérée","On the Ball")))))</f>
        <v>Pase a lo Loco</v>
      </c>
      <c r="CD102" s="2" t="s">
        <v>170</v>
      </c>
      <c r="CE102" s="80"/>
      <c r="CF102" s="2"/>
      <c r="CG102" s="2" t="str">
        <f t="shared" si="68"/>
        <v/>
      </c>
      <c r="CH102" s="2" t="str">
        <f t="shared" si="69"/>
        <v/>
      </c>
      <c r="CI102" s="2" t="str">
        <f t="shared" si="70"/>
        <v/>
      </c>
      <c r="CJ102" s="2" t="str">
        <f t="shared" si="71"/>
        <v/>
      </c>
      <c r="CK102" s="2" t="str">
        <f t="shared" si="72"/>
        <v/>
      </c>
      <c r="CL102" s="2" t="str">
        <f t="shared" si="73"/>
        <v/>
      </c>
      <c r="CM102" s="2" t="str">
        <f t="shared" si="74"/>
        <v/>
      </c>
      <c r="CN102" s="2" t="str">
        <f t="shared" si="75"/>
        <v/>
      </c>
      <c r="CO102" s="2" t="str">
        <f t="shared" si="76"/>
        <v/>
      </c>
      <c r="CP102" s="2" t="str">
        <f t="shared" si="77"/>
        <v/>
      </c>
      <c r="CQ102" s="2" t="str">
        <f t="shared" si="78"/>
        <v/>
      </c>
      <c r="CR102" s="2" t="str">
        <f t="shared" si="79"/>
        <v/>
      </c>
      <c r="CS102" s="2" t="str">
        <f t="shared" si="80"/>
        <v/>
      </c>
      <c r="CT102" s="2" t="str">
        <f t="shared" si="81"/>
        <v/>
      </c>
      <c r="CU102" s="2" t="str">
        <f t="shared" si="82"/>
        <v/>
      </c>
      <c r="CV102" s="2" t="str">
        <f t="shared" si="83"/>
        <v/>
      </c>
      <c r="CW102" s="2"/>
      <c r="CX102" s="2"/>
      <c r="CY102" s="2"/>
      <c r="CZ102" s="2"/>
    </row>
    <row r="103" spans="43:104" ht="15" hidden="1" customHeight="1" x14ac:dyDescent="0.2">
      <c r="AQ103" s="13">
        <v>38</v>
      </c>
      <c r="AR103" s="12">
        <v>785000</v>
      </c>
      <c r="AS103" s="12">
        <v>380000</v>
      </c>
      <c r="AT103" s="1"/>
      <c r="AU103" s="1"/>
      <c r="AV103" s="1"/>
      <c r="AW103" s="1"/>
      <c r="AX103" s="2"/>
      <c r="AY103" s="73"/>
      <c r="AZ103" s="1">
        <v>300000</v>
      </c>
      <c r="BA103" s="73"/>
      <c r="BB103" s="73"/>
      <c r="BC103" s="2"/>
      <c r="BD103" s="73"/>
      <c r="BE103" s="2"/>
      <c r="BG103" s="2"/>
      <c r="BH103" s="2"/>
      <c r="BI103" s="2"/>
      <c r="BJ103" s="13"/>
      <c r="BL103" s="13"/>
      <c r="BN103" s="13"/>
      <c r="BO103" s="2"/>
      <c r="BP103" s="13"/>
      <c r="BS103" s="81" t="str">
        <f>IF($J$24="Español","Pase a la Carrera",(IF($J$24="Deutsch","Scheinpatzer",(IF($J$24="Français","Passe dans la course","Nerves of Steel")))))</f>
        <v>Pase a la Carrera</v>
      </c>
      <c r="BT103" s="21" t="s">
        <v>170</v>
      </c>
      <c r="BU103" s="21" t="str">
        <f>IF($J$24="Español","Imparable",(IF($J$24="Deutsch","Standfest",(IF($J$24="Français","Garde","Multiple Blocks")))))</f>
        <v>Imparable</v>
      </c>
      <c r="BV103" s="21" t="s">
        <v>169</v>
      </c>
      <c r="BW103" s="81" t="str">
        <f>IF($J$24="Español","Pase a la Carrera",(IF($J$24="Deutsch","Scheinpatzer",(IF($J$24="Français","Passe dans la course","Nerves of Steel")))))</f>
        <v>Pase a la Carrera</v>
      </c>
      <c r="BX103" s="21" t="s">
        <v>170</v>
      </c>
      <c r="BY103" s="21" t="str">
        <f>IF($J$24="Español","Imparable",(IF($J$24="Deutsch","Standfest",(IF($J$24="Français","Garde","Multiple Blocks")))))</f>
        <v>Imparable</v>
      </c>
      <c r="BZ103" s="21" t="s">
        <v>169</v>
      </c>
      <c r="CA103" s="21" t="str">
        <f t="shared" si="85"/>
        <v/>
      </c>
      <c r="CB103" s="21" t="str">
        <f t="shared" si="85"/>
        <v/>
      </c>
      <c r="CC103" s="75" t="str">
        <f>IF($J$24="Español","Pase Precipitado",(IF($J$24="Deutsch","Teamkapitän",(IF($J$24="Français","Perce-nuage","Pass")))))</f>
        <v>Pase Precipitado</v>
      </c>
      <c r="CD103" s="2" t="s">
        <v>170</v>
      </c>
      <c r="CE103" s="80"/>
      <c r="CF103" s="2"/>
      <c r="CG103" s="2" t="str">
        <f t="shared" si="68"/>
        <v/>
      </c>
      <c r="CH103" s="2" t="str">
        <f t="shared" si="69"/>
        <v/>
      </c>
      <c r="CI103" s="2" t="str">
        <f t="shared" si="70"/>
        <v/>
      </c>
      <c r="CJ103" s="2" t="str">
        <f t="shared" si="71"/>
        <v/>
      </c>
      <c r="CK103" s="2" t="str">
        <f t="shared" si="72"/>
        <v/>
      </c>
      <c r="CL103" s="2" t="str">
        <f t="shared" si="73"/>
        <v/>
      </c>
      <c r="CM103" s="2" t="str">
        <f t="shared" si="74"/>
        <v/>
      </c>
      <c r="CN103" s="2" t="str">
        <f t="shared" si="75"/>
        <v/>
      </c>
      <c r="CO103" s="2" t="str">
        <f t="shared" si="76"/>
        <v/>
      </c>
      <c r="CP103" s="2" t="str">
        <f t="shared" si="77"/>
        <v/>
      </c>
      <c r="CQ103" s="2" t="str">
        <f t="shared" si="78"/>
        <v/>
      </c>
      <c r="CR103" s="2" t="str">
        <f t="shared" si="79"/>
        <v/>
      </c>
      <c r="CS103" s="2" t="str">
        <f t="shared" si="80"/>
        <v/>
      </c>
      <c r="CT103" s="2" t="str">
        <f t="shared" si="81"/>
        <v/>
      </c>
      <c r="CU103" s="2" t="str">
        <f t="shared" si="82"/>
        <v/>
      </c>
      <c r="CV103" s="2" t="str">
        <f t="shared" si="83"/>
        <v/>
      </c>
      <c r="CW103" s="2"/>
      <c r="CX103" s="2"/>
      <c r="CY103" s="2"/>
      <c r="CZ103" s="2"/>
    </row>
    <row r="104" spans="43:104" ht="15" hidden="1" customHeight="1" x14ac:dyDescent="0.2">
      <c r="AQ104" s="13">
        <v>39</v>
      </c>
      <c r="AR104" s="12">
        <v>790000</v>
      </c>
      <c r="AS104" s="12">
        <v>390000</v>
      </c>
      <c r="AT104" s="1"/>
      <c r="AU104" s="1"/>
      <c r="AV104" s="1"/>
      <c r="AW104" s="1"/>
      <c r="AX104" s="2"/>
      <c r="AY104" s="73"/>
      <c r="AZ104" s="1">
        <v>310000</v>
      </c>
      <c r="BA104" s="73"/>
      <c r="BB104" s="73"/>
      <c r="BC104" s="2"/>
      <c r="BD104" s="73"/>
      <c r="BE104" s="2"/>
      <c r="BG104" s="2"/>
      <c r="BI104" s="5"/>
      <c r="BJ104" s="13"/>
      <c r="BL104" s="13"/>
      <c r="BN104" s="13"/>
      <c r="BO104" s="2"/>
      <c r="BP104" s="13"/>
      <c r="BS104" s="81" t="str">
        <f>IF($J$24="Español","Pase a lo Loco",(IF($J$24="Deutsch","Sicherer Pass",(IF($J$24="Français","Passe désespérée","On the Ball")))))</f>
        <v>Pase a lo Loco</v>
      </c>
      <c r="BT104" s="21" t="s">
        <v>170</v>
      </c>
      <c r="BU104" s="21" t="str">
        <f>IF($J$24="Español","Llave de Brazo",(IF($J$24="Deutsch","Starker Wurfarm",(IF($J$24="Français","Juggernaut","Pile Diver")))))</f>
        <v>Llave de Brazo</v>
      </c>
      <c r="BV104" s="21" t="s">
        <v>169</v>
      </c>
      <c r="BW104" s="81" t="str">
        <f>IF($J$24="Español","Pase a lo Loco",(IF($J$24="Deutsch","Sicherer Pass",(IF($J$24="Français","Passe désespérée","On the Ball")))))</f>
        <v>Pase a lo Loco</v>
      </c>
      <c r="BX104" s="21" t="s">
        <v>170</v>
      </c>
      <c r="BY104" s="21" t="str">
        <f>IF($J$24="Español","Llave de Brazo",(IF($J$24="Deutsch","Starker Wurfarm",(IF($J$24="Français","Juggernaut","Pile Diver")))))</f>
        <v>Llave de Brazo</v>
      </c>
      <c r="BZ104" s="21" t="s">
        <v>169</v>
      </c>
      <c r="CA104" s="21" t="str">
        <f t="shared" si="85"/>
        <v/>
      </c>
      <c r="CB104" s="21" t="str">
        <f t="shared" si="85"/>
        <v/>
      </c>
      <c r="CC104" s="75" t="str">
        <f>IF($J$24="Español","Pase Seguro",(IF($J$24="Deutsch","Wurfsicher",(IF($J$24="Français","Précision","Running Pass")))))</f>
        <v>Pase Seguro</v>
      </c>
      <c r="CD104" s="2" t="s">
        <v>170</v>
      </c>
      <c r="CE104" s="80"/>
      <c r="CF104" s="2"/>
      <c r="CG104" s="2" t="str">
        <f t="shared" si="68"/>
        <v/>
      </c>
      <c r="CH104" s="2" t="str">
        <f t="shared" si="69"/>
        <v/>
      </c>
      <c r="CI104" s="2" t="str">
        <f t="shared" si="70"/>
        <v/>
      </c>
      <c r="CJ104" s="2" t="str">
        <f t="shared" si="71"/>
        <v/>
      </c>
      <c r="CK104" s="2" t="str">
        <f t="shared" si="72"/>
        <v/>
      </c>
      <c r="CL104" s="2" t="str">
        <f t="shared" si="73"/>
        <v/>
      </c>
      <c r="CM104" s="2" t="str">
        <f t="shared" si="74"/>
        <v/>
      </c>
      <c r="CN104" s="2" t="str">
        <f t="shared" si="75"/>
        <v/>
      </c>
      <c r="CO104" s="2" t="str">
        <f t="shared" si="76"/>
        <v/>
      </c>
      <c r="CP104" s="2" t="str">
        <f t="shared" si="77"/>
        <v/>
      </c>
      <c r="CQ104" s="2" t="str">
        <f t="shared" si="78"/>
        <v/>
      </c>
      <c r="CR104" s="2" t="str">
        <f t="shared" si="79"/>
        <v/>
      </c>
      <c r="CS104" s="2" t="str">
        <f t="shared" si="80"/>
        <v/>
      </c>
      <c r="CT104" s="2" t="str">
        <f t="shared" si="81"/>
        <v/>
      </c>
      <c r="CU104" s="2" t="str">
        <f t="shared" si="82"/>
        <v/>
      </c>
      <c r="CV104" s="2" t="str">
        <f t="shared" si="83"/>
        <v/>
      </c>
      <c r="CW104" s="2"/>
      <c r="CX104" s="2"/>
      <c r="CY104" s="2"/>
      <c r="CZ104" s="2"/>
    </row>
    <row r="105" spans="43:104" ht="15" hidden="1" customHeight="1" x14ac:dyDescent="0.2">
      <c r="AQ105" s="12">
        <v>40</v>
      </c>
      <c r="AR105" s="12">
        <v>795000</v>
      </c>
      <c r="AS105" s="12">
        <v>400000</v>
      </c>
      <c r="AT105" s="1"/>
      <c r="AU105" s="1"/>
      <c r="AV105" s="1"/>
      <c r="AW105" s="1"/>
      <c r="AX105" s="2"/>
      <c r="AY105" s="73"/>
      <c r="AZ105" s="1">
        <v>320000</v>
      </c>
      <c r="BA105" s="73"/>
      <c r="BB105" s="73"/>
      <c r="BC105" s="2"/>
      <c r="BD105" s="73"/>
      <c r="BE105" s="2"/>
      <c r="BF105" s="2"/>
      <c r="BG105" s="2"/>
      <c r="BI105" s="2"/>
      <c r="BJ105" s="13"/>
      <c r="BL105" s="13"/>
      <c r="BN105" s="13"/>
      <c r="BO105" s="2"/>
      <c r="BP105" s="13"/>
      <c r="BS105" s="81" t="str">
        <f>IF($J$24="Español","Pase Precipitado",(IF($J$24="Deutsch","Teamkapitän",(IF($J$24="Français","Perce-nuage","Pass")))))</f>
        <v>Pase Precipitado</v>
      </c>
      <c r="BT105" s="21" t="s">
        <v>170</v>
      </c>
      <c r="BU105" s="21" t="str">
        <f>IF($J$24="Español","Luchador",(IF($J$24="Deutsch","Tackle durchbrechen",(IF($J$24="Français","Mateau-pilon","Stand Firm")))))</f>
        <v>Luchador</v>
      </c>
      <c r="BV105" s="21" t="s">
        <v>169</v>
      </c>
      <c r="BW105" s="81" t="str">
        <f>IF($J$24="Español","Pase Precipitado",(IF($J$24="Deutsch","Teamkapitän",(IF($J$24="Français","Perce-nuage","Pass")))))</f>
        <v>Pase Precipitado</v>
      </c>
      <c r="BX105" s="21" t="s">
        <v>170</v>
      </c>
      <c r="BY105" s="21" t="str">
        <f>IF($J$24="Español","Luchador",(IF($J$24="Deutsch","Tackle durchbrechen",(IF($J$24="Français","Mateau-pilon","Stand Firm")))))</f>
        <v>Luchador</v>
      </c>
      <c r="BZ105" s="21" t="s">
        <v>169</v>
      </c>
      <c r="CA105" s="21" t="str">
        <f t="shared" si="85"/>
        <v/>
      </c>
      <c r="CB105" s="21" t="str">
        <f t="shared" si="85"/>
        <v/>
      </c>
      <c r="CC105" s="75" t="str">
        <f>IF($J$24="Español","Precisión",(IF($J$24="Deutsch","Zielsicher",(IF($J$24="Français","Sur le ballon","Safe Pass")))))</f>
        <v>Precisión</v>
      </c>
      <c r="CD105" s="2" t="s">
        <v>170</v>
      </c>
      <c r="CE105" s="80"/>
      <c r="CF105" s="2"/>
      <c r="CG105" s="2" t="str">
        <f t="shared" si="68"/>
        <v/>
      </c>
      <c r="CH105" s="2" t="str">
        <f t="shared" si="69"/>
        <v/>
      </c>
      <c r="CI105" s="2" t="str">
        <f t="shared" si="70"/>
        <v/>
      </c>
      <c r="CJ105" s="2" t="str">
        <f t="shared" si="71"/>
        <v/>
      </c>
      <c r="CK105" s="2" t="str">
        <f t="shared" si="72"/>
        <v/>
      </c>
      <c r="CL105" s="2" t="str">
        <f t="shared" si="73"/>
        <v/>
      </c>
      <c r="CM105" s="2" t="str">
        <f t="shared" si="74"/>
        <v/>
      </c>
      <c r="CN105" s="2" t="str">
        <f t="shared" si="75"/>
        <v/>
      </c>
      <c r="CO105" s="2" t="str">
        <f t="shared" si="76"/>
        <v/>
      </c>
      <c r="CP105" s="2" t="str">
        <f t="shared" si="77"/>
        <v/>
      </c>
      <c r="CQ105" s="2" t="str">
        <f t="shared" si="78"/>
        <v/>
      </c>
      <c r="CR105" s="2" t="str">
        <f t="shared" si="79"/>
        <v/>
      </c>
      <c r="CS105" s="2" t="str">
        <f t="shared" si="80"/>
        <v/>
      </c>
      <c r="CT105" s="2" t="str">
        <f t="shared" si="81"/>
        <v/>
      </c>
      <c r="CU105" s="2" t="str">
        <f t="shared" si="82"/>
        <v/>
      </c>
      <c r="CV105" s="2" t="str">
        <f t="shared" si="83"/>
        <v/>
      </c>
      <c r="CW105" s="2"/>
      <c r="CX105" s="2"/>
      <c r="CY105" s="2"/>
      <c r="CZ105" s="2"/>
    </row>
    <row r="106" spans="43:104" ht="15" hidden="1" customHeight="1" x14ac:dyDescent="0.2">
      <c r="AQ106" s="13">
        <v>41</v>
      </c>
      <c r="AR106" s="12">
        <v>800000</v>
      </c>
      <c r="AS106" s="12">
        <v>410000</v>
      </c>
      <c r="AT106" s="1"/>
      <c r="AU106" s="1"/>
      <c r="AV106" s="1"/>
      <c r="AW106" s="1"/>
      <c r="AX106" s="2"/>
      <c r="AY106" s="73"/>
      <c r="AZ106" s="1">
        <v>330000</v>
      </c>
      <c r="BA106" s="73"/>
      <c r="BB106" s="73"/>
      <c r="BC106" s="2"/>
      <c r="BD106" s="73"/>
      <c r="BE106" s="2"/>
      <c r="BF106" s="2"/>
      <c r="BG106" s="2"/>
      <c r="BJ106" s="13"/>
      <c r="BL106" s="13"/>
      <c r="BN106" s="13"/>
      <c r="BO106" s="2"/>
      <c r="BP106" s="13"/>
      <c r="BS106" s="81" t="str">
        <f>IF($J$24="Español","Pase Seguro",(IF($J$24="Deutsch","Wurfsicher",(IF($J$24="Français","Précision","Running Pass")))))</f>
        <v>Pase Seguro</v>
      </c>
      <c r="BT106" s="21" t="s">
        <v>170</v>
      </c>
      <c r="BU106" s="21" t="str">
        <f>IF($J$24="Español","Mantenerse Firme",(IF($J$24="Deutsch","Robust",(IF($J$24="Français","Projection","Strong Arm")))))</f>
        <v>Mantenerse Firme</v>
      </c>
      <c r="BV106" s="21" t="s">
        <v>169</v>
      </c>
      <c r="BW106" s="81" t="str">
        <f>IF($J$24="Español","Pase Seguro",(IF($J$24="Deutsch","Wurfsicher",(IF($J$24="Français","Précision","Running Pass")))))</f>
        <v>Pase Seguro</v>
      </c>
      <c r="BX106" s="21" t="s">
        <v>170</v>
      </c>
      <c r="BY106" s="21" t="str">
        <f>IF($J$24="Español","Mantenerse Firme",(IF($J$24="Deutsch","Robust",(IF($J$24="Français","Projection","Strong Arm")))))</f>
        <v>Mantenerse Firme</v>
      </c>
      <c r="BZ106" s="21" t="s">
        <v>169</v>
      </c>
      <c r="CA106" s="21" t="str">
        <f t="shared" si="85"/>
        <v/>
      </c>
      <c r="CB106" s="21" t="str">
        <f t="shared" si="85"/>
        <v/>
      </c>
      <c r="CC106" s="75" t="str">
        <f>IF($J$24="Español","Abrirse Paso",(IF($J$24="Deutsch","Armhebel",(IF($J$24="Français","Bagarre","Arm Bar")))))</f>
        <v>Abrirse Paso</v>
      </c>
      <c r="CD106" s="2" t="s">
        <v>169</v>
      </c>
      <c r="CE106" s="80"/>
      <c r="CF106" s="2"/>
      <c r="CG106" s="2" t="str">
        <f t="shared" si="68"/>
        <v/>
      </c>
      <c r="CH106" s="2" t="str">
        <f t="shared" si="69"/>
        <v/>
      </c>
      <c r="CI106" s="2" t="str">
        <f t="shared" si="70"/>
        <v/>
      </c>
      <c r="CJ106" s="2" t="str">
        <f t="shared" si="71"/>
        <v/>
      </c>
      <c r="CK106" s="2" t="str">
        <f t="shared" si="72"/>
        <v/>
      </c>
      <c r="CL106" s="2" t="str">
        <f t="shared" si="73"/>
        <v/>
      </c>
      <c r="CM106" s="2" t="str">
        <f t="shared" si="74"/>
        <v/>
      </c>
      <c r="CN106" s="2" t="str">
        <f t="shared" si="75"/>
        <v/>
      </c>
      <c r="CO106" s="2" t="str">
        <f t="shared" si="76"/>
        <v/>
      </c>
      <c r="CP106" s="2" t="str">
        <f t="shared" si="77"/>
        <v/>
      </c>
      <c r="CQ106" s="2" t="str">
        <f t="shared" si="78"/>
        <v/>
      </c>
      <c r="CR106" s="2" t="str">
        <f t="shared" si="79"/>
        <v/>
      </c>
      <c r="CS106" s="2" t="str">
        <f t="shared" si="80"/>
        <v/>
      </c>
      <c r="CT106" s="2" t="str">
        <f t="shared" si="81"/>
        <v/>
      </c>
      <c r="CU106" s="2" t="str">
        <f t="shared" si="82"/>
        <v/>
      </c>
      <c r="CV106" s="2" t="str">
        <f t="shared" si="83"/>
        <v/>
      </c>
      <c r="CW106" s="2"/>
      <c r="CX106" s="2"/>
      <c r="CY106" s="2"/>
      <c r="CZ106" s="2"/>
    </row>
    <row r="107" spans="43:104" ht="15" hidden="1" customHeight="1" x14ac:dyDescent="0.2">
      <c r="AQ107" s="13">
        <v>42</v>
      </c>
      <c r="AR107" s="12">
        <v>805000</v>
      </c>
      <c r="AS107" s="12">
        <v>420000</v>
      </c>
      <c r="AT107" s="1"/>
      <c r="AU107" s="1"/>
      <c r="AV107" s="1"/>
      <c r="AW107" s="1"/>
      <c r="AX107" s="2"/>
      <c r="AY107" s="73"/>
      <c r="AZ107" s="1">
        <v>340000</v>
      </c>
      <c r="BA107" s="73"/>
      <c r="BB107" s="73"/>
      <c r="BC107" s="2"/>
      <c r="BD107" s="73"/>
      <c r="BE107" s="2"/>
      <c r="BF107" s="2"/>
      <c r="BG107" s="2"/>
      <c r="BJ107" s="13"/>
      <c r="BL107" s="13"/>
      <c r="BN107" s="13"/>
      <c r="BO107" s="2"/>
      <c r="BP107" s="13"/>
      <c r="BS107" s="81" t="str">
        <f>IF($J$24="Español","Precisión",(IF($J$24="Deutsch","Zielsicher",(IF($J$24="Français","Sur le ballon","Safe Pass")))))</f>
        <v>Precisión</v>
      </c>
      <c r="BT107" s="21" t="s">
        <v>170</v>
      </c>
      <c r="BU107" s="21" t="str">
        <f>IF($J$24="Español","Placaje Múltiple",(IF($J$24="Deutsch","Unterstützen",(IF($J$24="Français","Stabilité","Thick Skull")))))</f>
        <v>Placaje Múltiple</v>
      </c>
      <c r="BV107" s="21" t="s">
        <v>169</v>
      </c>
      <c r="BW107" s="81" t="str">
        <f>IF($J$24="Español","Precisión",(IF($J$24="Deutsch","Zielsicher",(IF($J$24="Français","Sur le ballon","Safe Pass")))))</f>
        <v>Precisión</v>
      </c>
      <c r="BX107" s="21" t="s">
        <v>170</v>
      </c>
      <c r="BY107" s="21" t="str">
        <f>IF($J$24="Español","Placaje Múltiple",(IF($J$24="Deutsch","Unterstützen",(IF($J$24="Français","Stabilité","Thick Skull")))))</f>
        <v>Placaje Múltiple</v>
      </c>
      <c r="BZ107" s="21" t="s">
        <v>169</v>
      </c>
      <c r="CA107" s="21" t="str">
        <f t="shared" si="85"/>
        <v/>
      </c>
      <c r="CB107" s="21" t="str">
        <f t="shared" si="85"/>
        <v/>
      </c>
      <c r="CC107" s="75" t="str">
        <f>IF($J$24="Español","Apartar",(IF($J$24="Deutsch","Greifer",(IF($J$24="Français","Blocage multiple","Brawler")))))</f>
        <v>Apartar</v>
      </c>
      <c r="CD107" s="2" t="s">
        <v>169</v>
      </c>
      <c r="CE107" s="80"/>
      <c r="CF107" s="2"/>
      <c r="CG107" s="2" t="str">
        <f t="shared" si="68"/>
        <v/>
      </c>
      <c r="CH107" s="2" t="str">
        <f t="shared" si="69"/>
        <v/>
      </c>
      <c r="CI107" s="2" t="str">
        <f t="shared" si="70"/>
        <v/>
      </c>
      <c r="CJ107" s="2" t="str">
        <f t="shared" si="71"/>
        <v/>
      </c>
      <c r="CK107" s="2" t="str">
        <f t="shared" si="72"/>
        <v/>
      </c>
      <c r="CL107" s="2" t="str">
        <f t="shared" si="73"/>
        <v/>
      </c>
      <c r="CM107" s="2" t="str">
        <f t="shared" si="74"/>
        <v/>
      </c>
      <c r="CN107" s="2" t="str">
        <f t="shared" si="75"/>
        <v/>
      </c>
      <c r="CO107" s="2" t="str">
        <f t="shared" si="76"/>
        <v/>
      </c>
      <c r="CP107" s="2" t="str">
        <f t="shared" si="77"/>
        <v/>
      </c>
      <c r="CQ107" s="2" t="str">
        <f t="shared" si="78"/>
        <v/>
      </c>
      <c r="CR107" s="2" t="str">
        <f t="shared" si="79"/>
        <v/>
      </c>
      <c r="CS107" s="2" t="str">
        <f t="shared" si="80"/>
        <v/>
      </c>
      <c r="CT107" s="2" t="str">
        <f t="shared" si="81"/>
        <v/>
      </c>
      <c r="CU107" s="2" t="str">
        <f t="shared" si="82"/>
        <v/>
      </c>
      <c r="CV107" s="2" t="str">
        <f t="shared" si="83"/>
        <v/>
      </c>
      <c r="CW107" s="2"/>
      <c r="CX107" s="2"/>
      <c r="CY107" s="2"/>
      <c r="CZ107" s="2"/>
    </row>
    <row r="108" spans="43:104" ht="15" hidden="1" customHeight="1" x14ac:dyDescent="0.2">
      <c r="AQ108" s="12">
        <v>43</v>
      </c>
      <c r="AR108" s="12">
        <v>810000</v>
      </c>
      <c r="AS108" s="12">
        <v>430000</v>
      </c>
      <c r="AT108" s="1"/>
      <c r="AU108" s="1"/>
      <c r="AV108" s="1"/>
      <c r="AW108" s="1"/>
      <c r="AX108" s="2"/>
      <c r="AY108" s="73"/>
      <c r="AZ108" s="1">
        <v>350000</v>
      </c>
      <c r="BA108" s="73"/>
      <c r="BB108" s="73"/>
      <c r="BC108" s="2"/>
      <c r="BD108" s="73"/>
      <c r="BE108" s="2"/>
      <c r="BJ108" s="13"/>
      <c r="BL108" s="13"/>
      <c r="BN108" s="13"/>
      <c r="BO108" s="2"/>
      <c r="BP108" s="13"/>
      <c r="BS108" s="81" t="str">
        <f>IF($J$24="Español","Abrirse Paso",(IF($J$24="Deutsch","Armhebel",(IF($J$24="Français","Bagarre","Arm Bar")))))</f>
        <v>Abrirse Paso</v>
      </c>
      <c r="BT108" s="21" t="s">
        <v>169</v>
      </c>
      <c r="BU108" s="81" t="str">
        <f>IF($J$24="Español","Apariencia Asquerosa",(IF($J$24="Deutsch","Abstoßendes Aussehen",(IF($J$24="Français","Bras supplémentaire","Big Hand")))))</f>
        <v>Apariencia Asquerosa</v>
      </c>
      <c r="BV108" s="21" t="s">
        <v>171</v>
      </c>
      <c r="BW108" s="81" t="str">
        <f>IF($J$24="Español","Abrirse Paso",(IF($J$24="Deutsch","Armhebel",(IF($J$24="Français","Bagarre","Arm Bar")))))</f>
        <v>Abrirse Paso</v>
      </c>
      <c r="BX108" s="21" t="s">
        <v>169</v>
      </c>
      <c r="BY108" s="21" t="str">
        <f t="shared" ref="BY108:BZ119" si="86">""</f>
        <v/>
      </c>
      <c r="BZ108" s="21" t="str">
        <f t="shared" si="86"/>
        <v/>
      </c>
      <c r="CA108" s="21" t="str">
        <f t="shared" si="85"/>
        <v/>
      </c>
      <c r="CB108" s="21" t="str">
        <f t="shared" si="85"/>
        <v/>
      </c>
      <c r="CC108" s="75" t="str">
        <f>IF($J$24="Español","Brazo Fuerte",(IF($J$24="Deutsch","Knochenbrecher (+1)",(IF($J$24="Français","Bras musclé","Break Tackle")))))</f>
        <v>Brazo Fuerte</v>
      </c>
      <c r="CD108" s="2" t="s">
        <v>169</v>
      </c>
      <c r="CE108" s="80"/>
      <c r="CF108" s="2"/>
      <c r="CG108" s="2" t="str">
        <f t="shared" si="68"/>
        <v/>
      </c>
      <c r="CH108" s="2" t="str">
        <f t="shared" si="69"/>
        <v/>
      </c>
      <c r="CI108" s="2" t="str">
        <f t="shared" si="70"/>
        <v/>
      </c>
      <c r="CJ108" s="2" t="str">
        <f t="shared" si="71"/>
        <v/>
      </c>
      <c r="CK108" s="2" t="str">
        <f t="shared" si="72"/>
        <v/>
      </c>
      <c r="CL108" s="2" t="str">
        <f t="shared" si="73"/>
        <v/>
      </c>
      <c r="CM108" s="2" t="str">
        <f t="shared" si="74"/>
        <v/>
      </c>
      <c r="CN108" s="2" t="str">
        <f t="shared" si="75"/>
        <v/>
      </c>
      <c r="CO108" s="2" t="str">
        <f t="shared" si="76"/>
        <v/>
      </c>
      <c r="CP108" s="2" t="str">
        <f t="shared" si="77"/>
        <v/>
      </c>
      <c r="CQ108" s="2" t="str">
        <f t="shared" si="78"/>
        <v/>
      </c>
      <c r="CR108" s="2" t="str">
        <f t="shared" si="79"/>
        <v/>
      </c>
      <c r="CS108" s="2" t="str">
        <f t="shared" si="80"/>
        <v/>
      </c>
      <c r="CT108" s="2" t="str">
        <f t="shared" si="81"/>
        <v/>
      </c>
      <c r="CU108" s="2" t="str">
        <f t="shared" si="82"/>
        <v/>
      </c>
      <c r="CV108" s="2" t="str">
        <f t="shared" si="83"/>
        <v/>
      </c>
      <c r="CW108" s="2"/>
      <c r="CX108" s="2"/>
      <c r="CY108" s="2"/>
      <c r="CZ108" s="2"/>
    </row>
    <row r="109" spans="43:104" ht="15" hidden="1" customHeight="1" x14ac:dyDescent="0.2">
      <c r="AQ109" s="13">
        <v>44</v>
      </c>
      <c r="AR109" s="12">
        <v>815000</v>
      </c>
      <c r="AS109" s="12">
        <v>440000</v>
      </c>
      <c r="AT109" s="1"/>
      <c r="AU109" s="1"/>
      <c r="AV109" s="1"/>
      <c r="AW109" s="1"/>
      <c r="AX109" s="2"/>
      <c r="AY109" s="71"/>
      <c r="AZ109" s="1">
        <v>360000</v>
      </c>
      <c r="BA109" s="71"/>
      <c r="BB109" s="71"/>
      <c r="BC109" s="2"/>
      <c r="BD109" s="71"/>
      <c r="BE109" s="2"/>
      <c r="BJ109" s="13"/>
      <c r="BL109" s="13"/>
      <c r="BN109" s="13"/>
      <c r="BO109" s="2"/>
      <c r="BP109" s="13"/>
      <c r="BS109" s="81" t="str">
        <f>IF($J$24="Español","Apartar",(IF($J$24="Deutsch","Greifer",(IF($J$24="Français","Blocage multiple","Brawler")))))</f>
        <v>Apartar</v>
      </c>
      <c r="BT109" s="21" t="s">
        <v>169</v>
      </c>
      <c r="BU109" s="81" t="str">
        <f>IF($J$24="Español","Boca Monstruosa",(IF($J$24="Deutsch","Eisenharte Haut",(IF($J$24="Français","Cornes","Claw / Claws")))))</f>
        <v>Boca Monstruosa</v>
      </c>
      <c r="BV109" s="21" t="s">
        <v>171</v>
      </c>
      <c r="BW109" s="81" t="str">
        <f>IF($J$24="Español","Apartar",(IF($J$24="Deutsch","Greifer",(IF($J$24="Français","Blocage multiple","Brawler")))))</f>
        <v>Apartar</v>
      </c>
      <c r="BX109" s="21" t="s">
        <v>169</v>
      </c>
      <c r="BY109" s="21" t="str">
        <f t="shared" si="86"/>
        <v/>
      </c>
      <c r="BZ109" s="21" t="str">
        <f t="shared" si="86"/>
        <v/>
      </c>
      <c r="CA109" s="21" t="str">
        <f t="shared" si="85"/>
        <v/>
      </c>
      <c r="CB109" s="21" t="str">
        <f t="shared" si="85"/>
        <v/>
      </c>
      <c r="CC109" s="75" t="str">
        <f>IF($J$24="Español","Cabeza Dura",(IF($J$24="Deutsch","Mehrfachblock",(IF($J$24="Français","Châtaigne (+1)","Grab")))))</f>
        <v>Cabeza Dura</v>
      </c>
      <c r="CD109" s="2" t="s">
        <v>169</v>
      </c>
      <c r="CE109" s="80"/>
      <c r="CF109" s="2"/>
      <c r="CG109" s="2" t="str">
        <f t="shared" si="68"/>
        <v/>
      </c>
      <c r="CH109" s="2" t="str">
        <f t="shared" si="69"/>
        <v/>
      </c>
      <c r="CI109" s="2" t="str">
        <f t="shared" si="70"/>
        <v/>
      </c>
      <c r="CJ109" s="2" t="str">
        <f t="shared" si="71"/>
        <v/>
      </c>
      <c r="CK109" s="2" t="str">
        <f t="shared" si="72"/>
        <v/>
      </c>
      <c r="CL109" s="2" t="str">
        <f t="shared" si="73"/>
        <v/>
      </c>
      <c r="CM109" s="2" t="str">
        <f t="shared" si="74"/>
        <v/>
      </c>
      <c r="CN109" s="2" t="str">
        <f t="shared" si="75"/>
        <v/>
      </c>
      <c r="CO109" s="2" t="str">
        <f t="shared" si="76"/>
        <v/>
      </c>
      <c r="CP109" s="2" t="str">
        <f t="shared" si="77"/>
        <v/>
      </c>
      <c r="CQ109" s="2" t="str">
        <f t="shared" si="78"/>
        <v/>
      </c>
      <c r="CR109" s="2" t="str">
        <f t="shared" si="79"/>
        <v/>
      </c>
      <c r="CS109" s="2" t="str">
        <f t="shared" si="80"/>
        <v/>
      </c>
      <c r="CT109" s="2" t="str">
        <f t="shared" si="81"/>
        <v/>
      </c>
      <c r="CU109" s="2" t="str">
        <f t="shared" si="82"/>
        <v/>
      </c>
      <c r="CV109" s="2" t="str">
        <f t="shared" si="83"/>
        <v/>
      </c>
      <c r="CW109" s="2"/>
      <c r="CX109" s="2"/>
      <c r="CY109" s="2"/>
      <c r="CZ109" s="2"/>
    </row>
    <row r="110" spans="43:104" ht="15" hidden="1" customHeight="1" x14ac:dyDescent="0.2">
      <c r="AQ110" s="13">
        <v>45</v>
      </c>
      <c r="AR110" s="12">
        <v>820000</v>
      </c>
      <c r="AS110" s="12">
        <v>450000</v>
      </c>
      <c r="AT110" s="1"/>
      <c r="AU110" s="1"/>
      <c r="AV110" s="1"/>
      <c r="AW110" s="1"/>
      <c r="AX110" s="2"/>
      <c r="AY110" s="73"/>
      <c r="AZ110" s="1">
        <v>370000</v>
      </c>
      <c r="BA110" s="73"/>
      <c r="BB110" s="73"/>
      <c r="BC110" s="2"/>
      <c r="BD110" s="73"/>
      <c r="BE110" s="2"/>
      <c r="BK110" s="2"/>
      <c r="BM110" s="2"/>
      <c r="BN110" s="2"/>
      <c r="BO110" s="2"/>
      <c r="BS110" s="81" t="str">
        <f>IF($J$24="Español","Brazo Fuerte",(IF($J$24="Deutsch","Knochenbrecher (+1)",(IF($J$24="Français","Bras musclé","Break Tackle")))))</f>
        <v>Brazo Fuerte</v>
      </c>
      <c r="BT110" s="21" t="s">
        <v>169</v>
      </c>
      <c r="BU110" s="81" t="str">
        <f>IF($J$24="Español","Brazos Adicionales",(IF($J$24="Deutsch","Große Hand",(IF($J$24="Français","Deux tête","Disturbing Presence")))))</f>
        <v>Brazos Adicionales</v>
      </c>
      <c r="BV110" s="21" t="s">
        <v>171</v>
      </c>
      <c r="BW110" s="81" t="str">
        <f>IF($J$24="Español","Brazo Fuerte",(IF($J$24="Deutsch","Knochenbrecher (+1)",(IF($J$24="Français","Bras musclé","Break Tackle")))))</f>
        <v>Brazo Fuerte</v>
      </c>
      <c r="BX110" s="21" t="s">
        <v>169</v>
      </c>
      <c r="BY110" s="21" t="str">
        <f t="shared" si="86"/>
        <v/>
      </c>
      <c r="BZ110" s="21" t="str">
        <f t="shared" si="86"/>
        <v/>
      </c>
      <c r="CA110" s="21" t="str">
        <f t="shared" si="85"/>
        <v/>
      </c>
      <c r="CB110" s="21" t="str">
        <f t="shared" si="85"/>
        <v/>
      </c>
      <c r="CC110" s="75" t="str">
        <f>IF($J$24="Español","Crujir",(IF($J$24="Deutsch","Ramme",(IF($J$24="Français","Clé de bras","Guard")))))</f>
        <v>Crujir</v>
      </c>
      <c r="CD110" s="2" t="s">
        <v>169</v>
      </c>
      <c r="CE110" s="80"/>
      <c r="CF110" s="2"/>
      <c r="CG110" s="2" t="str">
        <f t="shared" si="68"/>
        <v/>
      </c>
      <c r="CH110" s="2" t="str">
        <f t="shared" si="69"/>
        <v/>
      </c>
      <c r="CI110" s="2" t="str">
        <f t="shared" si="70"/>
        <v/>
      </c>
      <c r="CJ110" s="2" t="str">
        <f t="shared" si="71"/>
        <v/>
      </c>
      <c r="CK110" s="2" t="str">
        <f t="shared" si="72"/>
        <v/>
      </c>
      <c r="CL110" s="2" t="str">
        <f t="shared" si="73"/>
        <v/>
      </c>
      <c r="CM110" s="2" t="str">
        <f t="shared" si="74"/>
        <v/>
      </c>
      <c r="CN110" s="2" t="str">
        <f t="shared" si="75"/>
        <v/>
      </c>
      <c r="CO110" s="2" t="str">
        <f t="shared" si="76"/>
        <v/>
      </c>
      <c r="CP110" s="2" t="str">
        <f t="shared" si="77"/>
        <v/>
      </c>
      <c r="CQ110" s="2" t="str">
        <f t="shared" si="78"/>
        <v/>
      </c>
      <c r="CR110" s="2" t="str">
        <f t="shared" si="79"/>
        <v/>
      </c>
      <c r="CS110" s="2" t="str">
        <f t="shared" si="80"/>
        <v/>
      </c>
      <c r="CT110" s="2" t="str">
        <f t="shared" si="81"/>
        <v/>
      </c>
      <c r="CU110" s="2" t="str">
        <f t="shared" si="82"/>
        <v/>
      </c>
      <c r="CV110" s="2" t="str">
        <f t="shared" si="83"/>
        <v/>
      </c>
      <c r="CW110" s="2"/>
      <c r="CX110" s="2"/>
      <c r="CY110" s="2"/>
      <c r="CZ110" s="2"/>
    </row>
    <row r="111" spans="43:104" ht="15" hidden="1" customHeight="1" x14ac:dyDescent="0.2">
      <c r="AQ111" s="12">
        <v>46</v>
      </c>
      <c r="AR111" s="12">
        <v>825000</v>
      </c>
      <c r="AS111" s="12">
        <v>460000</v>
      </c>
      <c r="AT111" s="1"/>
      <c r="AU111" s="1"/>
      <c r="AV111" s="1"/>
      <c r="AW111" s="1"/>
      <c r="AX111" s="2"/>
      <c r="AY111" s="73"/>
      <c r="AZ111" s="1">
        <v>380000</v>
      </c>
      <c r="BA111" s="73"/>
      <c r="BB111" s="73"/>
      <c r="BC111" s="2"/>
      <c r="BD111" s="73"/>
      <c r="BE111" s="2"/>
      <c r="BK111" s="2"/>
      <c r="BM111" s="2"/>
      <c r="BN111" s="2"/>
      <c r="BO111" s="2"/>
      <c r="BS111" s="81" t="str">
        <f>IF($J$24="Español","Cabeza Dura",(IF($J$24="Deutsch","Mehrfachblock",(IF($J$24="Français","Châtaigne (+1)","Grab")))))</f>
        <v>Cabeza Dura</v>
      </c>
      <c r="BT111" s="21" t="s">
        <v>169</v>
      </c>
      <c r="BU111" s="81" t="str">
        <f>IF($J$24="Español","Cola Prensil",(IF($J$24="Deutsch","Hörner",(IF($J$24="Français","Grande gueule","Extra Arms")))))</f>
        <v>Cola Prensil</v>
      </c>
      <c r="BV111" s="21" t="s">
        <v>171</v>
      </c>
      <c r="BW111" s="81" t="str">
        <f>IF($J$24="Español","Cabeza Dura",(IF($J$24="Deutsch","Mehrfachblock",(IF($J$24="Français","Châtaigne (+1)","Grab")))))</f>
        <v>Cabeza Dura</v>
      </c>
      <c r="BX111" s="21" t="s">
        <v>169</v>
      </c>
      <c r="BY111" s="21" t="str">
        <f t="shared" si="86"/>
        <v/>
      </c>
      <c r="BZ111" s="21" t="str">
        <f t="shared" si="86"/>
        <v/>
      </c>
      <c r="CA111" s="21" t="str">
        <f t="shared" si="85"/>
        <v/>
      </c>
      <c r="CB111" s="21" t="str">
        <f t="shared" si="85"/>
        <v/>
      </c>
      <c r="CC111" s="21" t="str">
        <f>IF($J$24="Español","Defensa",(IF($J$24="Deutsch","Raufbold",(IF($J$24="Français","Crâne épais","Juggernaut")))))</f>
        <v>Defensa</v>
      </c>
      <c r="CD111" s="2" t="s">
        <v>169</v>
      </c>
      <c r="CE111" s="80"/>
      <c r="CF111" s="2"/>
      <c r="CG111" s="2" t="str">
        <f t="shared" si="68"/>
        <v/>
      </c>
      <c r="CH111" s="2" t="str">
        <f t="shared" si="69"/>
        <v/>
      </c>
      <c r="CI111" s="2" t="str">
        <f t="shared" si="70"/>
        <v/>
      </c>
      <c r="CJ111" s="2" t="str">
        <f t="shared" si="71"/>
        <v/>
      </c>
      <c r="CK111" s="2" t="str">
        <f t="shared" si="72"/>
        <v/>
      </c>
      <c r="CL111" s="2" t="str">
        <f t="shared" si="73"/>
        <v/>
      </c>
      <c r="CM111" s="2" t="str">
        <f t="shared" si="74"/>
        <v/>
      </c>
      <c r="CN111" s="2" t="str">
        <f t="shared" si="75"/>
        <v/>
      </c>
      <c r="CO111" s="2" t="str">
        <f t="shared" si="76"/>
        <v/>
      </c>
      <c r="CP111" s="2" t="str">
        <f t="shared" si="77"/>
        <v/>
      </c>
      <c r="CQ111" s="2" t="str">
        <f t="shared" si="78"/>
        <v/>
      </c>
      <c r="CR111" s="2" t="str">
        <f t="shared" si="79"/>
        <v/>
      </c>
      <c r="CS111" s="2" t="str">
        <f t="shared" si="80"/>
        <v/>
      </c>
      <c r="CT111" s="2" t="str">
        <f t="shared" si="81"/>
        <v/>
      </c>
      <c r="CU111" s="2" t="str">
        <f t="shared" si="82"/>
        <v/>
      </c>
      <c r="CV111" s="2" t="str">
        <f t="shared" si="83"/>
        <v/>
      </c>
      <c r="CW111" s="2"/>
      <c r="CX111" s="2"/>
      <c r="CY111" s="2"/>
      <c r="CZ111" s="2"/>
    </row>
    <row r="112" spans="43:104" ht="15" hidden="1" customHeight="1" x14ac:dyDescent="0.2">
      <c r="AQ112" s="13">
        <v>47</v>
      </c>
      <c r="AR112" s="12">
        <v>830000</v>
      </c>
      <c r="AS112" s="12">
        <v>470000</v>
      </c>
      <c r="AT112" s="1"/>
      <c r="AU112" s="1"/>
      <c r="AV112" s="1"/>
      <c r="AW112" s="1"/>
      <c r="AX112" s="2"/>
      <c r="AY112" s="73"/>
      <c r="AZ112" s="1">
        <v>390000</v>
      </c>
      <c r="BA112" s="73"/>
      <c r="BB112" s="73"/>
      <c r="BC112" s="2"/>
      <c r="BD112" s="73"/>
      <c r="BE112" s="2"/>
      <c r="BK112" s="2"/>
      <c r="BM112" s="2"/>
      <c r="BN112" s="2"/>
      <c r="BO112" s="2"/>
      <c r="BS112" s="81" t="str">
        <f>IF($J$24="Español","Crujir",(IF($J$24="Deutsch","Ramme",(IF($J$24="Français","Clé de bras","Guard")))))</f>
        <v>Crujir</v>
      </c>
      <c r="BT112" s="21" t="s">
        <v>169</v>
      </c>
      <c r="BU112" s="81" t="str">
        <f>IF($J$24="Español","Cuernos",(IF($J$24="Deutsch","Klammerschwanz",(IF($J$24="Français","Griffes","Foul Appearance")))))</f>
        <v>Cuernos</v>
      </c>
      <c r="BV112" s="21" t="s">
        <v>171</v>
      </c>
      <c r="BW112" s="81" t="str">
        <f>IF($J$24="Español","Crujir",(IF($J$24="Deutsch","Ramme",(IF($J$24="Français","Clé de bras","Guard")))))</f>
        <v>Crujir</v>
      </c>
      <c r="BX112" s="21" t="s">
        <v>169</v>
      </c>
      <c r="BY112" s="21" t="str">
        <f t="shared" si="86"/>
        <v/>
      </c>
      <c r="BZ112" s="21" t="str">
        <f t="shared" si="86"/>
        <v/>
      </c>
      <c r="CA112" s="21" t="str">
        <f t="shared" si="85"/>
        <v/>
      </c>
      <c r="CB112" s="21" t="str">
        <f t="shared" si="85"/>
        <v/>
      </c>
      <c r="CC112" s="21" t="str">
        <f>IF($J$24="Español","Golpe Mortífero (+1)",(IF($J$24="Deutsch","Schweres Gerät",(IF($J$24="Français","Esquive en force","Mighty Blow (+1)")))))</f>
        <v>Golpe Mortífero (+1)</v>
      </c>
      <c r="CD112" s="2" t="s">
        <v>169</v>
      </c>
      <c r="CE112" s="80"/>
      <c r="CF112" s="2"/>
      <c r="CG112" s="2" t="str">
        <f t="shared" si="68"/>
        <v/>
      </c>
      <c r="CH112" s="2" t="str">
        <f t="shared" si="69"/>
        <v/>
      </c>
      <c r="CI112" s="2" t="str">
        <f t="shared" si="70"/>
        <v/>
      </c>
      <c r="CJ112" s="2" t="str">
        <f t="shared" si="71"/>
        <v/>
      </c>
      <c r="CK112" s="2" t="str">
        <f t="shared" si="72"/>
        <v/>
      </c>
      <c r="CL112" s="2" t="str">
        <f t="shared" si="73"/>
        <v/>
      </c>
      <c r="CM112" s="2" t="str">
        <f t="shared" si="74"/>
        <v/>
      </c>
      <c r="CN112" s="2" t="str">
        <f t="shared" si="75"/>
        <v/>
      </c>
      <c r="CO112" s="2" t="str">
        <f t="shared" si="76"/>
        <v/>
      </c>
      <c r="CP112" s="2" t="str">
        <f t="shared" si="77"/>
        <v/>
      </c>
      <c r="CQ112" s="2" t="str">
        <f t="shared" si="78"/>
        <v/>
      </c>
      <c r="CR112" s="2" t="str">
        <f t="shared" si="79"/>
        <v/>
      </c>
      <c r="CS112" s="2" t="str">
        <f t="shared" si="80"/>
        <v/>
      </c>
      <c r="CT112" s="2" t="str">
        <f t="shared" si="81"/>
        <v/>
      </c>
      <c r="CU112" s="2" t="str">
        <f t="shared" si="82"/>
        <v/>
      </c>
      <c r="CV112" s="2" t="str">
        <f t="shared" si="83"/>
        <v/>
      </c>
      <c r="CW112" s="2"/>
      <c r="CX112" s="2"/>
      <c r="CY112" s="2"/>
      <c r="CZ112" s="2"/>
    </row>
    <row r="113" spans="43:104" ht="15" hidden="1" customHeight="1" x14ac:dyDescent="0.2">
      <c r="AQ113" s="13">
        <v>48</v>
      </c>
      <c r="AR113" s="12">
        <v>835000</v>
      </c>
      <c r="AS113" s="12">
        <v>480000</v>
      </c>
      <c r="AT113" s="1"/>
      <c r="AU113" s="1"/>
      <c r="AV113" s="1"/>
      <c r="AW113" s="1"/>
      <c r="AX113" s="2"/>
      <c r="AY113" s="73"/>
      <c r="AZ113" s="1">
        <v>400000</v>
      </c>
      <c r="BA113" s="73"/>
      <c r="BB113" s="73"/>
      <c r="BC113" s="2"/>
      <c r="BD113" s="73"/>
      <c r="BE113" s="2"/>
      <c r="BK113" s="2"/>
      <c r="BM113" s="2"/>
      <c r="BN113" s="2"/>
      <c r="BO113" s="2"/>
      <c r="BS113" s="21" t="str">
        <f>IF($J$24="Español","Defensa",(IF($J$24="Deutsch","Raufbold",(IF($J$24="Français","Crâne épais","Juggernaut")))))</f>
        <v>Defensa</v>
      </c>
      <c r="BT113" s="21" t="s">
        <v>169</v>
      </c>
      <c r="BU113" s="81" t="str">
        <f>IF($J$24="Español","Dos Cabezas",(IF($J$24="Deutsch","Klauen",(IF($J$24="Français","Main démesurée","Horns")))))</f>
        <v>Dos Cabezas</v>
      </c>
      <c r="BV113" s="21" t="s">
        <v>171</v>
      </c>
      <c r="BW113" s="21" t="str">
        <f>IF($J$24="Español","Defensa",(IF($J$24="Deutsch","Raufbold",(IF($J$24="Français","Crâne épais","Juggernaut")))))</f>
        <v>Defensa</v>
      </c>
      <c r="BX113" s="21" t="s">
        <v>169</v>
      </c>
      <c r="BY113" s="21" t="str">
        <f t="shared" si="86"/>
        <v/>
      </c>
      <c r="BZ113" s="21" t="str">
        <f t="shared" si="86"/>
        <v/>
      </c>
      <c r="CA113" s="21" t="str">
        <f t="shared" si="85"/>
        <v/>
      </c>
      <c r="CB113" s="21" t="str">
        <f t="shared" si="85"/>
        <v/>
      </c>
      <c r="CC113" s="21" t="str">
        <f>IF($J$24="Español","Imparable",(IF($J$24="Deutsch","Standfest",(IF($J$24="Français","Garde","Multiple Blocks")))))</f>
        <v>Imparable</v>
      </c>
      <c r="CD113" s="2" t="s">
        <v>169</v>
      </c>
      <c r="CE113" s="80"/>
      <c r="CF113" s="2"/>
      <c r="CG113" s="2" t="str">
        <f t="shared" si="68"/>
        <v/>
      </c>
      <c r="CH113" s="2" t="str">
        <f t="shared" si="69"/>
        <v/>
      </c>
      <c r="CI113" s="2" t="str">
        <f t="shared" si="70"/>
        <v/>
      </c>
      <c r="CJ113" s="2" t="str">
        <f t="shared" si="71"/>
        <v/>
      </c>
      <c r="CK113" s="2" t="str">
        <f t="shared" si="72"/>
        <v/>
      </c>
      <c r="CL113" s="2" t="str">
        <f t="shared" si="73"/>
        <v/>
      </c>
      <c r="CM113" s="2" t="str">
        <f t="shared" si="74"/>
        <v/>
      </c>
      <c r="CN113" s="2" t="str">
        <f t="shared" si="75"/>
        <v/>
      </c>
      <c r="CO113" s="2" t="str">
        <f t="shared" si="76"/>
        <v/>
      </c>
      <c r="CP113" s="2" t="str">
        <f t="shared" si="77"/>
        <v/>
      </c>
      <c r="CQ113" s="2" t="str">
        <f t="shared" si="78"/>
        <v/>
      </c>
      <c r="CR113" s="2" t="str">
        <f t="shared" si="79"/>
        <v/>
      </c>
      <c r="CS113" s="2" t="str">
        <f t="shared" si="80"/>
        <v/>
      </c>
      <c r="CT113" s="2" t="str">
        <f t="shared" si="81"/>
        <v/>
      </c>
      <c r="CU113" s="2" t="str">
        <f t="shared" si="82"/>
        <v/>
      </c>
      <c r="CV113" s="2" t="str">
        <f t="shared" si="83"/>
        <v/>
      </c>
      <c r="CW113" s="2"/>
      <c r="CX113" s="2"/>
      <c r="CY113" s="2"/>
      <c r="CZ113" s="2"/>
    </row>
    <row r="114" spans="43:104" ht="15" hidden="1" customHeight="1" x14ac:dyDescent="0.2">
      <c r="AQ114" s="12">
        <v>49</v>
      </c>
      <c r="AR114" s="12">
        <v>840000</v>
      </c>
      <c r="AS114" s="12">
        <v>490000</v>
      </c>
      <c r="AT114" s="1"/>
      <c r="AU114" s="1"/>
      <c r="AV114" s="1"/>
      <c r="AW114" s="1"/>
      <c r="AX114" s="2"/>
      <c r="AY114" s="73"/>
      <c r="AZ114" s="1">
        <v>410000</v>
      </c>
      <c r="BA114" s="73"/>
      <c r="BB114" s="73"/>
      <c r="BC114" s="2"/>
      <c r="BD114" s="73"/>
      <c r="BE114" s="2"/>
      <c r="BK114" s="2"/>
      <c r="BM114" s="2"/>
      <c r="BN114" s="2"/>
      <c r="BO114" s="2"/>
      <c r="BS114" s="21" t="str">
        <f>IF($J$24="Español","Golpe Mortífero (+1)",(IF($J$24="Deutsch","Schweres Gerät",(IF($J$24="Français","Esquive en force","Mighty Blow (+1)")))))</f>
        <v>Golpe Mortífero (+1)</v>
      </c>
      <c r="BT114" s="21" t="s">
        <v>169</v>
      </c>
      <c r="BU114" s="21" t="str">
        <f>IF($J$24="Español","Garra / Garras",(IF($J$24="Deutsch","Monströses Maul",(IF($J$24="Français","Queue préhensile","Iron Hard Skin")))))</f>
        <v>Garra / Garras</v>
      </c>
      <c r="BV114" s="21" t="s">
        <v>171</v>
      </c>
      <c r="BW114" s="21" t="str">
        <f>IF($J$24="Español","Golpe Mortífero (+1)",(IF($J$24="Deutsch","Schweres Gerät",(IF($J$24="Français","Esquive en force","Mighty Blow (+1)")))))</f>
        <v>Golpe Mortífero (+1)</v>
      </c>
      <c r="BX114" s="21" t="s">
        <v>169</v>
      </c>
      <c r="BY114" s="21" t="str">
        <f t="shared" si="86"/>
        <v/>
      </c>
      <c r="BZ114" s="21" t="str">
        <f t="shared" si="86"/>
        <v/>
      </c>
      <c r="CA114" s="21" t="str">
        <f t="shared" si="85"/>
        <v/>
      </c>
      <c r="CB114" s="21" t="str">
        <f t="shared" si="85"/>
        <v/>
      </c>
      <c r="CC114" s="21" t="str">
        <f>IF($J$24="Español","Llave de Brazo",(IF($J$24="Deutsch","Starker Wurfarm",(IF($J$24="Français","Juggernaut","Pile Diver")))))</f>
        <v>Llave de Brazo</v>
      </c>
      <c r="CD114" s="2" t="s">
        <v>169</v>
      </c>
      <c r="CE114" s="80"/>
      <c r="CF114" s="2"/>
      <c r="CG114" s="2" t="str">
        <f t="shared" si="68"/>
        <v/>
      </c>
      <c r="CH114" s="2" t="str">
        <f t="shared" si="69"/>
        <v/>
      </c>
      <c r="CI114" s="2" t="str">
        <f t="shared" si="70"/>
        <v/>
      </c>
      <c r="CJ114" s="2" t="str">
        <f t="shared" si="71"/>
        <v/>
      </c>
      <c r="CK114" s="2" t="str">
        <f t="shared" si="72"/>
        <v/>
      </c>
      <c r="CL114" s="2" t="str">
        <f t="shared" si="73"/>
        <v/>
      </c>
      <c r="CM114" s="2" t="str">
        <f t="shared" si="74"/>
        <v/>
      </c>
      <c r="CN114" s="2" t="str">
        <f t="shared" si="75"/>
        <v/>
      </c>
      <c r="CO114" s="2" t="str">
        <f t="shared" si="76"/>
        <v/>
      </c>
      <c r="CP114" s="2" t="str">
        <f t="shared" si="77"/>
        <v/>
      </c>
      <c r="CQ114" s="2" t="str">
        <f t="shared" si="78"/>
        <v/>
      </c>
      <c r="CR114" s="2" t="str">
        <f t="shared" si="79"/>
        <v/>
      </c>
      <c r="CS114" s="2" t="str">
        <f t="shared" si="80"/>
        <v/>
      </c>
      <c r="CT114" s="2" t="str">
        <f t="shared" si="81"/>
        <v/>
      </c>
      <c r="CU114" s="2" t="str">
        <f t="shared" si="82"/>
        <v/>
      </c>
      <c r="CV114" s="2" t="str">
        <f t="shared" si="83"/>
        <v/>
      </c>
      <c r="CW114" s="2"/>
      <c r="CX114" s="2"/>
      <c r="CY114" s="2"/>
      <c r="CZ114" s="2"/>
    </row>
    <row r="115" spans="43:104" ht="15" hidden="1" customHeight="1" x14ac:dyDescent="0.2">
      <c r="AQ115" s="13">
        <v>50</v>
      </c>
      <c r="AR115" s="12">
        <v>845000</v>
      </c>
      <c r="AS115" s="12">
        <v>500000</v>
      </c>
      <c r="AT115" s="1"/>
      <c r="AU115" s="1"/>
      <c r="AV115" s="1"/>
      <c r="AW115" s="1"/>
      <c r="AX115" s="2"/>
      <c r="AY115" s="73"/>
      <c r="AZ115" s="1">
        <v>420000</v>
      </c>
      <c r="BA115" s="73"/>
      <c r="BB115" s="73"/>
      <c r="BC115" s="2"/>
      <c r="BD115" s="73"/>
      <c r="BE115" s="2"/>
      <c r="BK115" s="2"/>
      <c r="BM115" s="2"/>
      <c r="BN115" s="2"/>
      <c r="BO115" s="2"/>
      <c r="BS115" s="21" t="str">
        <f>IF($J$24="Español","Imparable",(IF($J$24="Deutsch","Standfest",(IF($J$24="Français","Garde","Multiple Blocks")))))</f>
        <v>Imparable</v>
      </c>
      <c r="BT115" s="21" t="s">
        <v>169</v>
      </c>
      <c r="BU115" s="21" t="str">
        <f>IF($J$24="Español","Mano Grande",(IF($J$24="Deutsch","Sehr lange Beine",(IF($J$24="Français","Peau de fer","Monstrous Mouth")))))</f>
        <v>Mano Grande</v>
      </c>
      <c r="BV115" s="21" t="s">
        <v>171</v>
      </c>
      <c r="BW115" s="21" t="str">
        <f>IF($J$24="Español","Imparable",(IF($J$24="Deutsch","Standfest",(IF($J$24="Français","Garde","Multiple Blocks")))))</f>
        <v>Imparable</v>
      </c>
      <c r="BX115" s="21" t="s">
        <v>169</v>
      </c>
      <c r="BY115" s="21" t="str">
        <f t="shared" si="86"/>
        <v/>
      </c>
      <c r="BZ115" s="21" t="str">
        <f t="shared" si="86"/>
        <v/>
      </c>
      <c r="CA115" s="21" t="str">
        <f t="shared" si="85"/>
        <v/>
      </c>
      <c r="CB115" s="21" t="str">
        <f t="shared" si="85"/>
        <v/>
      </c>
      <c r="CC115" s="21" t="str">
        <f>IF($J$24="Español","Luchador",(IF($J$24="Deutsch","Tackle durchbrechen",(IF($J$24="Français","Mateau-pilon","Stand Firm")))))</f>
        <v>Luchador</v>
      </c>
      <c r="CD115" s="2" t="s">
        <v>169</v>
      </c>
      <c r="CE115" s="80"/>
      <c r="CF115" s="2"/>
      <c r="CG115" s="2" t="str">
        <f t="shared" si="68"/>
        <v/>
      </c>
      <c r="CH115" s="2" t="str">
        <f t="shared" si="69"/>
        <v/>
      </c>
      <c r="CI115" s="2" t="str">
        <f t="shared" si="70"/>
        <v/>
      </c>
      <c r="CJ115" s="2" t="str">
        <f t="shared" si="71"/>
        <v/>
      </c>
      <c r="CK115" s="2" t="str">
        <f t="shared" si="72"/>
        <v/>
      </c>
      <c r="CL115" s="2" t="str">
        <f t="shared" si="73"/>
        <v/>
      </c>
      <c r="CM115" s="2" t="str">
        <f t="shared" si="74"/>
        <v/>
      </c>
      <c r="CN115" s="2" t="str">
        <f t="shared" si="75"/>
        <v/>
      </c>
      <c r="CO115" s="2" t="str">
        <f t="shared" si="76"/>
        <v/>
      </c>
      <c r="CP115" s="2" t="str">
        <f t="shared" si="77"/>
        <v/>
      </c>
      <c r="CQ115" s="2" t="str">
        <f t="shared" si="78"/>
        <v/>
      </c>
      <c r="CR115" s="2" t="str">
        <f t="shared" si="79"/>
        <v/>
      </c>
      <c r="CS115" s="2" t="str">
        <f t="shared" si="80"/>
        <v/>
      </c>
      <c r="CT115" s="2" t="str">
        <f t="shared" si="81"/>
        <v/>
      </c>
      <c r="CU115" s="2" t="str">
        <f t="shared" si="82"/>
        <v/>
      </c>
      <c r="CV115" s="2" t="str">
        <f t="shared" si="83"/>
        <v/>
      </c>
      <c r="CW115" s="2"/>
      <c r="CX115" s="2"/>
      <c r="CY115" s="2"/>
      <c r="CZ115" s="2"/>
    </row>
    <row r="116" spans="43:104" ht="15" hidden="1" customHeight="1" x14ac:dyDescent="0.2">
      <c r="AQ116" s="13">
        <v>51</v>
      </c>
      <c r="AR116" s="12">
        <v>850000</v>
      </c>
      <c r="AS116" s="12">
        <v>510000</v>
      </c>
      <c r="AT116" s="1"/>
      <c r="AU116" s="1"/>
      <c r="AV116" s="1"/>
      <c r="AW116" s="1"/>
      <c r="AX116" s="2"/>
      <c r="AY116" s="2"/>
      <c r="AZ116" s="1">
        <v>430000</v>
      </c>
      <c r="BA116" s="2"/>
      <c r="BB116" s="2"/>
      <c r="BC116" s="2"/>
      <c r="BD116" s="2"/>
      <c r="BE116" s="2"/>
      <c r="BK116" s="2"/>
      <c r="BM116" s="2"/>
      <c r="BN116" s="2"/>
      <c r="BO116" s="2"/>
      <c r="BS116" s="21" t="str">
        <f>IF($J$24="Español","Llave de Brazo",(IF($J$24="Deutsch","Starker Wurfarm",(IF($J$24="Français","Juggernaut","Pile Diver")))))</f>
        <v>Llave de Brazo</v>
      </c>
      <c r="BT116" s="21" t="s">
        <v>169</v>
      </c>
      <c r="BU116" s="81" t="str">
        <f>IF($J$24="Español","Piel Ferrea",(IF($J$24="Deutsch","Tentakel",(IF($J$24="Français","Présence perturbante","Prehensile Tail")))))</f>
        <v>Piel Ferrea</v>
      </c>
      <c r="BV116" s="21" t="s">
        <v>171</v>
      </c>
      <c r="BW116" s="21" t="str">
        <f>IF($J$24="Español","Llave de Brazo",(IF($J$24="Deutsch","Starker Wurfarm",(IF($J$24="Français","Juggernaut","Pile Diver")))))</f>
        <v>Llave de Brazo</v>
      </c>
      <c r="BX116" s="21" t="s">
        <v>169</v>
      </c>
      <c r="BY116" s="21" t="str">
        <f t="shared" si="86"/>
        <v/>
      </c>
      <c r="BZ116" s="21" t="str">
        <f t="shared" si="86"/>
        <v/>
      </c>
      <c r="CA116" s="21" t="str">
        <f t="shared" si="85"/>
        <v/>
      </c>
      <c r="CB116" s="21" t="str">
        <f t="shared" si="85"/>
        <v/>
      </c>
      <c r="CC116" s="21" t="str">
        <f>IF($J$24="Español","Mantenerse Firme",(IF($J$24="Deutsch","Robust",(IF($J$24="Français","Projection","Strong Arm")))))</f>
        <v>Mantenerse Firme</v>
      </c>
      <c r="CD116" s="2" t="s">
        <v>169</v>
      </c>
      <c r="CE116" s="80"/>
      <c r="CF116" s="2"/>
      <c r="CG116" s="2" t="str">
        <f t="shared" si="68"/>
        <v/>
      </c>
      <c r="CH116" s="2" t="str">
        <f t="shared" si="69"/>
        <v/>
      </c>
      <c r="CI116" s="2" t="str">
        <f t="shared" si="70"/>
        <v/>
      </c>
      <c r="CJ116" s="2" t="str">
        <f t="shared" si="71"/>
        <v/>
      </c>
      <c r="CK116" s="2" t="str">
        <f t="shared" si="72"/>
        <v/>
      </c>
      <c r="CL116" s="2" t="str">
        <f t="shared" si="73"/>
        <v/>
      </c>
      <c r="CM116" s="2" t="str">
        <f t="shared" si="74"/>
        <v/>
      </c>
      <c r="CN116" s="2" t="str">
        <f t="shared" si="75"/>
        <v/>
      </c>
      <c r="CO116" s="2" t="str">
        <f t="shared" si="76"/>
        <v/>
      </c>
      <c r="CP116" s="2" t="str">
        <f t="shared" si="77"/>
        <v/>
      </c>
      <c r="CQ116" s="2" t="str">
        <f t="shared" si="78"/>
        <v/>
      </c>
      <c r="CR116" s="2" t="str">
        <f t="shared" si="79"/>
        <v/>
      </c>
      <c r="CS116" s="2" t="str">
        <f t="shared" si="80"/>
        <v/>
      </c>
      <c r="CT116" s="2" t="str">
        <f t="shared" si="81"/>
        <v/>
      </c>
      <c r="CU116" s="2" t="str">
        <f t="shared" si="82"/>
        <v/>
      </c>
      <c r="CV116" s="2" t="str">
        <f t="shared" si="83"/>
        <v/>
      </c>
      <c r="CW116" s="2"/>
      <c r="CX116" s="2"/>
      <c r="CY116" s="2"/>
      <c r="CZ116" s="2"/>
    </row>
    <row r="117" spans="43:104" ht="15" hidden="1" customHeight="1" x14ac:dyDescent="0.2">
      <c r="AQ117" s="12">
        <v>52</v>
      </c>
      <c r="AR117" s="12">
        <v>855000</v>
      </c>
      <c r="AS117" s="12">
        <v>520000</v>
      </c>
      <c r="AT117" s="1"/>
      <c r="AU117" s="1"/>
      <c r="AV117" s="1"/>
      <c r="AW117" s="1"/>
      <c r="AX117" s="2"/>
      <c r="AY117" s="2"/>
      <c r="AZ117" s="1">
        <v>440000</v>
      </c>
      <c r="BA117" s="2"/>
      <c r="BB117" s="2"/>
      <c r="BC117" s="2"/>
      <c r="BD117" s="2"/>
      <c r="BE117" s="2"/>
      <c r="BK117" s="2"/>
      <c r="BM117" s="2"/>
      <c r="BN117" s="2"/>
      <c r="BO117" s="2"/>
      <c r="BS117" s="21" t="str">
        <f>IF($J$24="Español","Luchador",(IF($J$24="Deutsch","Tackle durchbrechen",(IF($J$24="Français","Mateau-pilon","Stand Firm")))))</f>
        <v>Luchador</v>
      </c>
      <c r="BT117" s="21" t="s">
        <v>169</v>
      </c>
      <c r="BU117" s="81" t="str">
        <f>IF($J$24="Español","Piernas muy Largas",(IF($J$24="Deutsch","Verstörende Präsenz",(IF($J$24="Français","Répulsion","Tentacles")))))</f>
        <v>Piernas muy Largas</v>
      </c>
      <c r="BV117" s="21" t="s">
        <v>171</v>
      </c>
      <c r="BW117" s="21" t="str">
        <f>IF($J$24="Español","Luchador",(IF($J$24="Deutsch","Tackle durchbrechen",(IF($J$24="Français","Mateau-pilon","Stand Firm")))))</f>
        <v>Luchador</v>
      </c>
      <c r="BX117" s="21" t="s">
        <v>169</v>
      </c>
      <c r="BY117" s="21" t="str">
        <f t="shared" si="86"/>
        <v/>
      </c>
      <c r="BZ117" s="21" t="str">
        <f t="shared" si="86"/>
        <v/>
      </c>
      <c r="CA117" s="21" t="str">
        <f t="shared" si="85"/>
        <v/>
      </c>
      <c r="CB117" s="21" t="str">
        <f t="shared" si="85"/>
        <v/>
      </c>
      <c r="CC117" s="21" t="str">
        <f>IF($J$24="Español","Placaje Múltiple",(IF($J$24="Deutsch","Unterstützen",(IF($J$24="Français","Stabilité","Thick Skull")))))</f>
        <v>Placaje Múltiple</v>
      </c>
      <c r="CD117" s="2" t="s">
        <v>169</v>
      </c>
      <c r="CE117" s="80"/>
      <c r="CF117" s="2"/>
      <c r="CG117" s="2" t="str">
        <f t="shared" si="68"/>
        <v/>
      </c>
      <c r="CH117" s="2" t="str">
        <f t="shared" si="69"/>
        <v/>
      </c>
      <c r="CI117" s="2" t="str">
        <f t="shared" si="70"/>
        <v/>
      </c>
      <c r="CJ117" s="2" t="str">
        <f t="shared" si="71"/>
        <v/>
      </c>
      <c r="CK117" s="2" t="str">
        <f t="shared" si="72"/>
        <v/>
      </c>
      <c r="CL117" s="2" t="str">
        <f t="shared" si="73"/>
        <v/>
      </c>
      <c r="CM117" s="2" t="str">
        <f t="shared" si="74"/>
        <v/>
      </c>
      <c r="CN117" s="2" t="str">
        <f t="shared" si="75"/>
        <v/>
      </c>
      <c r="CO117" s="2" t="str">
        <f t="shared" si="76"/>
        <v/>
      </c>
      <c r="CP117" s="2" t="str">
        <f t="shared" si="77"/>
        <v/>
      </c>
      <c r="CQ117" s="2" t="str">
        <f t="shared" si="78"/>
        <v/>
      </c>
      <c r="CR117" s="2" t="str">
        <f t="shared" si="79"/>
        <v/>
      </c>
      <c r="CS117" s="2" t="str">
        <f t="shared" si="80"/>
        <v/>
      </c>
      <c r="CT117" s="2" t="str">
        <f t="shared" si="81"/>
        <v/>
      </c>
      <c r="CU117" s="2" t="str">
        <f t="shared" si="82"/>
        <v/>
      </c>
      <c r="CV117" s="2" t="str">
        <f t="shared" si="83"/>
        <v/>
      </c>
      <c r="CW117" s="2"/>
      <c r="CX117" s="2"/>
      <c r="CY117" s="2"/>
      <c r="CZ117" s="2"/>
    </row>
    <row r="118" spans="43:104" ht="15" hidden="1" customHeight="1" x14ac:dyDescent="0.2">
      <c r="AQ118" s="13">
        <v>53</v>
      </c>
      <c r="AR118" s="12">
        <v>860000</v>
      </c>
      <c r="AS118" s="12">
        <v>530000</v>
      </c>
      <c r="AT118" s="1"/>
      <c r="AU118" s="1"/>
      <c r="AV118" s="1"/>
      <c r="AW118" s="1"/>
      <c r="AX118" s="2"/>
      <c r="AY118" s="2"/>
      <c r="AZ118" s="1">
        <v>450000</v>
      </c>
      <c r="BA118" s="2"/>
      <c r="BB118" s="2"/>
      <c r="BC118" s="2"/>
      <c r="BD118" s="2"/>
      <c r="BE118" s="2"/>
      <c r="BK118" s="2"/>
      <c r="BM118" s="2"/>
      <c r="BN118" s="2"/>
      <c r="BO118" s="2"/>
      <c r="BS118" s="21" t="str">
        <f>IF($J$24="Español","Mantenerse Firme",(IF($J$24="Deutsch","Robust",(IF($J$24="Français","Projection","Strong Arm")))))</f>
        <v>Mantenerse Firme</v>
      </c>
      <c r="BT118" s="21" t="s">
        <v>169</v>
      </c>
      <c r="BU118" s="81" t="str">
        <f>IF($J$24="Español","Presencia Perturbadora",(IF($J$24="Deutsch","Zwei Köpfe",(IF($J$24="Français","Tentacule","Two Heads")))))</f>
        <v>Presencia Perturbadora</v>
      </c>
      <c r="BV118" s="21" t="s">
        <v>171</v>
      </c>
      <c r="BW118" s="21" t="str">
        <f>IF($J$24="Español","Mantenerse Firme",(IF($J$24="Deutsch","Robust",(IF($J$24="Français","Projection","Strong Arm")))))</f>
        <v>Mantenerse Firme</v>
      </c>
      <c r="BX118" s="21" t="s">
        <v>169</v>
      </c>
      <c r="BY118" s="21" t="str">
        <f t="shared" si="86"/>
        <v/>
      </c>
      <c r="BZ118" s="21" t="str">
        <f t="shared" si="86"/>
        <v/>
      </c>
      <c r="CA118" s="21" t="str">
        <f t="shared" si="85"/>
        <v/>
      </c>
      <c r="CB118" s="21" t="str">
        <f t="shared" si="85"/>
        <v/>
      </c>
      <c r="CC118" s="75" t="str">
        <f>IF($J$24="Español","Apariencia Asquerosa",(IF($J$24="Deutsch","Abstoßendes Aussehen",(IF($J$24="Français","Bras supplémentaire","Big Hand")))))</f>
        <v>Apariencia Asquerosa</v>
      </c>
      <c r="CD118" s="2" t="s">
        <v>171</v>
      </c>
      <c r="CE118" s="80"/>
      <c r="CF118" s="2"/>
      <c r="CG118" s="2" t="str">
        <f t="shared" si="68"/>
        <v/>
      </c>
      <c r="CH118" s="2" t="str">
        <f t="shared" si="69"/>
        <v/>
      </c>
      <c r="CI118" s="2" t="str">
        <f t="shared" si="70"/>
        <v/>
      </c>
      <c r="CJ118" s="2" t="str">
        <f t="shared" si="71"/>
        <v/>
      </c>
      <c r="CK118" s="2" t="str">
        <f t="shared" si="72"/>
        <v/>
      </c>
      <c r="CL118" s="2" t="str">
        <f t="shared" si="73"/>
        <v/>
      </c>
      <c r="CM118" s="2" t="str">
        <f t="shared" si="74"/>
        <v/>
      </c>
      <c r="CN118" s="2" t="str">
        <f t="shared" si="75"/>
        <v/>
      </c>
      <c r="CO118" s="2" t="str">
        <f t="shared" si="76"/>
        <v/>
      </c>
      <c r="CP118" s="2" t="str">
        <f t="shared" si="77"/>
        <v/>
      </c>
      <c r="CQ118" s="2" t="str">
        <f t="shared" si="78"/>
        <v/>
      </c>
      <c r="CR118" s="2" t="str">
        <f t="shared" si="79"/>
        <v/>
      </c>
      <c r="CS118" s="2" t="str">
        <f t="shared" si="80"/>
        <v/>
      </c>
      <c r="CT118" s="2" t="str">
        <f t="shared" si="81"/>
        <v/>
      </c>
      <c r="CU118" s="2" t="str">
        <f t="shared" si="82"/>
        <v/>
      </c>
      <c r="CV118" s="2" t="str">
        <f t="shared" si="83"/>
        <v/>
      </c>
      <c r="CW118" s="2"/>
      <c r="CX118" s="2"/>
      <c r="CY118" s="2"/>
      <c r="CZ118" s="2"/>
    </row>
    <row r="119" spans="43:104" ht="15" hidden="1" customHeight="1" x14ac:dyDescent="0.2">
      <c r="AQ119" s="13">
        <v>54</v>
      </c>
      <c r="AR119" s="12">
        <v>865000</v>
      </c>
      <c r="AS119" s="12">
        <v>540000</v>
      </c>
      <c r="AT119" s="1"/>
      <c r="AU119" s="1"/>
      <c r="AV119" s="1"/>
      <c r="AW119" s="1"/>
      <c r="AX119" s="2"/>
      <c r="AY119" s="2"/>
      <c r="AZ119" s="1">
        <v>460000</v>
      </c>
      <c r="BA119" s="2"/>
      <c r="BB119" s="2"/>
      <c r="BC119" s="2"/>
      <c r="BD119" s="2"/>
      <c r="BE119" s="2"/>
      <c r="BK119" s="2"/>
      <c r="BM119" s="2"/>
      <c r="BN119" s="2"/>
      <c r="BO119" s="2"/>
      <c r="BS119" s="21" t="str">
        <f>IF($J$24="Español","Placaje Múltiple",(IF($J$24="Deutsch","Unterstützen",(IF($J$24="Français","Stabilité","Thick Skull")))))</f>
        <v>Placaje Múltiple</v>
      </c>
      <c r="BT119" s="21" t="s">
        <v>169</v>
      </c>
      <c r="BU119" s="81" t="str">
        <f>IF($J$24="Español","Tentáculos",(IF($J$24="Deutsch","Zusätzliche Arme",(IF($J$24="Français","Très longues jambes","Very Long Legs")))))</f>
        <v>Tentáculos</v>
      </c>
      <c r="BV119" s="21" t="s">
        <v>171</v>
      </c>
      <c r="BW119" s="21" t="str">
        <f>IF($J$24="Español","Placaje Múltiple",(IF($J$24="Deutsch","Unterstützen",(IF($J$24="Français","Stabilité","Thick Skull")))))</f>
        <v>Placaje Múltiple</v>
      </c>
      <c r="BX119" s="21" t="s">
        <v>169</v>
      </c>
      <c r="BY119" s="21" t="str">
        <f t="shared" si="86"/>
        <v/>
      </c>
      <c r="BZ119" s="21" t="str">
        <f t="shared" si="86"/>
        <v/>
      </c>
      <c r="CA119" s="21" t="str">
        <f t="shared" si="85"/>
        <v/>
      </c>
      <c r="CB119" s="21" t="str">
        <f t="shared" si="85"/>
        <v/>
      </c>
      <c r="CC119" s="75" t="str">
        <f>IF($J$24="Español","Boca Monstruosa",(IF($J$24="Deutsch","Eisenharte Haut",(IF($J$24="Français","Cornes","Claw / Claws")))))</f>
        <v>Boca Monstruosa</v>
      </c>
      <c r="CD119" s="2" t="s">
        <v>171</v>
      </c>
      <c r="CE119" s="80"/>
      <c r="CF119" s="2"/>
      <c r="CG119" s="2" t="str">
        <f t="shared" si="68"/>
        <v/>
      </c>
      <c r="CH119" s="2" t="str">
        <f t="shared" si="69"/>
        <v/>
      </c>
      <c r="CI119" s="2" t="str">
        <f t="shared" si="70"/>
        <v/>
      </c>
      <c r="CJ119" s="2" t="str">
        <f t="shared" si="71"/>
        <v/>
      </c>
      <c r="CK119" s="2" t="str">
        <f t="shared" si="72"/>
        <v/>
      </c>
      <c r="CL119" s="2" t="str">
        <f t="shared" si="73"/>
        <v/>
      </c>
      <c r="CM119" s="2" t="str">
        <f t="shared" si="74"/>
        <v/>
      </c>
      <c r="CN119" s="2" t="str">
        <f t="shared" si="75"/>
        <v/>
      </c>
      <c r="CO119" s="2" t="str">
        <f t="shared" si="76"/>
        <v/>
      </c>
      <c r="CP119" s="2" t="str">
        <f t="shared" si="77"/>
        <v/>
      </c>
      <c r="CQ119" s="2" t="str">
        <f t="shared" si="78"/>
        <v/>
      </c>
      <c r="CR119" s="2" t="str">
        <f t="shared" si="79"/>
        <v/>
      </c>
      <c r="CS119" s="2" t="str">
        <f t="shared" si="80"/>
        <v/>
      </c>
      <c r="CT119" s="2" t="str">
        <f t="shared" si="81"/>
        <v/>
      </c>
      <c r="CU119" s="2" t="str">
        <f t="shared" si="82"/>
        <v/>
      </c>
      <c r="CV119" s="2" t="str">
        <f t="shared" si="83"/>
        <v/>
      </c>
      <c r="CW119" s="2"/>
      <c r="CX119" s="2"/>
      <c r="CY119" s="2"/>
      <c r="CZ119" s="2"/>
    </row>
    <row r="120" spans="43:104" ht="15" hidden="1" customHeight="1" x14ac:dyDescent="0.2">
      <c r="AQ120" s="12">
        <v>55</v>
      </c>
      <c r="AR120" s="12">
        <v>870000</v>
      </c>
      <c r="AS120" s="12">
        <v>550000</v>
      </c>
      <c r="AT120" s="1"/>
      <c r="AU120" s="1"/>
      <c r="AV120" s="1"/>
      <c r="AW120" s="1"/>
      <c r="AX120" s="2"/>
      <c r="AY120" s="2"/>
      <c r="AZ120" s="1">
        <v>470000</v>
      </c>
      <c r="BA120" s="2"/>
      <c r="BB120" s="2"/>
      <c r="BC120" s="2"/>
      <c r="BD120" s="2"/>
      <c r="BE120" s="2"/>
      <c r="BK120" s="2"/>
      <c r="BM120" s="2"/>
      <c r="BN120" s="2"/>
      <c r="BO120" s="2"/>
      <c r="BS120" s="81" t="str">
        <f>IF($J$24="Español","Apariencia Asquerosa",(IF($J$24="Deutsch","Abstoßendes Aussehen",(IF($J$24="Français","Bras supplémentaire","Big Hand")))))</f>
        <v>Apariencia Asquerosa</v>
      </c>
      <c r="BT120" s="21" t="s">
        <v>171</v>
      </c>
      <c r="BU120" s="21" t="str">
        <f t="shared" ref="BU120:BZ131" si="87">""</f>
        <v/>
      </c>
      <c r="BV120" s="21" t="str">
        <f t="shared" si="87"/>
        <v/>
      </c>
      <c r="BW120" s="21" t="str">
        <f t="shared" si="87"/>
        <v/>
      </c>
      <c r="BX120" s="21" t="str">
        <f t="shared" si="87"/>
        <v/>
      </c>
      <c r="BY120" s="21" t="str">
        <f t="shared" si="87"/>
        <v/>
      </c>
      <c r="BZ120" s="21" t="str">
        <f t="shared" si="87"/>
        <v/>
      </c>
      <c r="CA120" s="21" t="str">
        <f t="shared" si="85"/>
        <v/>
      </c>
      <c r="CB120" s="21" t="str">
        <f t="shared" si="85"/>
        <v/>
      </c>
      <c r="CC120" s="75" t="str">
        <f>IF($J$24="Español","Brazos Adicionales",(IF($J$24="Deutsch","Große Hand",(IF($J$24="Français","Deux tête","Disturbing Presence")))))</f>
        <v>Brazos Adicionales</v>
      </c>
      <c r="CD120" s="2" t="s">
        <v>171</v>
      </c>
      <c r="CE120" s="80"/>
      <c r="CF120" s="2"/>
      <c r="CG120" s="2" t="str">
        <f t="shared" si="68"/>
        <v/>
      </c>
      <c r="CH120" s="2" t="str">
        <f t="shared" si="69"/>
        <v/>
      </c>
      <c r="CI120" s="2" t="str">
        <f t="shared" si="70"/>
        <v/>
      </c>
      <c r="CJ120" s="2" t="str">
        <f t="shared" si="71"/>
        <v/>
      </c>
      <c r="CK120" s="2" t="str">
        <f t="shared" si="72"/>
        <v/>
      </c>
      <c r="CL120" s="2" t="str">
        <f t="shared" si="73"/>
        <v/>
      </c>
      <c r="CM120" s="2" t="str">
        <f t="shared" si="74"/>
        <v/>
      </c>
      <c r="CN120" s="2" t="str">
        <f t="shared" si="75"/>
        <v/>
      </c>
      <c r="CO120" s="2" t="str">
        <f t="shared" si="76"/>
        <v/>
      </c>
      <c r="CP120" s="2" t="str">
        <f t="shared" si="77"/>
        <v/>
      </c>
      <c r="CQ120" s="2" t="str">
        <f t="shared" si="78"/>
        <v/>
      </c>
      <c r="CR120" s="2" t="str">
        <f t="shared" si="79"/>
        <v/>
      </c>
      <c r="CS120" s="2" t="str">
        <f t="shared" si="80"/>
        <v/>
      </c>
      <c r="CT120" s="2" t="str">
        <f t="shared" si="81"/>
        <v/>
      </c>
      <c r="CU120" s="2" t="str">
        <f t="shared" si="82"/>
        <v/>
      </c>
      <c r="CV120" s="2" t="str">
        <f t="shared" si="83"/>
        <v/>
      </c>
      <c r="CW120" s="2"/>
      <c r="CX120" s="2"/>
      <c r="CY120" s="2"/>
      <c r="CZ120" s="2"/>
    </row>
    <row r="121" spans="43:104" ht="15" hidden="1" customHeight="1" x14ac:dyDescent="0.2">
      <c r="AQ121" s="13">
        <v>56</v>
      </c>
      <c r="AR121" s="12">
        <v>875000</v>
      </c>
      <c r="AS121" s="12">
        <v>560000</v>
      </c>
      <c r="AT121" s="1"/>
      <c r="AU121" s="1"/>
      <c r="AV121" s="1"/>
      <c r="AW121" s="1"/>
      <c r="AX121" s="2"/>
      <c r="AY121" s="2"/>
      <c r="AZ121" s="1">
        <v>480000</v>
      </c>
      <c r="BA121" s="2"/>
      <c r="BB121" s="2"/>
      <c r="BC121" s="2"/>
      <c r="BD121" s="2"/>
      <c r="BE121" s="2"/>
      <c r="BK121" s="2"/>
      <c r="BM121" s="2"/>
      <c r="BN121" s="2"/>
      <c r="BO121" s="2"/>
      <c r="BS121" s="81" t="str">
        <f>IF($J$24="Español","Boca Monstruosa",(IF($J$24="Deutsch","Eisenharte Haut",(IF($J$24="Français","Cornes","Claw / Claws")))))</f>
        <v>Boca Monstruosa</v>
      </c>
      <c r="BT121" s="21" t="s">
        <v>171</v>
      </c>
      <c r="BU121" s="21" t="str">
        <f t="shared" si="87"/>
        <v/>
      </c>
      <c r="BV121" s="21" t="str">
        <f t="shared" si="87"/>
        <v/>
      </c>
      <c r="BW121" s="21" t="str">
        <f t="shared" si="87"/>
        <v/>
      </c>
      <c r="BX121" s="21" t="str">
        <f t="shared" si="87"/>
        <v/>
      </c>
      <c r="BY121" s="21" t="str">
        <f t="shared" si="87"/>
        <v/>
      </c>
      <c r="BZ121" s="21" t="str">
        <f t="shared" si="87"/>
        <v/>
      </c>
      <c r="CA121" s="21" t="str">
        <f t="shared" si="85"/>
        <v/>
      </c>
      <c r="CB121" s="21" t="str">
        <f t="shared" si="85"/>
        <v/>
      </c>
      <c r="CC121" s="75" t="str">
        <f>IF($J$24="Español","Cola Prensil",(IF($J$24="Deutsch","Hörner",(IF($J$24="Français","Grande gueule","Extra Arms")))))</f>
        <v>Cola Prensil</v>
      </c>
      <c r="CD121" s="2" t="s">
        <v>171</v>
      </c>
      <c r="CE121" s="80"/>
      <c r="CF121" s="2"/>
      <c r="CG121" s="2" t="str">
        <f t="shared" si="68"/>
        <v/>
      </c>
      <c r="CH121" s="2" t="str">
        <f t="shared" si="69"/>
        <v/>
      </c>
      <c r="CI121" s="2" t="str">
        <f t="shared" si="70"/>
        <v/>
      </c>
      <c r="CJ121" s="2" t="str">
        <f t="shared" si="71"/>
        <v/>
      </c>
      <c r="CK121" s="2" t="str">
        <f t="shared" si="72"/>
        <v/>
      </c>
      <c r="CL121" s="2" t="str">
        <f t="shared" si="73"/>
        <v/>
      </c>
      <c r="CM121" s="2" t="str">
        <f t="shared" si="74"/>
        <v/>
      </c>
      <c r="CN121" s="2" t="str">
        <f t="shared" si="75"/>
        <v/>
      </c>
      <c r="CO121" s="2" t="str">
        <f t="shared" si="76"/>
        <v/>
      </c>
      <c r="CP121" s="2" t="str">
        <f t="shared" si="77"/>
        <v/>
      </c>
      <c r="CQ121" s="2" t="str">
        <f t="shared" si="78"/>
        <v/>
      </c>
      <c r="CR121" s="2" t="str">
        <f t="shared" si="79"/>
        <v/>
      </c>
      <c r="CS121" s="2" t="str">
        <f t="shared" si="80"/>
        <v/>
      </c>
      <c r="CT121" s="2" t="str">
        <f t="shared" si="81"/>
        <v/>
      </c>
      <c r="CU121" s="2" t="str">
        <f t="shared" si="82"/>
        <v/>
      </c>
      <c r="CV121" s="2" t="str">
        <f t="shared" si="83"/>
        <v/>
      </c>
      <c r="CW121" s="2"/>
      <c r="CX121" s="2"/>
      <c r="CY121" s="2"/>
      <c r="CZ121" s="2"/>
    </row>
    <row r="122" spans="43:104" ht="15" hidden="1" customHeight="1" x14ac:dyDescent="0.2">
      <c r="AQ122" s="13">
        <v>57</v>
      </c>
      <c r="AR122" s="12">
        <v>880000</v>
      </c>
      <c r="AS122" s="12">
        <v>570000</v>
      </c>
      <c r="AT122" s="1"/>
      <c r="AU122" s="1"/>
      <c r="AV122" s="1"/>
      <c r="AW122" s="1"/>
      <c r="AX122" s="2"/>
      <c r="AY122" s="2"/>
      <c r="AZ122" s="1">
        <v>490000</v>
      </c>
      <c r="BA122" s="2"/>
      <c r="BB122" s="2"/>
      <c r="BC122" s="2"/>
      <c r="BD122" s="2"/>
      <c r="BE122" s="2"/>
      <c r="BK122" s="2"/>
      <c r="BM122" s="2"/>
      <c r="BN122" s="2"/>
      <c r="BO122" s="2"/>
      <c r="BS122" s="81" t="str">
        <f>IF($J$24="Español","Brazos Adicionales",(IF($J$24="Deutsch","Große Hand",(IF($J$24="Français","Deux tête","Disturbing Presence")))))</f>
        <v>Brazos Adicionales</v>
      </c>
      <c r="BT122" s="21" t="s">
        <v>171</v>
      </c>
      <c r="BU122" s="21" t="str">
        <f t="shared" si="87"/>
        <v/>
      </c>
      <c r="BV122" s="21" t="str">
        <f t="shared" si="87"/>
        <v/>
      </c>
      <c r="BW122" s="21" t="str">
        <f t="shared" si="87"/>
        <v/>
      </c>
      <c r="BX122" s="21" t="str">
        <f t="shared" si="87"/>
        <v/>
      </c>
      <c r="BY122" s="21" t="str">
        <f t="shared" si="87"/>
        <v/>
      </c>
      <c r="BZ122" s="21" t="str">
        <f t="shared" si="87"/>
        <v/>
      </c>
      <c r="CA122" s="21" t="str">
        <f t="shared" si="85"/>
        <v/>
      </c>
      <c r="CB122" s="21" t="str">
        <f t="shared" si="85"/>
        <v/>
      </c>
      <c r="CC122" s="75" t="str">
        <f>IF($J$24="Español","Cuernos",(IF($J$24="Deutsch","Klammerschwanz",(IF($J$24="Français","Griffes","Foul Appearance")))))</f>
        <v>Cuernos</v>
      </c>
      <c r="CD122" s="2" t="s">
        <v>171</v>
      </c>
      <c r="CE122" s="80"/>
      <c r="CF122" s="2"/>
      <c r="CG122" s="2" t="str">
        <f t="shared" si="68"/>
        <v/>
      </c>
      <c r="CH122" s="2" t="str">
        <f t="shared" si="69"/>
        <v/>
      </c>
      <c r="CI122" s="2" t="str">
        <f t="shared" si="70"/>
        <v/>
      </c>
      <c r="CJ122" s="2" t="str">
        <f t="shared" si="71"/>
        <v/>
      </c>
      <c r="CK122" s="2" t="str">
        <f t="shared" si="72"/>
        <v/>
      </c>
      <c r="CL122" s="2" t="str">
        <f t="shared" si="73"/>
        <v/>
      </c>
      <c r="CM122" s="2" t="str">
        <f t="shared" si="74"/>
        <v/>
      </c>
      <c r="CN122" s="2" t="str">
        <f t="shared" si="75"/>
        <v/>
      </c>
      <c r="CO122" s="2" t="str">
        <f t="shared" si="76"/>
        <v/>
      </c>
      <c r="CP122" s="2" t="str">
        <f t="shared" si="77"/>
        <v/>
      </c>
      <c r="CQ122" s="2" t="str">
        <f t="shared" si="78"/>
        <v/>
      </c>
      <c r="CR122" s="2" t="str">
        <f t="shared" si="79"/>
        <v/>
      </c>
      <c r="CS122" s="2" t="str">
        <f t="shared" si="80"/>
        <v/>
      </c>
      <c r="CT122" s="2" t="str">
        <f t="shared" si="81"/>
        <v/>
      </c>
      <c r="CU122" s="2" t="str">
        <f t="shared" si="82"/>
        <v/>
      </c>
      <c r="CV122" s="2" t="str">
        <f t="shared" si="83"/>
        <v/>
      </c>
      <c r="CW122" s="2"/>
      <c r="CX122" s="2"/>
      <c r="CY122" s="2"/>
      <c r="CZ122" s="2"/>
    </row>
    <row r="123" spans="43:104" ht="15" hidden="1" customHeight="1" x14ac:dyDescent="0.2">
      <c r="AQ123" s="12">
        <v>58</v>
      </c>
      <c r="AR123" s="12">
        <v>885000</v>
      </c>
      <c r="AS123" s="12">
        <v>580000</v>
      </c>
      <c r="AT123" s="1"/>
      <c r="AU123" s="1"/>
      <c r="AV123" s="1"/>
      <c r="AW123" s="1"/>
      <c r="AX123" s="2"/>
      <c r="AY123" s="2"/>
      <c r="AZ123" s="1">
        <v>500000</v>
      </c>
      <c r="BA123" s="2"/>
      <c r="BB123" s="2"/>
      <c r="BC123" s="2"/>
      <c r="BD123" s="2"/>
      <c r="BE123" s="2"/>
      <c r="BK123" s="2"/>
      <c r="BM123" s="2"/>
      <c r="BN123" s="2"/>
      <c r="BO123" s="2"/>
      <c r="BS123" s="81" t="str">
        <f>IF($J$24="Español","Cola Prensil",(IF($J$24="Deutsch","Hörner",(IF($J$24="Français","Grande gueule","Extra Arms")))))</f>
        <v>Cola Prensil</v>
      </c>
      <c r="BT123" s="21" t="s">
        <v>171</v>
      </c>
      <c r="BU123" s="21" t="str">
        <f t="shared" si="87"/>
        <v/>
      </c>
      <c r="BV123" s="21" t="str">
        <f t="shared" si="87"/>
        <v/>
      </c>
      <c r="BW123" s="21" t="str">
        <f t="shared" si="87"/>
        <v/>
      </c>
      <c r="BX123" s="21" t="str">
        <f t="shared" si="87"/>
        <v/>
      </c>
      <c r="BY123" s="21" t="str">
        <f t="shared" si="87"/>
        <v/>
      </c>
      <c r="BZ123" s="21" t="str">
        <f t="shared" si="87"/>
        <v/>
      </c>
      <c r="CA123" s="21" t="str">
        <f t="shared" si="85"/>
        <v/>
      </c>
      <c r="CB123" s="21" t="str">
        <f t="shared" si="85"/>
        <v/>
      </c>
      <c r="CC123" s="75" t="str">
        <f>IF($J$24="Español","Dos Cabezas",(IF($J$24="Deutsch","Klauen",(IF($J$24="Français","Main démesurée","Horns")))))</f>
        <v>Dos Cabezas</v>
      </c>
      <c r="CD123" s="2" t="s">
        <v>171</v>
      </c>
      <c r="CE123" s="80"/>
      <c r="CF123" s="2"/>
      <c r="CG123" s="2" t="str">
        <f t="shared" si="68"/>
        <v/>
      </c>
      <c r="CH123" s="2" t="str">
        <f t="shared" si="69"/>
        <v/>
      </c>
      <c r="CI123" s="2" t="str">
        <f t="shared" si="70"/>
        <v/>
      </c>
      <c r="CJ123" s="2" t="str">
        <f t="shared" si="71"/>
        <v/>
      </c>
      <c r="CK123" s="2" t="str">
        <f t="shared" si="72"/>
        <v/>
      </c>
      <c r="CL123" s="2" t="str">
        <f t="shared" si="73"/>
        <v/>
      </c>
      <c r="CM123" s="2" t="str">
        <f t="shared" si="74"/>
        <v/>
      </c>
      <c r="CN123" s="2" t="str">
        <f t="shared" si="75"/>
        <v/>
      </c>
      <c r="CO123" s="2" t="str">
        <f t="shared" si="76"/>
        <v/>
      </c>
      <c r="CP123" s="2" t="str">
        <f t="shared" si="77"/>
        <v/>
      </c>
      <c r="CQ123" s="2" t="str">
        <f t="shared" si="78"/>
        <v/>
      </c>
      <c r="CR123" s="2" t="str">
        <f t="shared" si="79"/>
        <v/>
      </c>
      <c r="CS123" s="2" t="str">
        <f t="shared" si="80"/>
        <v/>
      </c>
      <c r="CT123" s="2" t="str">
        <f t="shared" si="81"/>
        <v/>
      </c>
      <c r="CU123" s="2" t="str">
        <f t="shared" si="82"/>
        <v/>
      </c>
      <c r="CV123" s="2" t="str">
        <f t="shared" si="83"/>
        <v/>
      </c>
      <c r="CW123" s="2"/>
      <c r="CX123" s="2"/>
      <c r="CY123" s="2"/>
      <c r="CZ123" s="2"/>
    </row>
    <row r="124" spans="43:104" ht="15" hidden="1" customHeight="1" x14ac:dyDescent="0.2">
      <c r="AQ124" s="13">
        <v>59</v>
      </c>
      <c r="AR124" s="12">
        <v>890000</v>
      </c>
      <c r="AS124" s="12">
        <v>590000</v>
      </c>
      <c r="AT124" s="1"/>
      <c r="AU124" s="1"/>
      <c r="AV124" s="1"/>
      <c r="AW124" s="1"/>
      <c r="AX124" s="2"/>
      <c r="AY124" s="2"/>
      <c r="AZ124" s="2"/>
      <c r="BA124" s="2"/>
      <c r="BB124" s="2"/>
      <c r="BC124" s="2"/>
      <c r="BD124" s="2"/>
      <c r="BE124" s="2"/>
      <c r="BK124" s="2"/>
      <c r="BM124" s="2"/>
      <c r="BN124" s="2"/>
      <c r="BO124" s="2"/>
      <c r="BS124" s="81" t="str">
        <f>IF($J$24="Español","Cuernos",(IF($J$24="Deutsch","Klammerschwanz",(IF($J$24="Français","Griffes","Foul Appearance")))))</f>
        <v>Cuernos</v>
      </c>
      <c r="BT124" s="21" t="s">
        <v>171</v>
      </c>
      <c r="BU124" s="21" t="str">
        <f t="shared" si="87"/>
        <v/>
      </c>
      <c r="BV124" s="21" t="str">
        <f t="shared" si="87"/>
        <v/>
      </c>
      <c r="BW124" s="21" t="str">
        <f t="shared" si="87"/>
        <v/>
      </c>
      <c r="BX124" s="21" t="str">
        <f t="shared" si="87"/>
        <v/>
      </c>
      <c r="BY124" s="21" t="str">
        <f t="shared" si="87"/>
        <v/>
      </c>
      <c r="BZ124" s="21" t="str">
        <f t="shared" si="87"/>
        <v/>
      </c>
      <c r="CA124" s="21" t="str">
        <f t="shared" si="85"/>
        <v/>
      </c>
      <c r="CB124" s="21" t="str">
        <f t="shared" si="85"/>
        <v/>
      </c>
      <c r="CC124" s="21" t="str">
        <f>IF($J$24="Español","Garra / Garras",(IF($J$24="Deutsch","Monströses Maul",(IF($J$24="Français","Queue préhensile","Iron Hard Skin")))))</f>
        <v>Garra / Garras</v>
      </c>
      <c r="CD124" s="2" t="s">
        <v>171</v>
      </c>
      <c r="CE124" s="80"/>
      <c r="CF124" s="2"/>
      <c r="CG124" s="2" t="str">
        <f t="shared" si="68"/>
        <v/>
      </c>
      <c r="CH124" s="2" t="str">
        <f t="shared" si="69"/>
        <v/>
      </c>
      <c r="CI124" s="2" t="str">
        <f t="shared" si="70"/>
        <v/>
      </c>
      <c r="CJ124" s="2" t="str">
        <f t="shared" si="71"/>
        <v/>
      </c>
      <c r="CK124" s="2" t="str">
        <f t="shared" si="72"/>
        <v/>
      </c>
      <c r="CL124" s="2" t="str">
        <f t="shared" si="73"/>
        <v/>
      </c>
      <c r="CM124" s="2" t="str">
        <f t="shared" si="74"/>
        <v/>
      </c>
      <c r="CN124" s="2" t="str">
        <f t="shared" si="75"/>
        <v/>
      </c>
      <c r="CO124" s="2" t="str">
        <f t="shared" si="76"/>
        <v/>
      </c>
      <c r="CP124" s="2" t="str">
        <f t="shared" si="77"/>
        <v/>
      </c>
      <c r="CQ124" s="2" t="str">
        <f t="shared" si="78"/>
        <v/>
      </c>
      <c r="CR124" s="2" t="str">
        <f t="shared" si="79"/>
        <v/>
      </c>
      <c r="CS124" s="2" t="str">
        <f t="shared" si="80"/>
        <v/>
      </c>
      <c r="CT124" s="2" t="str">
        <f t="shared" si="81"/>
        <v/>
      </c>
      <c r="CU124" s="2" t="str">
        <f t="shared" si="82"/>
        <v/>
      </c>
      <c r="CV124" s="2" t="str">
        <f t="shared" si="83"/>
        <v/>
      </c>
      <c r="CW124" s="2"/>
      <c r="CX124" s="2"/>
      <c r="CY124" s="2"/>
      <c r="CZ124" s="2"/>
    </row>
    <row r="125" spans="43:104" ht="15" hidden="1" customHeight="1" x14ac:dyDescent="0.2">
      <c r="AQ125" s="13">
        <v>60</v>
      </c>
      <c r="AR125" s="12">
        <v>895000</v>
      </c>
      <c r="AS125" s="12">
        <v>600000</v>
      </c>
      <c r="AT125" s="1"/>
      <c r="AU125" s="1"/>
      <c r="AV125" s="1"/>
      <c r="AW125" s="1"/>
      <c r="AX125" s="2"/>
      <c r="AY125" s="2"/>
      <c r="AZ125" s="2"/>
      <c r="BA125" s="2"/>
      <c r="BB125" s="2"/>
      <c r="BC125" s="2"/>
      <c r="BD125" s="2"/>
      <c r="BE125" s="2"/>
      <c r="BK125" s="2"/>
      <c r="BM125" s="2"/>
      <c r="BN125" s="2"/>
      <c r="BO125" s="2"/>
      <c r="BS125" s="81" t="str">
        <f>IF($J$24="Español","Dos Cabezas",(IF($J$24="Deutsch","Klauen",(IF($J$24="Français","Main démesurée","Horns")))))</f>
        <v>Dos Cabezas</v>
      </c>
      <c r="BT125" s="21" t="s">
        <v>171</v>
      </c>
      <c r="BU125" s="21" t="str">
        <f t="shared" si="87"/>
        <v/>
      </c>
      <c r="BV125" s="21" t="str">
        <f t="shared" si="87"/>
        <v/>
      </c>
      <c r="BW125" s="21" t="str">
        <f t="shared" si="87"/>
        <v/>
      </c>
      <c r="BX125" s="21" t="str">
        <f t="shared" si="87"/>
        <v/>
      </c>
      <c r="BY125" s="21" t="str">
        <f t="shared" si="87"/>
        <v/>
      </c>
      <c r="BZ125" s="21" t="str">
        <f t="shared" si="87"/>
        <v/>
      </c>
      <c r="CA125" s="21" t="str">
        <f t="shared" si="85"/>
        <v/>
      </c>
      <c r="CB125" s="21" t="str">
        <f t="shared" si="85"/>
        <v/>
      </c>
      <c r="CC125" s="21" t="str">
        <f>IF($J$24="Español","Mano Grande",(IF($J$24="Deutsch","Sehr lange Beine",(IF($J$24="Français","Peau de fer","Monstrous Mouth")))))</f>
        <v>Mano Grande</v>
      </c>
      <c r="CD125" s="2" t="s">
        <v>171</v>
      </c>
      <c r="CE125" s="80"/>
      <c r="CF125" s="2"/>
      <c r="CG125" s="2" t="str">
        <f t="shared" si="68"/>
        <v/>
      </c>
      <c r="CH125" s="2" t="str">
        <f t="shared" si="69"/>
        <v/>
      </c>
      <c r="CI125" s="2" t="str">
        <f t="shared" si="70"/>
        <v/>
      </c>
      <c r="CJ125" s="2" t="str">
        <f t="shared" si="71"/>
        <v/>
      </c>
      <c r="CK125" s="2" t="str">
        <f t="shared" si="72"/>
        <v/>
      </c>
      <c r="CL125" s="2" t="str">
        <f t="shared" si="73"/>
        <v/>
      </c>
      <c r="CM125" s="2" t="str">
        <f t="shared" si="74"/>
        <v/>
      </c>
      <c r="CN125" s="2" t="str">
        <f t="shared" si="75"/>
        <v/>
      </c>
      <c r="CO125" s="2" t="str">
        <f t="shared" si="76"/>
        <v/>
      </c>
      <c r="CP125" s="2" t="str">
        <f t="shared" si="77"/>
        <v/>
      </c>
      <c r="CQ125" s="2" t="str">
        <f t="shared" si="78"/>
        <v/>
      </c>
      <c r="CR125" s="2" t="str">
        <f t="shared" si="79"/>
        <v/>
      </c>
      <c r="CS125" s="2" t="str">
        <f t="shared" si="80"/>
        <v/>
      </c>
      <c r="CT125" s="2" t="str">
        <f t="shared" si="81"/>
        <v/>
      </c>
      <c r="CU125" s="2" t="str">
        <f t="shared" si="82"/>
        <v/>
      </c>
      <c r="CV125" s="2" t="str">
        <f t="shared" si="83"/>
        <v/>
      </c>
      <c r="CW125" s="2"/>
      <c r="CX125" s="2"/>
      <c r="CY125" s="2"/>
      <c r="CZ125" s="2"/>
    </row>
    <row r="126" spans="43:104" ht="15" hidden="1" customHeight="1" x14ac:dyDescent="0.2">
      <c r="AQ126" s="12">
        <v>61</v>
      </c>
      <c r="AR126" s="12">
        <v>900000</v>
      </c>
      <c r="AS126" s="12">
        <v>610000</v>
      </c>
      <c r="AT126" s="1"/>
      <c r="AU126" s="1"/>
      <c r="AV126" s="1"/>
      <c r="AW126" s="1"/>
      <c r="AX126" s="2"/>
      <c r="AY126" s="2"/>
      <c r="AZ126" s="2"/>
      <c r="BA126" s="2"/>
      <c r="BB126" s="2"/>
      <c r="BC126" s="2"/>
      <c r="BD126" s="2"/>
      <c r="BE126" s="2"/>
      <c r="BK126" s="2"/>
      <c r="BM126" s="2"/>
      <c r="BN126" s="2"/>
      <c r="BO126" s="2"/>
      <c r="BS126" s="21" t="str">
        <f>IF($J$24="Español","Garra / Garras",(IF($J$24="Deutsch","Monströses Maul",(IF($J$24="Français","Queue préhensile","Iron Hard Skin")))))</f>
        <v>Garra / Garras</v>
      </c>
      <c r="BT126" s="21" t="s">
        <v>171</v>
      </c>
      <c r="BU126" s="21" t="str">
        <f t="shared" si="87"/>
        <v/>
      </c>
      <c r="BV126" s="21" t="str">
        <f t="shared" si="87"/>
        <v/>
      </c>
      <c r="BW126" s="21" t="str">
        <f t="shared" si="87"/>
        <v/>
      </c>
      <c r="BX126" s="21" t="str">
        <f t="shared" si="87"/>
        <v/>
      </c>
      <c r="BY126" s="21" t="str">
        <f t="shared" si="87"/>
        <v/>
      </c>
      <c r="BZ126" s="21" t="str">
        <f t="shared" si="87"/>
        <v/>
      </c>
      <c r="CA126" s="21" t="str">
        <f t="shared" si="85"/>
        <v/>
      </c>
      <c r="CB126" s="21" t="str">
        <f t="shared" si="85"/>
        <v/>
      </c>
      <c r="CC126" s="75" t="str">
        <f>IF($J$24="Español","Piel Ferrea",(IF($J$24="Deutsch","Tentakel",(IF($J$24="Français","Présence perturbante","Prehensile Tail")))))</f>
        <v>Piel Ferrea</v>
      </c>
      <c r="CD126" s="2" t="s">
        <v>171</v>
      </c>
      <c r="CE126" s="80"/>
      <c r="CF126" s="2"/>
      <c r="CG126" s="2" t="str">
        <f t="shared" si="68"/>
        <v/>
      </c>
      <c r="CH126" s="2" t="str">
        <f t="shared" si="69"/>
        <v/>
      </c>
      <c r="CI126" s="2" t="str">
        <f t="shared" si="70"/>
        <v/>
      </c>
      <c r="CJ126" s="2" t="str">
        <f t="shared" si="71"/>
        <v/>
      </c>
      <c r="CK126" s="2" t="str">
        <f t="shared" si="72"/>
        <v/>
      </c>
      <c r="CL126" s="2" t="str">
        <f t="shared" si="73"/>
        <v/>
      </c>
      <c r="CM126" s="2" t="str">
        <f t="shared" si="74"/>
        <v/>
      </c>
      <c r="CN126" s="2" t="str">
        <f t="shared" si="75"/>
        <v/>
      </c>
      <c r="CO126" s="2" t="str">
        <f t="shared" si="76"/>
        <v/>
      </c>
      <c r="CP126" s="2" t="str">
        <f t="shared" si="77"/>
        <v/>
      </c>
      <c r="CQ126" s="2" t="str">
        <f t="shared" si="78"/>
        <v/>
      </c>
      <c r="CR126" s="2" t="str">
        <f t="shared" si="79"/>
        <v/>
      </c>
      <c r="CS126" s="2" t="str">
        <f t="shared" si="80"/>
        <v/>
      </c>
      <c r="CT126" s="2" t="str">
        <f t="shared" si="81"/>
        <v/>
      </c>
      <c r="CU126" s="2" t="str">
        <f t="shared" si="82"/>
        <v/>
      </c>
      <c r="CV126" s="2" t="str">
        <f t="shared" si="83"/>
        <v/>
      </c>
      <c r="CW126" s="2"/>
      <c r="CX126" s="2"/>
      <c r="CY126" s="2"/>
      <c r="CZ126" s="2"/>
    </row>
    <row r="127" spans="43:104" ht="15" hidden="1" customHeight="1" x14ac:dyDescent="0.2">
      <c r="AQ127" s="13">
        <v>62</v>
      </c>
      <c r="AR127" s="12">
        <v>905000</v>
      </c>
      <c r="AS127" s="12">
        <v>620000</v>
      </c>
      <c r="AT127" s="1"/>
      <c r="AU127" s="1"/>
      <c r="AV127" s="1"/>
      <c r="AW127" s="1"/>
      <c r="AX127" s="2"/>
      <c r="AY127" s="2"/>
      <c r="AZ127" s="2"/>
      <c r="BA127" s="2"/>
      <c r="BB127" s="2"/>
      <c r="BC127" s="2"/>
      <c r="BD127" s="2"/>
      <c r="BE127" s="2"/>
      <c r="BK127" s="2"/>
      <c r="BM127" s="2"/>
      <c r="BN127" s="2"/>
      <c r="BO127" s="2"/>
      <c r="BS127" s="21" t="str">
        <f>IF($J$24="Español","Mano Grande",(IF($J$24="Deutsch","Sehr lange Beine",(IF($J$24="Français","Peau de fer","Monstrous Mouth")))))</f>
        <v>Mano Grande</v>
      </c>
      <c r="BT127" s="21" t="s">
        <v>171</v>
      </c>
      <c r="BU127" s="21" t="str">
        <f t="shared" si="87"/>
        <v/>
      </c>
      <c r="BV127" s="21" t="str">
        <f t="shared" si="87"/>
        <v/>
      </c>
      <c r="BW127" s="21" t="str">
        <f t="shared" si="87"/>
        <v/>
      </c>
      <c r="BX127" s="21" t="str">
        <f t="shared" si="87"/>
        <v/>
      </c>
      <c r="BY127" s="21" t="str">
        <f t="shared" si="87"/>
        <v/>
      </c>
      <c r="BZ127" s="21" t="str">
        <f t="shared" si="87"/>
        <v/>
      </c>
      <c r="CA127" s="21" t="str">
        <f t="shared" si="85"/>
        <v/>
      </c>
      <c r="CB127" s="21" t="str">
        <f t="shared" si="85"/>
        <v/>
      </c>
      <c r="CC127" s="75" t="str">
        <f>IF($J$24="Español","Piernas muy Largas",(IF($J$24="Deutsch","Verstörende Präsenz",(IF($J$24="Français","Répulsion","Tentacles")))))</f>
        <v>Piernas muy Largas</v>
      </c>
      <c r="CD127" s="2" t="s">
        <v>171</v>
      </c>
      <c r="CE127" s="80"/>
      <c r="CF127" s="2"/>
      <c r="CG127" s="2" t="str">
        <f t="shared" si="68"/>
        <v/>
      </c>
      <c r="CH127" s="2" t="str">
        <f t="shared" si="69"/>
        <v/>
      </c>
      <c r="CI127" s="2" t="str">
        <f t="shared" si="70"/>
        <v/>
      </c>
      <c r="CJ127" s="2" t="str">
        <f t="shared" si="71"/>
        <v/>
      </c>
      <c r="CK127" s="2" t="str">
        <f t="shared" si="72"/>
        <v/>
      </c>
      <c r="CL127" s="2" t="str">
        <f t="shared" si="73"/>
        <v/>
      </c>
      <c r="CM127" s="2" t="str">
        <f t="shared" si="74"/>
        <v/>
      </c>
      <c r="CN127" s="2" t="str">
        <f t="shared" si="75"/>
        <v/>
      </c>
      <c r="CO127" s="2" t="str">
        <f t="shared" si="76"/>
        <v/>
      </c>
      <c r="CP127" s="2" t="str">
        <f t="shared" si="77"/>
        <v/>
      </c>
      <c r="CQ127" s="2" t="str">
        <f t="shared" si="78"/>
        <v/>
      </c>
      <c r="CR127" s="2" t="str">
        <f t="shared" si="79"/>
        <v/>
      </c>
      <c r="CS127" s="2" t="str">
        <f t="shared" si="80"/>
        <v/>
      </c>
      <c r="CT127" s="2" t="str">
        <f t="shared" si="81"/>
        <v/>
      </c>
      <c r="CU127" s="2" t="str">
        <f t="shared" si="82"/>
        <v/>
      </c>
      <c r="CV127" s="2" t="str">
        <f t="shared" si="83"/>
        <v/>
      </c>
      <c r="CW127" s="2"/>
      <c r="CX127" s="2"/>
      <c r="CY127" s="2"/>
      <c r="CZ127" s="2"/>
    </row>
    <row r="128" spans="43:104" ht="15" hidden="1" customHeight="1" x14ac:dyDescent="0.2">
      <c r="AQ128" s="12">
        <v>63</v>
      </c>
      <c r="AR128" s="12">
        <v>910000</v>
      </c>
      <c r="AS128" s="12">
        <v>630000</v>
      </c>
      <c r="AT128" s="1"/>
      <c r="AU128" s="1"/>
      <c r="AV128" s="1"/>
      <c r="AW128" s="1"/>
      <c r="AX128" s="2"/>
      <c r="AY128" s="2"/>
      <c r="AZ128" s="2"/>
      <c r="BA128" s="2"/>
      <c r="BB128" s="2"/>
      <c r="BC128" s="2"/>
      <c r="BD128" s="2"/>
      <c r="BE128" s="2"/>
      <c r="BK128" s="2"/>
      <c r="BM128" s="2"/>
      <c r="BN128" s="2"/>
      <c r="BO128" s="2"/>
      <c r="BS128" s="81" t="str">
        <f>IF($J$24="Español","Piel Ferrea",(IF($J$24="Deutsch","Tentakel",(IF($J$24="Français","Présence perturbante","Prehensile Tail")))))</f>
        <v>Piel Ferrea</v>
      </c>
      <c r="BT128" s="21" t="s">
        <v>171</v>
      </c>
      <c r="BU128" s="21" t="str">
        <f t="shared" si="87"/>
        <v/>
      </c>
      <c r="BV128" s="21" t="str">
        <f t="shared" si="87"/>
        <v/>
      </c>
      <c r="BW128" s="21" t="str">
        <f t="shared" si="87"/>
        <v/>
      </c>
      <c r="BX128" s="21" t="str">
        <f t="shared" si="87"/>
        <v/>
      </c>
      <c r="BY128" s="21" t="str">
        <f t="shared" si="87"/>
        <v/>
      </c>
      <c r="BZ128" s="21" t="str">
        <f t="shared" si="87"/>
        <v/>
      </c>
      <c r="CA128" s="21" t="str">
        <f t="shared" si="85"/>
        <v/>
      </c>
      <c r="CB128" s="21" t="str">
        <f t="shared" si="85"/>
        <v/>
      </c>
      <c r="CC128" s="75" t="str">
        <f>IF($J$24="Español","Presencia Perturbadora",(IF($J$24="Deutsch","Zwei Köpfe",(IF($J$24="Français","Tentacule","Two Heads")))))</f>
        <v>Presencia Perturbadora</v>
      </c>
      <c r="CD128" s="2" t="s">
        <v>171</v>
      </c>
      <c r="CE128" s="80"/>
      <c r="CF128" s="2"/>
      <c r="CG128" s="2" t="str">
        <f t="shared" si="68"/>
        <v/>
      </c>
      <c r="CH128" s="2" t="str">
        <f t="shared" si="69"/>
        <v/>
      </c>
      <c r="CI128" s="2" t="str">
        <f t="shared" si="70"/>
        <v/>
      </c>
      <c r="CJ128" s="2" t="str">
        <f t="shared" si="71"/>
        <v/>
      </c>
      <c r="CK128" s="2" t="str">
        <f t="shared" si="72"/>
        <v/>
      </c>
      <c r="CL128" s="2" t="str">
        <f t="shared" si="73"/>
        <v/>
      </c>
      <c r="CM128" s="2" t="str">
        <f t="shared" si="74"/>
        <v/>
      </c>
      <c r="CN128" s="2" t="str">
        <f t="shared" si="75"/>
        <v/>
      </c>
      <c r="CO128" s="2" t="str">
        <f t="shared" si="76"/>
        <v/>
      </c>
      <c r="CP128" s="2" t="str">
        <f t="shared" si="77"/>
        <v/>
      </c>
      <c r="CQ128" s="2" t="str">
        <f t="shared" si="78"/>
        <v/>
      </c>
      <c r="CR128" s="2" t="str">
        <f t="shared" si="79"/>
        <v/>
      </c>
      <c r="CS128" s="2" t="str">
        <f t="shared" si="80"/>
        <v/>
      </c>
      <c r="CT128" s="2" t="str">
        <f t="shared" si="81"/>
        <v/>
      </c>
      <c r="CU128" s="2" t="str">
        <f t="shared" si="82"/>
        <v/>
      </c>
      <c r="CV128" s="2" t="str">
        <f t="shared" si="83"/>
        <v/>
      </c>
      <c r="CW128" s="2"/>
      <c r="CX128" s="2"/>
      <c r="CY128" s="2"/>
      <c r="CZ128" s="2"/>
    </row>
    <row r="129" spans="43:104" ht="15" hidden="1" customHeight="1" x14ac:dyDescent="0.2">
      <c r="AQ129" s="13">
        <v>64</v>
      </c>
      <c r="AR129" s="12">
        <v>915000</v>
      </c>
      <c r="AS129" s="12">
        <v>640000</v>
      </c>
      <c r="AT129" s="1"/>
      <c r="AU129" s="1"/>
      <c r="AV129" s="1"/>
      <c r="AW129" s="1"/>
      <c r="AX129" s="2"/>
      <c r="AY129" s="2"/>
      <c r="AZ129" s="2"/>
      <c r="BA129" s="2"/>
      <c r="BB129" s="2"/>
      <c r="BC129" s="2"/>
      <c r="BD129" s="2"/>
      <c r="BE129" s="2"/>
      <c r="BK129" s="2"/>
      <c r="BM129" s="2"/>
      <c r="BN129" s="2"/>
      <c r="BO129" s="2"/>
      <c r="BS129" s="81" t="str">
        <f>IF($J$24="Español","Piernas muy Largas",(IF($J$24="Deutsch","Verstörende Präsenz",(IF($J$24="Français","Répulsion","Tentacles")))))</f>
        <v>Piernas muy Largas</v>
      </c>
      <c r="BT129" s="21" t="s">
        <v>171</v>
      </c>
      <c r="BU129" s="21" t="str">
        <f t="shared" si="87"/>
        <v/>
      </c>
      <c r="BV129" s="21" t="str">
        <f t="shared" si="87"/>
        <v/>
      </c>
      <c r="BW129" s="21" t="str">
        <f t="shared" si="87"/>
        <v/>
      </c>
      <c r="BX129" s="21" t="str">
        <f t="shared" si="87"/>
        <v/>
      </c>
      <c r="BY129" s="21" t="str">
        <f t="shared" si="87"/>
        <v/>
      </c>
      <c r="BZ129" s="21" t="str">
        <f t="shared" si="87"/>
        <v/>
      </c>
      <c r="CA129" s="21" t="str">
        <f t="shared" si="85"/>
        <v/>
      </c>
      <c r="CB129" s="21" t="str">
        <f t="shared" si="85"/>
        <v/>
      </c>
      <c r="CC129" s="75" t="str">
        <f>IF($J$24="Español","Tentáculos",(IF($J$24="Deutsch","Zusätzliche Arme",(IF($J$24="Français","Très longues jambes","Very Long Legs")))))</f>
        <v>Tentáculos</v>
      </c>
      <c r="CD129" s="2" t="s">
        <v>171</v>
      </c>
      <c r="CE129" s="80"/>
      <c r="CF129" s="2"/>
      <c r="CG129" s="2" t="str">
        <f t="shared" si="68"/>
        <v/>
      </c>
      <c r="CH129" s="2" t="str">
        <f t="shared" si="69"/>
        <v/>
      </c>
      <c r="CI129" s="2" t="str">
        <f t="shared" si="70"/>
        <v/>
      </c>
      <c r="CJ129" s="2" t="str">
        <f t="shared" si="71"/>
        <v/>
      </c>
      <c r="CK129" s="2" t="str">
        <f t="shared" si="72"/>
        <v/>
      </c>
      <c r="CL129" s="2" t="str">
        <f t="shared" si="73"/>
        <v/>
      </c>
      <c r="CM129" s="2" t="str">
        <f t="shared" si="74"/>
        <v/>
      </c>
      <c r="CN129" s="2" t="str">
        <f t="shared" si="75"/>
        <v/>
      </c>
      <c r="CO129" s="2" t="str">
        <f t="shared" si="76"/>
        <v/>
      </c>
      <c r="CP129" s="2" t="str">
        <f t="shared" si="77"/>
        <v/>
      </c>
      <c r="CQ129" s="2" t="str">
        <f t="shared" si="78"/>
        <v/>
      </c>
      <c r="CR129" s="2" t="str">
        <f t="shared" si="79"/>
        <v/>
      </c>
      <c r="CS129" s="2" t="str">
        <f t="shared" si="80"/>
        <v/>
      </c>
      <c r="CT129" s="2" t="str">
        <f t="shared" si="81"/>
        <v/>
      </c>
      <c r="CU129" s="2" t="str">
        <f t="shared" si="82"/>
        <v/>
      </c>
      <c r="CV129" s="2" t="str">
        <f t="shared" si="83"/>
        <v/>
      </c>
      <c r="CW129" s="2"/>
      <c r="CX129" s="2"/>
      <c r="CY129" s="2"/>
      <c r="CZ129" s="2"/>
    </row>
    <row r="130" spans="43:104" ht="15" hidden="1" customHeight="1" x14ac:dyDescent="0.2">
      <c r="AQ130" s="13">
        <v>65</v>
      </c>
      <c r="AR130" s="12">
        <v>920000</v>
      </c>
      <c r="AS130" s="12">
        <v>650000</v>
      </c>
      <c r="AT130" s="1"/>
      <c r="AU130" s="1"/>
      <c r="AV130" s="1"/>
      <c r="AW130" s="1"/>
      <c r="AX130" s="2"/>
      <c r="AY130" s="2"/>
      <c r="AZ130" s="2"/>
      <c r="BA130" s="2"/>
      <c r="BB130" s="2"/>
      <c r="BC130" s="2"/>
      <c r="BD130" s="2"/>
      <c r="BE130" s="2"/>
      <c r="BK130" s="2"/>
      <c r="BM130" s="2"/>
      <c r="BN130" s="2"/>
      <c r="BO130" s="2"/>
      <c r="BS130" s="81" t="str">
        <f>IF($J$24="Español","Presencia Perturbadora",(IF($J$24="Deutsch","Zwei Köpfe",(IF($J$24="Français","Tentacule","Two Heads")))))</f>
        <v>Presencia Perturbadora</v>
      </c>
      <c r="BT130" s="21" t="s">
        <v>171</v>
      </c>
      <c r="BU130" s="21" t="str">
        <f t="shared" si="87"/>
        <v/>
      </c>
      <c r="BV130" s="21" t="str">
        <f t="shared" si="87"/>
        <v/>
      </c>
      <c r="BW130" s="21" t="str">
        <f t="shared" si="87"/>
        <v/>
      </c>
      <c r="BX130" s="21" t="str">
        <f t="shared" si="87"/>
        <v/>
      </c>
      <c r="BY130" s="21" t="str">
        <f t="shared" si="87"/>
        <v/>
      </c>
      <c r="BZ130" s="21" t="str">
        <f t="shared" si="87"/>
        <v/>
      </c>
      <c r="CA130" s="21" t="str">
        <f t="shared" si="85"/>
        <v/>
      </c>
      <c r="CB130" s="21" t="str">
        <f t="shared" si="85"/>
        <v/>
      </c>
      <c r="CC130" s="13"/>
      <c r="CD130" s="2"/>
      <c r="CE130" s="2"/>
      <c r="CF130" s="2"/>
      <c r="CG130" s="2" t="str">
        <f t="shared" ref="CG130:CG139" si="88">IFERROR((IF($CG$62="M",BW131,IF($CG$62="PM",BY131,IF($CG$62="P",BU131,IF($CG$62="FULL",BS131,IF($CG$62="GPSM",CA135,"")))))),"")</f>
        <v/>
      </c>
      <c r="CH130" s="2" t="str">
        <f t="shared" ref="CH130:CH139" si="89">IFERROR((IF($CH$62="M",BW131,IF($CH$62="PM",BY131,IF($CH$62="P",BU131,IF($CH$62="FULL",BS131,IF($CH$62="GPSM",CA135,"")))))),"")</f>
        <v/>
      </c>
      <c r="CI130" s="2" t="str">
        <f t="shared" ref="CI130:CI139" si="90">IFERROR((IF($CI$62="M",BW131,IF($CI$62="PM",BY131,IF($CI$62="P",BU131,IF($CI$62="FULL",BS131,IF($CI$62="GPSM",CA135,"")))))),"")</f>
        <v/>
      </c>
      <c r="CJ130" s="2" t="str">
        <f t="shared" ref="CJ130:CJ139" si="91">IFERROR((IF($CJ$62="M",BW131,IF($CJ$62="PM",BY131,IF($CJ$62="P",BU131,IF($CJ$62="FULL",BS131,IF($CJ$62="GPSM",CA135,"")))))),"")</f>
        <v/>
      </c>
      <c r="CK130" s="2" t="str">
        <f t="shared" ref="CK130:CK139" si="92">IFERROR((IF($CK$62="M",BW131,IF($CK$62="PM",BY131,IF($CK$62="P",BU131,IF($CK$62="FULL",BS131,IF($CK$62="GPSM",CA135,"")))))),"")</f>
        <v/>
      </c>
      <c r="CL130" s="2" t="str">
        <f t="shared" ref="CL130:CL139" si="93">IFERROR((IF($CL$62="M",BW131,IF($CL$62="PM",BY131,IF($CL$62="P",BU131,IF($CL$62="FULL",BS131,IF($CL$62="GPSM",CA135,"")))))),"")</f>
        <v/>
      </c>
      <c r="CM130" s="2" t="str">
        <f t="shared" ref="CM130:CM139" si="94">IFERROR((IF($CM$62="M",BW131,IF($CM$62="PM",BY131,IF($CM$62="P",BU131,IF($CM$62="FULL",BS131,IF($CM$62="GPSM",CA135,"")))))),"")</f>
        <v/>
      </c>
      <c r="CN130" s="2" t="str">
        <f t="shared" ref="CN130:CN139" si="95">IFERROR((IF($CN$62="M",BW131,IF($CN$62="PM",BY131,IF($CN$62="P",BU131,IF($CN$62="FULL",BS131,IF($CN$62="GPSM",CA135,"")))))),"")</f>
        <v/>
      </c>
      <c r="CO130" s="2" t="str">
        <f t="shared" ref="CO130:CO139" si="96">IFERROR((IF($CO$62="M",BW131,IF($CO$62="PM",BY131,IF($CO$62="P",BU131,IF($CO$62="FULL",BS131,IF($CO$62="GPSM",CA135,"")))))),"")</f>
        <v/>
      </c>
      <c r="CP130" s="2" t="str">
        <f t="shared" ref="CP130:CP139" si="97">IFERROR((IF($CP$62="M",BW131,IF($CP$62="PM",BY131,IF($CP$62="P",BU131,IF($CP$62="FULL",BS131,IF($CP$62="GPSM",CA135,"")))))),"")</f>
        <v/>
      </c>
      <c r="CQ130" s="2" t="str">
        <f t="shared" ref="CQ130:CQ139" si="98">IFERROR((IF($CQ$62="M",BW131,IF($CQ$62="PM",BY131,IF($CQ$62="P",BU131,IF($CQ$62="FULL",BS131,IF($CQ$62="GPSM",CA135,"")))))),"")</f>
        <v/>
      </c>
      <c r="CR130" s="2" t="str">
        <f t="shared" ref="CR130:CR139" si="99">IFERROR((IF($CR$62="M",BW131,IF($CR$62="PM",BY131,IF($CR$62="P",BU131,IF($CR$62="FULL",BS131,IF($CR$62="GPSM",CA135,"")))))),"")</f>
        <v/>
      </c>
      <c r="CS130" s="2" t="str">
        <f t="shared" ref="CS130:CS139" si="100">IFERROR((IF($CS$62="M",BW131,IF($CS$62="PM",BY131,IF($CS$62="P",BU131,IF($CS$62="FULL",BS131,IF($CS$62="GPSM",CA135,"")))))),"")</f>
        <v/>
      </c>
      <c r="CT130" s="2" t="str">
        <f t="shared" ref="CT130:CT139" si="101">IFERROR((IF($CT$62="M",BW131,IF($CT$62="PM",BY131,IF($CT$62="P",BU131,IF($CT$62="FULL",BS131,IF($CT$62="GPSM",CA135,"")))))),"")</f>
        <v/>
      </c>
      <c r="CU130" s="2" t="str">
        <f t="shared" ref="CU130:CU139" si="102">IFERROR((IF($CU$62="M",BW131,IF($CU$62="PM",BY131,IF($CU$62="P",BU131,IF($CU$62="FULL",BS131,IF($CU$62="GPSM",CA135,"")))))),"")</f>
        <v/>
      </c>
      <c r="CV130" s="2" t="str">
        <f t="shared" ref="CV130:CV139" si="103">IFERROR((IF($CV$62="M",BW131,IF($CV$62="PM",BY131,IF($CV$62="P",BU131,IF($CV$62="FULL",BS131,IF($CV$62="GPSM",CA135,"")))))),"")</f>
        <v/>
      </c>
      <c r="CW130" s="2"/>
      <c r="CX130" s="2"/>
      <c r="CY130" s="2"/>
      <c r="CZ130" s="2"/>
    </row>
    <row r="131" spans="43:104" ht="15" hidden="1" customHeight="1" x14ac:dyDescent="0.2">
      <c r="AQ131" s="12">
        <v>66</v>
      </c>
      <c r="AR131" s="12">
        <v>925000</v>
      </c>
      <c r="AS131" s="12">
        <v>660000</v>
      </c>
      <c r="AT131" s="1"/>
      <c r="AU131" s="1"/>
      <c r="AV131" s="1"/>
      <c r="AW131" s="1"/>
      <c r="AX131" s="2"/>
      <c r="AY131" s="2"/>
      <c r="AZ131" s="2"/>
      <c r="BA131" s="2"/>
      <c r="BB131" s="2"/>
      <c r="BC131" s="2"/>
      <c r="BD131" s="2"/>
      <c r="BE131" s="2"/>
      <c r="BK131" s="2"/>
      <c r="BM131" s="2"/>
      <c r="BN131" s="2"/>
      <c r="BO131" s="2"/>
      <c r="BS131" s="81" t="str">
        <f>IF($J$24="Español","Tentáculos",(IF($J$24="Deutsch","Zusätzliche Arme",(IF($J$24="Français","Très longues jambes","Very Long Legs")))))</f>
        <v>Tentáculos</v>
      </c>
      <c r="BT131" s="21" t="s">
        <v>171</v>
      </c>
      <c r="BU131" s="21" t="str">
        <f t="shared" si="87"/>
        <v/>
      </c>
      <c r="BV131" s="21" t="str">
        <f t="shared" si="87"/>
        <v/>
      </c>
      <c r="BW131" s="21" t="str">
        <f t="shared" si="87"/>
        <v/>
      </c>
      <c r="BX131" s="21" t="str">
        <f t="shared" si="87"/>
        <v/>
      </c>
      <c r="BY131" s="21" t="str">
        <f t="shared" si="87"/>
        <v/>
      </c>
      <c r="BZ131" s="21" t="str">
        <f t="shared" si="87"/>
        <v/>
      </c>
      <c r="CA131" s="21" t="str">
        <f t="shared" si="85"/>
        <v/>
      </c>
      <c r="CB131" s="21" t="str">
        <f t="shared" si="85"/>
        <v/>
      </c>
      <c r="CC131" s="2"/>
      <c r="CD131" s="2"/>
      <c r="CE131" s="2"/>
      <c r="CF131" s="2"/>
      <c r="CG131" s="2" t="str">
        <f t="shared" si="88"/>
        <v/>
      </c>
      <c r="CH131" s="2" t="str">
        <f t="shared" si="89"/>
        <v/>
      </c>
      <c r="CI131" s="2" t="str">
        <f t="shared" si="90"/>
        <v/>
      </c>
      <c r="CJ131" s="2" t="str">
        <f t="shared" si="91"/>
        <v/>
      </c>
      <c r="CK131" s="2" t="str">
        <f t="shared" si="92"/>
        <v/>
      </c>
      <c r="CL131" s="2" t="str">
        <f t="shared" si="93"/>
        <v/>
      </c>
      <c r="CM131" s="2" t="str">
        <f t="shared" si="94"/>
        <v/>
      </c>
      <c r="CN131" s="2" t="str">
        <f t="shared" si="95"/>
        <v/>
      </c>
      <c r="CO131" s="2" t="str">
        <f t="shared" si="96"/>
        <v/>
      </c>
      <c r="CP131" s="2" t="str">
        <f t="shared" si="97"/>
        <v/>
      </c>
      <c r="CQ131" s="2" t="str">
        <f t="shared" si="98"/>
        <v/>
      </c>
      <c r="CR131" s="2" t="str">
        <f t="shared" si="99"/>
        <v/>
      </c>
      <c r="CS131" s="2" t="str">
        <f t="shared" si="100"/>
        <v/>
      </c>
      <c r="CT131" s="2" t="str">
        <f t="shared" si="101"/>
        <v/>
      </c>
      <c r="CU131" s="2" t="str">
        <f t="shared" si="102"/>
        <v/>
      </c>
      <c r="CV131" s="2" t="str">
        <f t="shared" si="103"/>
        <v/>
      </c>
      <c r="CW131" s="2"/>
      <c r="CX131" s="2"/>
      <c r="CY131" s="2"/>
      <c r="CZ131" s="2"/>
    </row>
    <row r="132" spans="43:104" ht="15" hidden="1" customHeight="1" x14ac:dyDescent="0.2">
      <c r="AQ132" s="13">
        <v>67</v>
      </c>
      <c r="AR132" s="12">
        <v>930000</v>
      </c>
      <c r="AS132" s="12">
        <v>670000</v>
      </c>
      <c r="AT132" s="1"/>
      <c r="AU132" s="1"/>
      <c r="AV132" s="1"/>
      <c r="AW132" s="1"/>
      <c r="AX132" s="2"/>
      <c r="AY132" s="2"/>
      <c r="AZ132" s="2"/>
      <c r="BA132" s="2"/>
      <c r="BB132" s="2"/>
      <c r="BC132" s="2"/>
      <c r="BD132" s="2"/>
      <c r="BE132" s="2"/>
      <c r="BK132" s="2"/>
      <c r="BM132" s="2"/>
      <c r="BN132" s="2"/>
      <c r="BO132" s="2"/>
      <c r="BS132" s="11" t="str">
        <f t="shared" ref="BS132:BY140" si="104">""</f>
        <v/>
      </c>
      <c r="BT132" s="2" t="str">
        <f t="shared" si="104"/>
        <v/>
      </c>
      <c r="BU132" s="4" t="str">
        <f t="shared" si="104"/>
        <v/>
      </c>
      <c r="BV132" s="4" t="str">
        <f t="shared" si="104"/>
        <v/>
      </c>
      <c r="BW132" s="4" t="str">
        <f t="shared" si="104"/>
        <v/>
      </c>
      <c r="BX132" s="4" t="str">
        <f t="shared" si="104"/>
        <v/>
      </c>
      <c r="BY132" s="69" t="str">
        <f t="shared" si="104"/>
        <v/>
      </c>
      <c r="BZ132" s="2"/>
      <c r="CA132" s="21" t="str">
        <f t="shared" si="85"/>
        <v/>
      </c>
      <c r="CB132" s="21" t="str">
        <f t="shared" si="85"/>
        <v/>
      </c>
      <c r="CC132" s="2"/>
      <c r="CD132" s="2"/>
      <c r="CE132" s="2"/>
      <c r="CF132" s="2"/>
      <c r="CG132" s="2" t="str">
        <f t="shared" si="88"/>
        <v/>
      </c>
      <c r="CH132" s="2" t="str">
        <f t="shared" si="89"/>
        <v/>
      </c>
      <c r="CI132" s="2" t="str">
        <f t="shared" si="90"/>
        <v/>
      </c>
      <c r="CJ132" s="2" t="str">
        <f t="shared" si="91"/>
        <v/>
      </c>
      <c r="CK132" s="2" t="str">
        <f t="shared" si="92"/>
        <v/>
      </c>
      <c r="CL132" s="2" t="str">
        <f t="shared" si="93"/>
        <v/>
      </c>
      <c r="CM132" s="2" t="str">
        <f t="shared" si="94"/>
        <v/>
      </c>
      <c r="CN132" s="2" t="str">
        <f t="shared" si="95"/>
        <v/>
      </c>
      <c r="CO132" s="2" t="str">
        <f t="shared" si="96"/>
        <v/>
      </c>
      <c r="CP132" s="2" t="str">
        <f t="shared" si="97"/>
        <v/>
      </c>
      <c r="CQ132" s="2" t="str">
        <f t="shared" si="98"/>
        <v/>
      </c>
      <c r="CR132" s="2" t="str">
        <f t="shared" si="99"/>
        <v/>
      </c>
      <c r="CS132" s="2" t="str">
        <f t="shared" si="100"/>
        <v/>
      </c>
      <c r="CT132" s="2" t="str">
        <f t="shared" si="101"/>
        <v/>
      </c>
      <c r="CU132" s="2" t="str">
        <f t="shared" si="102"/>
        <v/>
      </c>
      <c r="CV132" s="2" t="str">
        <f t="shared" si="103"/>
        <v/>
      </c>
      <c r="CW132" s="2"/>
      <c r="CX132" s="2"/>
      <c r="CY132" s="2"/>
      <c r="CZ132" s="2"/>
    </row>
    <row r="133" spans="43:104" ht="15" hidden="1" customHeight="1" x14ac:dyDescent="0.2">
      <c r="AQ133" s="13">
        <v>68</v>
      </c>
      <c r="AR133" s="12">
        <v>935000</v>
      </c>
      <c r="AS133" s="12">
        <v>680000</v>
      </c>
      <c r="AT133" s="1"/>
      <c r="AU133" s="1"/>
      <c r="AV133" s="1"/>
      <c r="AW133" s="1"/>
      <c r="AX133" s="2"/>
      <c r="AY133" s="2"/>
      <c r="AZ133" s="2"/>
      <c r="BA133" s="2"/>
      <c r="BB133" s="2"/>
      <c r="BC133" s="2"/>
      <c r="BD133" s="2"/>
      <c r="BE133" s="2"/>
      <c r="BK133" s="2"/>
      <c r="BM133" s="2"/>
      <c r="BN133" s="2"/>
      <c r="BO133" s="2"/>
      <c r="BS133" s="11" t="str">
        <f t="shared" si="104"/>
        <v/>
      </c>
      <c r="BT133" s="2" t="str">
        <f t="shared" si="104"/>
        <v/>
      </c>
      <c r="BU133" s="4" t="str">
        <f t="shared" si="104"/>
        <v/>
      </c>
      <c r="BV133" s="4" t="str">
        <f t="shared" si="104"/>
        <v/>
      </c>
      <c r="BW133" s="4" t="str">
        <f t="shared" si="104"/>
        <v/>
      </c>
      <c r="BX133" s="4" t="str">
        <f t="shared" si="104"/>
        <v/>
      </c>
      <c r="BY133" s="69" t="str">
        <f t="shared" si="104"/>
        <v/>
      </c>
      <c r="BZ133" s="2"/>
      <c r="CA133" s="21" t="str">
        <f t="shared" si="85"/>
        <v/>
      </c>
      <c r="CB133" s="21" t="str">
        <f t="shared" si="85"/>
        <v/>
      </c>
      <c r="CC133" s="13"/>
      <c r="CD133" s="2"/>
      <c r="CE133" s="2"/>
      <c r="CF133" s="2"/>
      <c r="CG133" s="2" t="str">
        <f t="shared" si="88"/>
        <v/>
      </c>
      <c r="CH133" s="2" t="str">
        <f t="shared" si="89"/>
        <v/>
      </c>
      <c r="CI133" s="2" t="str">
        <f t="shared" si="90"/>
        <v/>
      </c>
      <c r="CJ133" s="2" t="str">
        <f t="shared" si="91"/>
        <v/>
      </c>
      <c r="CK133" s="2" t="str">
        <f t="shared" si="92"/>
        <v/>
      </c>
      <c r="CL133" s="2" t="str">
        <f t="shared" si="93"/>
        <v/>
      </c>
      <c r="CM133" s="2" t="str">
        <f t="shared" si="94"/>
        <v/>
      </c>
      <c r="CN133" s="2" t="str">
        <f t="shared" si="95"/>
        <v/>
      </c>
      <c r="CO133" s="2" t="str">
        <f t="shared" si="96"/>
        <v/>
      </c>
      <c r="CP133" s="2" t="str">
        <f t="shared" si="97"/>
        <v/>
      </c>
      <c r="CQ133" s="2" t="str">
        <f t="shared" si="98"/>
        <v/>
      </c>
      <c r="CR133" s="2" t="str">
        <f t="shared" si="99"/>
        <v/>
      </c>
      <c r="CS133" s="2" t="str">
        <f t="shared" si="100"/>
        <v/>
      </c>
      <c r="CT133" s="2" t="str">
        <f t="shared" si="101"/>
        <v/>
      </c>
      <c r="CU133" s="2" t="str">
        <f t="shared" si="102"/>
        <v/>
      </c>
      <c r="CV133" s="2" t="str">
        <f t="shared" si="103"/>
        <v/>
      </c>
      <c r="CW133" s="2"/>
      <c r="CX133" s="2"/>
      <c r="CY133" s="2"/>
      <c r="CZ133" s="2"/>
    </row>
    <row r="134" spans="43:104" ht="15" hidden="1" customHeight="1" x14ac:dyDescent="0.2">
      <c r="AQ134" s="12">
        <v>69</v>
      </c>
      <c r="AR134" s="12">
        <v>940000</v>
      </c>
      <c r="AS134" s="12">
        <v>690000</v>
      </c>
      <c r="AT134" s="1"/>
      <c r="AU134" s="1"/>
      <c r="AV134" s="1"/>
      <c r="AW134" s="1"/>
      <c r="AX134" s="2"/>
      <c r="AY134" s="2"/>
      <c r="AZ134" s="2"/>
      <c r="BA134" s="2"/>
      <c r="BB134" s="2"/>
      <c r="BC134" s="2"/>
      <c r="BD134" s="2"/>
      <c r="BE134" s="2"/>
      <c r="BK134" s="2"/>
      <c r="BM134" s="2"/>
      <c r="BN134" s="2"/>
      <c r="BO134" s="2"/>
      <c r="BS134" s="11" t="str">
        <f t="shared" si="104"/>
        <v/>
      </c>
      <c r="BT134" s="2" t="str">
        <f t="shared" si="104"/>
        <v/>
      </c>
      <c r="BU134" s="4" t="str">
        <f t="shared" si="104"/>
        <v/>
      </c>
      <c r="BV134" s="4" t="str">
        <f t="shared" si="104"/>
        <v/>
      </c>
      <c r="BW134" s="4" t="str">
        <f t="shared" si="104"/>
        <v/>
      </c>
      <c r="BX134" s="4" t="str">
        <f t="shared" si="104"/>
        <v/>
      </c>
      <c r="BY134" s="69" t="str">
        <f t="shared" si="104"/>
        <v/>
      </c>
      <c r="BZ134" s="2"/>
      <c r="CA134" s="21" t="str">
        <f t="shared" si="85"/>
        <v/>
      </c>
      <c r="CB134" s="21" t="str">
        <f t="shared" si="85"/>
        <v/>
      </c>
      <c r="CC134" s="13"/>
      <c r="CD134" s="2"/>
      <c r="CE134" s="2"/>
      <c r="CF134" s="2"/>
      <c r="CG134" s="2" t="str">
        <f t="shared" si="88"/>
        <v/>
      </c>
      <c r="CH134" s="2" t="str">
        <f t="shared" si="89"/>
        <v/>
      </c>
      <c r="CI134" s="2" t="str">
        <f t="shared" si="90"/>
        <v/>
      </c>
      <c r="CJ134" s="2" t="str">
        <f t="shared" si="91"/>
        <v/>
      </c>
      <c r="CK134" s="2" t="str">
        <f t="shared" si="92"/>
        <v/>
      </c>
      <c r="CL134" s="2" t="str">
        <f t="shared" si="93"/>
        <v/>
      </c>
      <c r="CM134" s="2" t="str">
        <f t="shared" si="94"/>
        <v/>
      </c>
      <c r="CN134" s="2" t="str">
        <f t="shared" si="95"/>
        <v/>
      </c>
      <c r="CO134" s="2" t="str">
        <f t="shared" si="96"/>
        <v/>
      </c>
      <c r="CP134" s="2" t="str">
        <f t="shared" si="97"/>
        <v/>
      </c>
      <c r="CQ134" s="2" t="str">
        <f t="shared" si="98"/>
        <v/>
      </c>
      <c r="CR134" s="2" t="str">
        <f t="shared" si="99"/>
        <v/>
      </c>
      <c r="CS134" s="2" t="str">
        <f t="shared" si="100"/>
        <v/>
      </c>
      <c r="CT134" s="2" t="str">
        <f t="shared" si="101"/>
        <v/>
      </c>
      <c r="CU134" s="2" t="str">
        <f t="shared" si="102"/>
        <v/>
      </c>
      <c r="CV134" s="2" t="str">
        <f t="shared" si="103"/>
        <v/>
      </c>
      <c r="CW134" s="2"/>
      <c r="CX134" s="2"/>
      <c r="CY134" s="2"/>
      <c r="CZ134" s="2"/>
    </row>
    <row r="135" spans="43:104" ht="15" hidden="1" customHeight="1" x14ac:dyDescent="0.2">
      <c r="AQ135" s="13">
        <v>70</v>
      </c>
      <c r="AR135" s="12">
        <v>945000</v>
      </c>
      <c r="AS135" s="12">
        <v>700000</v>
      </c>
      <c r="AT135" s="1"/>
      <c r="AU135" s="1"/>
      <c r="AV135" s="1"/>
      <c r="AW135" s="1"/>
      <c r="AX135" s="2"/>
      <c r="AY135" s="2"/>
      <c r="AZ135" s="2"/>
      <c r="BA135" s="2"/>
      <c r="BB135" s="2"/>
      <c r="BC135" s="2"/>
      <c r="BD135" s="2"/>
      <c r="BE135" s="2"/>
      <c r="BK135" s="2"/>
      <c r="BM135" s="2"/>
      <c r="BN135" s="2"/>
      <c r="BO135" s="2"/>
      <c r="BS135" s="11" t="str">
        <f t="shared" si="104"/>
        <v/>
      </c>
      <c r="BT135" s="2" t="str">
        <f t="shared" si="104"/>
        <v/>
      </c>
      <c r="BU135" s="4" t="str">
        <f t="shared" si="104"/>
        <v/>
      </c>
      <c r="BV135" s="4" t="str">
        <f t="shared" si="104"/>
        <v/>
      </c>
      <c r="BW135" s="4" t="str">
        <f t="shared" si="104"/>
        <v/>
      </c>
      <c r="BX135" s="4" t="str">
        <f t="shared" si="104"/>
        <v/>
      </c>
      <c r="BY135" s="69" t="str">
        <f t="shared" si="104"/>
        <v/>
      </c>
      <c r="BZ135" s="2"/>
      <c r="CA135" s="21" t="str">
        <f t="shared" si="85"/>
        <v/>
      </c>
      <c r="CB135" s="21" t="str">
        <f t="shared" si="85"/>
        <v/>
      </c>
      <c r="CC135" s="13"/>
      <c r="CD135" s="2"/>
      <c r="CE135" s="2"/>
      <c r="CF135" s="2"/>
      <c r="CG135" s="2" t="str">
        <f t="shared" si="88"/>
        <v/>
      </c>
      <c r="CH135" s="2" t="str">
        <f t="shared" si="89"/>
        <v/>
      </c>
      <c r="CI135" s="2" t="str">
        <f t="shared" si="90"/>
        <v/>
      </c>
      <c r="CJ135" s="2" t="str">
        <f t="shared" si="91"/>
        <v/>
      </c>
      <c r="CK135" s="2" t="str">
        <f t="shared" si="92"/>
        <v/>
      </c>
      <c r="CL135" s="2" t="str">
        <f t="shared" si="93"/>
        <v/>
      </c>
      <c r="CM135" s="2" t="str">
        <f t="shared" si="94"/>
        <v/>
      </c>
      <c r="CN135" s="2" t="str">
        <f t="shared" si="95"/>
        <v/>
      </c>
      <c r="CO135" s="2" t="str">
        <f t="shared" si="96"/>
        <v/>
      </c>
      <c r="CP135" s="2" t="str">
        <f t="shared" si="97"/>
        <v/>
      </c>
      <c r="CQ135" s="2" t="str">
        <f t="shared" si="98"/>
        <v/>
      </c>
      <c r="CR135" s="2" t="str">
        <f t="shared" si="99"/>
        <v/>
      </c>
      <c r="CS135" s="2" t="str">
        <f t="shared" si="100"/>
        <v/>
      </c>
      <c r="CT135" s="2" t="str">
        <f t="shared" si="101"/>
        <v/>
      </c>
      <c r="CU135" s="2" t="str">
        <f t="shared" si="102"/>
        <v/>
      </c>
      <c r="CV135" s="2" t="str">
        <f t="shared" si="103"/>
        <v/>
      </c>
      <c r="CW135" s="2"/>
      <c r="CX135" s="2"/>
      <c r="CY135" s="2"/>
      <c r="CZ135" s="2"/>
    </row>
    <row r="136" spans="43:104" ht="15" hidden="1" customHeight="1" x14ac:dyDescent="0.2">
      <c r="AQ136" s="13">
        <v>71</v>
      </c>
      <c r="AR136" s="12">
        <v>950000</v>
      </c>
      <c r="AS136" s="12">
        <v>710000</v>
      </c>
      <c r="AT136" s="1"/>
      <c r="AU136" s="1"/>
      <c r="AV136" s="1"/>
      <c r="AW136" s="1"/>
      <c r="AX136" s="2"/>
      <c r="AY136" s="2"/>
      <c r="AZ136" s="2"/>
      <c r="BA136" s="2"/>
      <c r="BB136" s="2"/>
      <c r="BC136" s="2"/>
      <c r="BD136" s="2"/>
      <c r="BE136" s="2"/>
      <c r="BK136" s="2"/>
      <c r="BM136" s="2"/>
      <c r="BN136" s="2"/>
      <c r="BO136" s="2"/>
      <c r="BS136" s="11" t="str">
        <f t="shared" si="104"/>
        <v/>
      </c>
      <c r="BT136" s="2" t="str">
        <f t="shared" si="104"/>
        <v/>
      </c>
      <c r="BU136" s="4" t="str">
        <f t="shared" si="104"/>
        <v/>
      </c>
      <c r="BV136" s="4" t="str">
        <f t="shared" si="104"/>
        <v/>
      </c>
      <c r="BW136" s="4" t="str">
        <f t="shared" si="104"/>
        <v/>
      </c>
      <c r="BX136" s="4" t="str">
        <f t="shared" si="104"/>
        <v/>
      </c>
      <c r="BY136" s="69" t="str">
        <f t="shared" si="104"/>
        <v/>
      </c>
      <c r="BZ136" s="2"/>
      <c r="CA136" s="21" t="str">
        <f t="shared" si="85"/>
        <v/>
      </c>
      <c r="CB136" s="21" t="str">
        <f t="shared" si="85"/>
        <v/>
      </c>
      <c r="CC136" s="13"/>
      <c r="CD136" s="2"/>
      <c r="CE136" s="2"/>
      <c r="CF136" s="2"/>
      <c r="CG136" s="2" t="str">
        <f t="shared" si="88"/>
        <v/>
      </c>
      <c r="CH136" s="2" t="str">
        <f t="shared" si="89"/>
        <v/>
      </c>
      <c r="CI136" s="2" t="str">
        <f t="shared" si="90"/>
        <v/>
      </c>
      <c r="CJ136" s="2" t="str">
        <f t="shared" si="91"/>
        <v/>
      </c>
      <c r="CK136" s="2" t="str">
        <f t="shared" si="92"/>
        <v/>
      </c>
      <c r="CL136" s="2" t="str">
        <f t="shared" si="93"/>
        <v/>
      </c>
      <c r="CM136" s="2" t="str">
        <f t="shared" si="94"/>
        <v/>
      </c>
      <c r="CN136" s="2" t="str">
        <f t="shared" si="95"/>
        <v/>
      </c>
      <c r="CO136" s="2" t="str">
        <f t="shared" si="96"/>
        <v/>
      </c>
      <c r="CP136" s="2" t="str">
        <f t="shared" si="97"/>
        <v/>
      </c>
      <c r="CQ136" s="2" t="str">
        <f t="shared" si="98"/>
        <v/>
      </c>
      <c r="CR136" s="2" t="str">
        <f t="shared" si="99"/>
        <v/>
      </c>
      <c r="CS136" s="2" t="str">
        <f t="shared" si="100"/>
        <v/>
      </c>
      <c r="CT136" s="2" t="str">
        <f t="shared" si="101"/>
        <v/>
      </c>
      <c r="CU136" s="2" t="str">
        <f t="shared" si="102"/>
        <v/>
      </c>
      <c r="CV136" s="2" t="str">
        <f t="shared" si="103"/>
        <v/>
      </c>
      <c r="CW136" s="2"/>
      <c r="CX136" s="2"/>
      <c r="CY136" s="2"/>
      <c r="CZ136" s="2"/>
    </row>
    <row r="137" spans="43:104" ht="15" hidden="1" customHeight="1" x14ac:dyDescent="0.2">
      <c r="AQ137" s="12">
        <v>72</v>
      </c>
      <c r="AR137" s="12">
        <v>955000</v>
      </c>
      <c r="AS137" s="12">
        <v>720000</v>
      </c>
      <c r="AT137" s="1"/>
      <c r="AU137" s="1"/>
      <c r="AV137" s="1"/>
      <c r="AW137" s="1"/>
      <c r="AX137" s="2"/>
      <c r="AY137" s="2"/>
      <c r="AZ137" s="2"/>
      <c r="BA137" s="2"/>
      <c r="BB137" s="2"/>
      <c r="BC137" s="2"/>
      <c r="BD137" s="2"/>
      <c r="BE137" s="2"/>
      <c r="BK137" s="2"/>
      <c r="BM137" s="2"/>
      <c r="BN137" s="2"/>
      <c r="BO137" s="2"/>
      <c r="BS137" s="11" t="str">
        <f t="shared" si="104"/>
        <v/>
      </c>
      <c r="BT137" s="2" t="str">
        <f t="shared" si="104"/>
        <v/>
      </c>
      <c r="BU137" s="4" t="str">
        <f t="shared" si="104"/>
        <v/>
      </c>
      <c r="BV137" s="4" t="str">
        <f t="shared" si="104"/>
        <v/>
      </c>
      <c r="BW137" s="4" t="str">
        <f t="shared" si="104"/>
        <v/>
      </c>
      <c r="BX137" s="4" t="str">
        <f t="shared" si="104"/>
        <v/>
      </c>
      <c r="BY137" s="69" t="str">
        <f t="shared" si="104"/>
        <v/>
      </c>
      <c r="BZ137" s="2"/>
      <c r="CA137" s="21" t="str">
        <f t="shared" si="85"/>
        <v/>
      </c>
      <c r="CB137" s="21" t="str">
        <f t="shared" si="85"/>
        <v/>
      </c>
      <c r="CC137" s="13"/>
      <c r="CD137" s="2"/>
      <c r="CE137" s="2"/>
      <c r="CF137" s="2"/>
      <c r="CG137" s="2" t="str">
        <f t="shared" si="88"/>
        <v/>
      </c>
      <c r="CH137" s="2" t="str">
        <f t="shared" si="89"/>
        <v/>
      </c>
      <c r="CI137" s="2" t="str">
        <f t="shared" si="90"/>
        <v/>
      </c>
      <c r="CJ137" s="2" t="str">
        <f t="shared" si="91"/>
        <v/>
      </c>
      <c r="CK137" s="2" t="str">
        <f t="shared" si="92"/>
        <v/>
      </c>
      <c r="CL137" s="2" t="str">
        <f t="shared" si="93"/>
        <v/>
      </c>
      <c r="CM137" s="2" t="str">
        <f t="shared" si="94"/>
        <v/>
      </c>
      <c r="CN137" s="2" t="str">
        <f t="shared" si="95"/>
        <v/>
      </c>
      <c r="CO137" s="2" t="str">
        <f t="shared" si="96"/>
        <v/>
      </c>
      <c r="CP137" s="2" t="str">
        <f t="shared" si="97"/>
        <v/>
      </c>
      <c r="CQ137" s="2" t="str">
        <f t="shared" si="98"/>
        <v/>
      </c>
      <c r="CR137" s="2" t="str">
        <f t="shared" si="99"/>
        <v/>
      </c>
      <c r="CS137" s="2" t="str">
        <f t="shared" si="100"/>
        <v/>
      </c>
      <c r="CT137" s="2" t="str">
        <f t="shared" si="101"/>
        <v/>
      </c>
      <c r="CU137" s="2" t="str">
        <f t="shared" si="102"/>
        <v/>
      </c>
      <c r="CV137" s="2" t="str">
        <f t="shared" si="103"/>
        <v/>
      </c>
      <c r="CW137" s="2"/>
      <c r="CX137" s="2"/>
      <c r="CY137" s="2"/>
      <c r="CZ137" s="2"/>
    </row>
    <row r="138" spans="43:104" ht="15" hidden="1" customHeight="1" x14ac:dyDescent="0.2">
      <c r="AQ138" s="13">
        <v>73</v>
      </c>
      <c r="AR138" s="12">
        <v>960000</v>
      </c>
      <c r="AS138" s="12">
        <v>730000</v>
      </c>
      <c r="AT138" s="1"/>
      <c r="AU138" s="1"/>
      <c r="AV138" s="1"/>
      <c r="AW138" s="1"/>
      <c r="AX138" s="2"/>
      <c r="AY138" s="2"/>
      <c r="AZ138" s="2"/>
      <c r="BA138" s="2"/>
      <c r="BB138" s="2"/>
      <c r="BC138" s="2"/>
      <c r="BD138" s="2"/>
      <c r="BE138" s="2"/>
      <c r="BK138" s="2"/>
      <c r="BM138" s="2"/>
      <c r="BN138" s="2"/>
      <c r="BO138" s="2"/>
      <c r="BS138" s="11" t="str">
        <f t="shared" si="104"/>
        <v/>
      </c>
      <c r="BT138" s="2" t="str">
        <f t="shared" si="104"/>
        <v/>
      </c>
      <c r="BU138" s="4" t="str">
        <f t="shared" si="104"/>
        <v/>
      </c>
      <c r="BV138" s="4" t="str">
        <f t="shared" si="104"/>
        <v/>
      </c>
      <c r="BW138" s="4" t="str">
        <f t="shared" si="104"/>
        <v/>
      </c>
      <c r="BX138" s="4" t="str">
        <f t="shared" si="104"/>
        <v/>
      </c>
      <c r="BY138" s="69" t="str">
        <f t="shared" si="104"/>
        <v/>
      </c>
      <c r="BZ138" s="2"/>
      <c r="CA138" s="21" t="str">
        <f t="shared" si="85"/>
        <v/>
      </c>
      <c r="CB138" s="21" t="str">
        <f t="shared" si="85"/>
        <v/>
      </c>
      <c r="CC138" s="13"/>
      <c r="CD138" s="2"/>
      <c r="CE138" s="2"/>
      <c r="CF138" s="2"/>
      <c r="CG138" s="2" t="str">
        <f t="shared" si="88"/>
        <v/>
      </c>
      <c r="CH138" s="2" t="str">
        <f t="shared" si="89"/>
        <v/>
      </c>
      <c r="CI138" s="2" t="str">
        <f t="shared" si="90"/>
        <v/>
      </c>
      <c r="CJ138" s="2" t="str">
        <f t="shared" si="91"/>
        <v/>
      </c>
      <c r="CK138" s="2" t="str">
        <f t="shared" si="92"/>
        <v/>
      </c>
      <c r="CL138" s="2" t="str">
        <f t="shared" si="93"/>
        <v/>
      </c>
      <c r="CM138" s="2" t="str">
        <f t="shared" si="94"/>
        <v/>
      </c>
      <c r="CN138" s="2" t="str">
        <f t="shared" si="95"/>
        <v/>
      </c>
      <c r="CO138" s="2" t="str">
        <f t="shared" si="96"/>
        <v/>
      </c>
      <c r="CP138" s="2" t="str">
        <f t="shared" si="97"/>
        <v/>
      </c>
      <c r="CQ138" s="2" t="str">
        <f t="shared" si="98"/>
        <v/>
      </c>
      <c r="CR138" s="2" t="str">
        <f t="shared" si="99"/>
        <v/>
      </c>
      <c r="CS138" s="2" t="str">
        <f t="shared" si="100"/>
        <v/>
      </c>
      <c r="CT138" s="2" t="str">
        <f t="shared" si="101"/>
        <v/>
      </c>
      <c r="CU138" s="2" t="str">
        <f t="shared" si="102"/>
        <v/>
      </c>
      <c r="CV138" s="2" t="str">
        <f t="shared" si="103"/>
        <v/>
      </c>
      <c r="CW138" s="2"/>
      <c r="CX138" s="2"/>
      <c r="CY138" s="2"/>
      <c r="CZ138" s="2"/>
    </row>
    <row r="139" spans="43:104" ht="15" hidden="1" customHeight="1" x14ac:dyDescent="0.2">
      <c r="AQ139" s="13">
        <v>74</v>
      </c>
      <c r="AR139" s="12">
        <v>965000</v>
      </c>
      <c r="AS139" s="12">
        <v>740000</v>
      </c>
      <c r="AT139" s="1"/>
      <c r="AU139" s="1"/>
      <c r="AV139" s="1"/>
      <c r="AW139" s="1"/>
      <c r="AX139" s="2"/>
      <c r="AY139" s="2"/>
      <c r="AZ139" s="2"/>
      <c r="BA139" s="2"/>
      <c r="BB139" s="2"/>
      <c r="BC139" s="2"/>
      <c r="BD139" s="2"/>
      <c r="BE139" s="2"/>
      <c r="BK139" s="2"/>
      <c r="BL139" s="2"/>
      <c r="BM139" s="2"/>
      <c r="BN139" s="2"/>
      <c r="BO139" s="2"/>
      <c r="BS139" s="11" t="str">
        <f t="shared" si="104"/>
        <v/>
      </c>
      <c r="BT139" s="2" t="str">
        <f t="shared" si="104"/>
        <v/>
      </c>
      <c r="BU139" s="4" t="str">
        <f t="shared" si="104"/>
        <v/>
      </c>
      <c r="BV139" s="4" t="str">
        <f t="shared" si="104"/>
        <v/>
      </c>
      <c r="BW139" s="4" t="str">
        <f t="shared" si="104"/>
        <v/>
      </c>
      <c r="BX139" s="4" t="str">
        <f t="shared" si="104"/>
        <v/>
      </c>
      <c r="BY139" s="69" t="str">
        <f t="shared" si="104"/>
        <v/>
      </c>
      <c r="BZ139" s="2"/>
      <c r="CA139" s="21" t="str">
        <f t="shared" si="85"/>
        <v/>
      </c>
      <c r="CB139" s="21" t="str">
        <f t="shared" si="85"/>
        <v/>
      </c>
      <c r="CC139" s="2"/>
      <c r="CD139" s="2"/>
      <c r="CE139" s="1"/>
      <c r="CF139" s="2"/>
      <c r="CG139" s="2" t="str">
        <f t="shared" si="88"/>
        <v/>
      </c>
      <c r="CH139" s="2" t="str">
        <f t="shared" si="89"/>
        <v/>
      </c>
      <c r="CI139" s="2" t="str">
        <f t="shared" si="90"/>
        <v/>
      </c>
      <c r="CJ139" s="2" t="str">
        <f t="shared" si="91"/>
        <v/>
      </c>
      <c r="CK139" s="2" t="str">
        <f t="shared" si="92"/>
        <v/>
      </c>
      <c r="CL139" s="2" t="str">
        <f t="shared" si="93"/>
        <v/>
      </c>
      <c r="CM139" s="2" t="str">
        <f t="shared" si="94"/>
        <v/>
      </c>
      <c r="CN139" s="2" t="str">
        <f t="shared" si="95"/>
        <v/>
      </c>
      <c r="CO139" s="2" t="str">
        <f t="shared" si="96"/>
        <v/>
      </c>
      <c r="CP139" s="2" t="str">
        <f t="shared" si="97"/>
        <v/>
      </c>
      <c r="CQ139" s="2" t="str">
        <f t="shared" si="98"/>
        <v/>
      </c>
      <c r="CR139" s="2" t="str">
        <f t="shared" si="99"/>
        <v/>
      </c>
      <c r="CS139" s="2" t="str">
        <f t="shared" si="100"/>
        <v/>
      </c>
      <c r="CT139" s="2" t="str">
        <f t="shared" si="101"/>
        <v/>
      </c>
      <c r="CU139" s="2" t="str">
        <f t="shared" si="102"/>
        <v/>
      </c>
      <c r="CV139" s="2" t="str">
        <f t="shared" si="103"/>
        <v/>
      </c>
      <c r="CW139" s="2"/>
      <c r="CX139" s="2"/>
      <c r="CY139" s="2"/>
      <c r="CZ139" s="2"/>
    </row>
    <row r="140" spans="43:104" ht="15" hidden="1" customHeight="1" x14ac:dyDescent="0.2">
      <c r="AQ140" s="12">
        <v>75</v>
      </c>
      <c r="AR140" s="12">
        <v>970000</v>
      </c>
      <c r="AS140" s="12">
        <v>750000</v>
      </c>
      <c r="AT140" s="1"/>
      <c r="AU140" s="1"/>
      <c r="AV140" s="1"/>
      <c r="AW140" s="1"/>
      <c r="AX140" s="2"/>
      <c r="AY140" s="2"/>
      <c r="AZ140" s="2"/>
      <c r="BA140" s="2"/>
      <c r="BB140" s="2"/>
      <c r="BC140" s="2"/>
      <c r="BD140" s="2"/>
      <c r="BE140" s="2"/>
      <c r="BK140" s="79"/>
      <c r="BL140" s="2"/>
      <c r="BM140" s="2"/>
      <c r="BN140" s="2"/>
      <c r="BO140" s="2"/>
      <c r="BS140" s="11" t="str">
        <f t="shared" si="104"/>
        <v/>
      </c>
      <c r="BT140" s="2" t="str">
        <f t="shared" si="104"/>
        <v/>
      </c>
      <c r="BU140" s="4" t="str">
        <f t="shared" si="104"/>
        <v/>
      </c>
      <c r="BV140" s="4" t="str">
        <f t="shared" si="104"/>
        <v/>
      </c>
      <c r="BW140" s="4" t="str">
        <f t="shared" si="104"/>
        <v/>
      </c>
      <c r="BX140" s="4" t="str">
        <f t="shared" si="104"/>
        <v/>
      </c>
      <c r="BY140" s="69" t="str">
        <f t="shared" si="104"/>
        <v/>
      </c>
      <c r="BZ140" s="2"/>
      <c r="CA140" s="21" t="str">
        <f t="shared" si="85"/>
        <v/>
      </c>
      <c r="CB140" s="21" t="str">
        <f t="shared" si="85"/>
        <v/>
      </c>
      <c r="CC140" s="13"/>
      <c r="CD140" s="2"/>
      <c r="CE140" s="1"/>
      <c r="CF140" s="2"/>
      <c r="CG140" s="2" t="s">
        <v>1039</v>
      </c>
      <c r="CH140" s="2" t="s">
        <v>1039</v>
      </c>
      <c r="CI140" s="2" t="s">
        <v>1039</v>
      </c>
      <c r="CJ140" s="2" t="s">
        <v>1039</v>
      </c>
      <c r="CK140" s="2" t="s">
        <v>1039</v>
      </c>
      <c r="CL140" s="2" t="s">
        <v>1039</v>
      </c>
      <c r="CM140" s="2" t="s">
        <v>1039</v>
      </c>
      <c r="CN140" s="2" t="s">
        <v>1039</v>
      </c>
      <c r="CO140" s="2" t="s">
        <v>1039</v>
      </c>
      <c r="CP140" s="2" t="s">
        <v>1039</v>
      </c>
      <c r="CQ140" s="2" t="s">
        <v>1039</v>
      </c>
      <c r="CR140" s="2" t="s">
        <v>1039</v>
      </c>
      <c r="CS140" s="2" t="s">
        <v>1039</v>
      </c>
      <c r="CT140" s="2" t="s">
        <v>1039</v>
      </c>
      <c r="CU140" s="2" t="s">
        <v>1039</v>
      </c>
      <c r="CV140" s="2" t="s">
        <v>1039</v>
      </c>
      <c r="CW140" s="2"/>
      <c r="CX140" s="2"/>
      <c r="CY140" s="2"/>
      <c r="CZ140" s="2"/>
    </row>
    <row r="141" spans="43:104" ht="15" hidden="1" customHeight="1" x14ac:dyDescent="0.2">
      <c r="AQ141" s="13">
        <v>76</v>
      </c>
      <c r="AR141" s="12">
        <v>975000</v>
      </c>
      <c r="AS141" s="12">
        <v>760000</v>
      </c>
      <c r="AT141" s="1"/>
      <c r="AU141" s="1"/>
      <c r="AV141" s="1"/>
      <c r="AW141" s="1"/>
      <c r="AX141" s="2"/>
      <c r="AY141" s="2"/>
      <c r="AZ141" s="2"/>
      <c r="BA141" s="2"/>
      <c r="BB141" s="2"/>
      <c r="BC141" s="2"/>
      <c r="BD141" s="2"/>
      <c r="BE141" s="2"/>
      <c r="BK141" s="79"/>
      <c r="BL141" s="2"/>
      <c r="BM141" s="2"/>
      <c r="BN141" s="2"/>
      <c r="BO141" s="2"/>
      <c r="BS141" s="11" t="s">
        <v>1039</v>
      </c>
      <c r="BT141" s="2" t="s">
        <v>1039</v>
      </c>
      <c r="BU141" s="3" t="s">
        <v>1039</v>
      </c>
      <c r="BV141" s="3" t="s">
        <v>1039</v>
      </c>
      <c r="BW141" s="2" t="s">
        <v>1039</v>
      </c>
      <c r="BX141" s="2" t="s">
        <v>1039</v>
      </c>
      <c r="BY141" s="2" t="s">
        <v>1039</v>
      </c>
      <c r="BZ141" s="2"/>
      <c r="CA141" s="21" t="str">
        <f t="shared" si="85"/>
        <v/>
      </c>
      <c r="CB141" s="21" t="str">
        <f t="shared" si="85"/>
        <v/>
      </c>
      <c r="CC141" s="13"/>
      <c r="CD141" s="2"/>
      <c r="CE141" s="1"/>
      <c r="CF141" s="2"/>
      <c r="CG141" s="2"/>
      <c r="CH141" s="2"/>
      <c r="CI141" s="2"/>
      <c r="CJ141" s="2"/>
      <c r="CK141" s="2"/>
      <c r="CL141" s="2"/>
      <c r="CM141" s="2"/>
      <c r="CN141" s="2"/>
      <c r="CO141" s="2"/>
      <c r="CP141" s="2"/>
      <c r="CQ141" s="2"/>
      <c r="CR141" s="2"/>
      <c r="CS141" s="2"/>
      <c r="CT141" s="2"/>
      <c r="CU141" s="2"/>
      <c r="CV141" s="2"/>
      <c r="CW141" s="2"/>
      <c r="CX141" s="2"/>
      <c r="CY141" s="2"/>
      <c r="CZ141" s="2"/>
    </row>
    <row r="142" spans="43:104" ht="15" hidden="1" customHeight="1" x14ac:dyDescent="0.2">
      <c r="AQ142" s="13">
        <v>77</v>
      </c>
      <c r="AR142" s="12">
        <v>980000</v>
      </c>
      <c r="AS142" s="12">
        <v>770000</v>
      </c>
      <c r="AT142" s="1"/>
      <c r="AU142" s="1"/>
      <c r="AV142" s="1"/>
      <c r="AW142" s="1"/>
      <c r="AX142" s="2"/>
      <c r="AY142" s="2"/>
      <c r="AZ142" s="2"/>
      <c r="BA142" s="2"/>
      <c r="BB142" s="2"/>
      <c r="BC142" s="2"/>
      <c r="BD142" s="2"/>
      <c r="BE142" s="2"/>
      <c r="BK142" s="79"/>
      <c r="BL142" s="2"/>
      <c r="BM142" s="2"/>
      <c r="BN142" s="2"/>
      <c r="BO142" s="2"/>
      <c r="BS142" s="11"/>
      <c r="BT142" s="2"/>
      <c r="BU142" s="3"/>
      <c r="BV142" s="3"/>
      <c r="BW142" s="2"/>
      <c r="BX142" s="2"/>
      <c r="BY142" s="2"/>
      <c r="BZ142" s="2"/>
      <c r="CA142" s="21" t="str">
        <f t="shared" si="85"/>
        <v/>
      </c>
      <c r="CB142" s="21" t="str">
        <f t="shared" si="85"/>
        <v/>
      </c>
      <c r="CC142" s="2"/>
      <c r="CD142" s="2"/>
      <c r="CE142" s="1"/>
      <c r="CF142" s="2"/>
      <c r="CG142" s="2"/>
      <c r="CH142" s="2"/>
      <c r="CI142" s="2"/>
      <c r="CJ142" s="2"/>
      <c r="CK142" s="2"/>
      <c r="CL142" s="2"/>
      <c r="CM142" s="2"/>
      <c r="CN142" s="2"/>
      <c r="CO142" s="2"/>
      <c r="CP142" s="2"/>
      <c r="CQ142" s="2"/>
      <c r="CR142" s="2"/>
      <c r="CS142" s="2"/>
      <c r="CT142" s="2"/>
      <c r="CU142" s="2"/>
      <c r="CV142" s="2"/>
      <c r="CW142" s="2"/>
      <c r="CX142" s="2"/>
      <c r="CY142" s="2"/>
      <c r="CZ142" s="2"/>
    </row>
    <row r="143" spans="43:104" ht="15" hidden="1" customHeight="1" x14ac:dyDescent="0.2">
      <c r="AQ143" s="12">
        <v>78</v>
      </c>
      <c r="AR143" s="12">
        <v>985000</v>
      </c>
      <c r="AS143" s="12">
        <v>780000</v>
      </c>
      <c r="AT143" s="1"/>
      <c r="AU143" s="1"/>
      <c r="AV143" s="1"/>
      <c r="AW143" s="1"/>
      <c r="AX143" s="2"/>
      <c r="AY143" s="2"/>
      <c r="AZ143" s="2"/>
      <c r="BA143" s="2"/>
      <c r="BB143" s="2"/>
      <c r="BC143" s="2"/>
      <c r="BD143" s="2"/>
      <c r="BE143" s="2"/>
      <c r="BK143" s="79"/>
      <c r="BL143" s="2"/>
      <c r="BM143" s="2"/>
      <c r="BN143" s="2"/>
      <c r="BO143" s="2"/>
      <c r="BS143" s="11"/>
      <c r="BT143" s="2"/>
      <c r="BU143" s="3"/>
      <c r="BV143" s="3"/>
      <c r="BW143" s="2"/>
      <c r="BX143" s="2"/>
      <c r="BY143" s="2"/>
      <c r="BZ143" s="2"/>
      <c r="CA143" s="21" t="str">
        <f t="shared" si="85"/>
        <v/>
      </c>
      <c r="CB143" s="21" t="str">
        <f t="shared" si="85"/>
        <v/>
      </c>
      <c r="CC143" s="2"/>
      <c r="CD143" s="2"/>
      <c r="CE143" s="1"/>
      <c r="CF143" s="2"/>
      <c r="CG143" s="2"/>
      <c r="CH143" s="2"/>
      <c r="CI143" s="2"/>
      <c r="CJ143" s="2"/>
      <c r="CK143" s="2"/>
      <c r="CL143" s="2"/>
      <c r="CM143" s="2"/>
      <c r="CN143" s="2"/>
      <c r="CO143" s="2"/>
      <c r="CP143" s="2"/>
      <c r="CQ143" s="2"/>
      <c r="CR143" s="2"/>
      <c r="CS143" s="2"/>
      <c r="CT143" s="2"/>
      <c r="CU143" s="2"/>
      <c r="CV143" s="2"/>
      <c r="CW143" s="2"/>
      <c r="CX143" s="2"/>
      <c r="CY143" s="2"/>
      <c r="CZ143" s="2"/>
    </row>
    <row r="144" spans="43:104" ht="15" hidden="1" customHeight="1" x14ac:dyDescent="0.2">
      <c r="AQ144" s="13">
        <v>79</v>
      </c>
      <c r="AR144" s="12">
        <v>990000</v>
      </c>
      <c r="AS144" s="12">
        <v>790000</v>
      </c>
      <c r="AT144" s="1"/>
      <c r="AU144" s="1"/>
      <c r="AV144" s="1"/>
      <c r="AW144" s="1"/>
      <c r="AX144" s="2"/>
      <c r="AY144" s="2"/>
      <c r="AZ144" s="2"/>
      <c r="BA144" s="2"/>
      <c r="BB144" s="2"/>
      <c r="BC144" s="2"/>
      <c r="BD144" s="2"/>
      <c r="BE144" s="2"/>
      <c r="BK144" s="84"/>
      <c r="BL144" s="2"/>
      <c r="BM144" s="2"/>
      <c r="BN144" s="2"/>
      <c r="BO144" s="2"/>
      <c r="BS144" s="11"/>
      <c r="BT144" s="2"/>
      <c r="BU144" s="3"/>
      <c r="BV144" s="3"/>
      <c r="BW144" s="2"/>
      <c r="BX144" s="2"/>
      <c r="BY144" s="2"/>
      <c r="BZ144" s="2"/>
      <c r="CA144" s="21" t="str">
        <f t="shared" si="85"/>
        <v/>
      </c>
      <c r="CB144" s="21" t="str">
        <f t="shared" si="85"/>
        <v/>
      </c>
      <c r="CC144" s="2"/>
      <c r="CD144" s="2"/>
      <c r="CE144" s="1"/>
      <c r="CF144" s="2"/>
      <c r="CG144" s="2"/>
      <c r="CH144" s="2"/>
      <c r="CI144" s="2"/>
      <c r="CJ144" s="2"/>
      <c r="CK144" s="2"/>
      <c r="CL144" s="2"/>
      <c r="CM144" s="2"/>
      <c r="CN144" s="2"/>
      <c r="CO144" s="2"/>
      <c r="CP144" s="2"/>
      <c r="CQ144" s="2"/>
      <c r="CR144" s="2"/>
      <c r="CS144" s="2"/>
      <c r="CT144" s="2"/>
      <c r="CU144" s="2"/>
      <c r="CV144" s="2"/>
      <c r="CW144" s="2"/>
      <c r="CX144" s="2"/>
      <c r="CY144" s="2"/>
      <c r="CZ144" s="2"/>
    </row>
    <row r="145" spans="43:104" ht="15" hidden="1" customHeight="1" x14ac:dyDescent="0.2">
      <c r="AQ145" s="13">
        <v>80</v>
      </c>
      <c r="AR145" s="12">
        <v>995000</v>
      </c>
      <c r="AS145" s="12">
        <v>800000</v>
      </c>
      <c r="AT145" s="1"/>
      <c r="AU145" s="1"/>
      <c r="AV145" s="1"/>
      <c r="AW145" s="1"/>
      <c r="AX145" s="2"/>
      <c r="AY145" s="2"/>
      <c r="AZ145" s="2"/>
      <c r="BA145" s="2"/>
      <c r="BB145" s="2"/>
      <c r="BC145" s="2"/>
      <c r="BD145" s="2"/>
      <c r="BE145" s="2"/>
      <c r="BK145" s="84"/>
      <c r="BL145" s="2"/>
      <c r="BM145" s="2"/>
      <c r="BN145" s="2"/>
      <c r="BO145" s="2"/>
      <c r="BS145" s="11"/>
      <c r="BT145" s="2"/>
      <c r="BU145" s="3"/>
      <c r="BV145" s="3"/>
      <c r="BW145" s="2"/>
      <c r="BX145" s="2"/>
      <c r="BY145" s="2"/>
      <c r="BZ145" s="2"/>
      <c r="CA145" s="2" t="s">
        <v>1039</v>
      </c>
      <c r="CB145" s="2" t="s">
        <v>1039</v>
      </c>
      <c r="CC145" s="13"/>
      <c r="CD145" s="2"/>
      <c r="CE145" s="1"/>
      <c r="CF145" s="2"/>
      <c r="CG145" s="2"/>
      <c r="CH145" s="2"/>
      <c r="CI145" s="2"/>
      <c r="CJ145" s="2"/>
      <c r="CK145" s="2"/>
      <c r="CL145" s="2"/>
      <c r="CM145" s="2"/>
      <c r="CN145" s="2"/>
      <c r="CO145" s="2"/>
      <c r="CP145" s="2"/>
      <c r="CQ145" s="2"/>
      <c r="CR145" s="2"/>
      <c r="CS145" s="2"/>
      <c r="CT145" s="2"/>
      <c r="CU145" s="2"/>
      <c r="CV145" s="2"/>
      <c r="CW145" s="2"/>
      <c r="CX145" s="2"/>
      <c r="CY145" s="2"/>
      <c r="CZ145" s="2"/>
    </row>
    <row r="146" spans="43:104" ht="15" hidden="1" customHeight="1" x14ac:dyDescent="0.2">
      <c r="AQ146" s="12">
        <v>81</v>
      </c>
      <c r="AR146" s="12">
        <v>1000000</v>
      </c>
      <c r="AS146" s="12">
        <v>810000</v>
      </c>
      <c r="AT146" s="1"/>
      <c r="AU146" s="1"/>
      <c r="AV146" s="1"/>
      <c r="AW146" s="1"/>
      <c r="AX146" s="2"/>
      <c r="AY146" s="2"/>
      <c r="AZ146" s="2"/>
      <c r="BA146" s="2"/>
      <c r="BB146" s="2"/>
      <c r="BC146" s="2"/>
      <c r="BD146" s="2"/>
      <c r="BE146" s="2"/>
      <c r="BK146" s="84"/>
      <c r="BL146" s="2"/>
      <c r="BM146" s="2"/>
      <c r="BN146" s="2"/>
      <c r="BO146" s="2"/>
      <c r="BS146" s="11"/>
      <c r="BT146" s="2"/>
      <c r="BU146" s="3"/>
      <c r="BV146" s="3"/>
      <c r="BW146" s="2"/>
      <c r="BX146" s="2"/>
      <c r="BY146" s="2"/>
      <c r="BZ146" s="2"/>
      <c r="CA146" s="21"/>
      <c r="CB146" s="1"/>
      <c r="CC146" s="13"/>
      <c r="CD146" s="2"/>
      <c r="CE146" s="1"/>
      <c r="CF146" s="2"/>
      <c r="CG146" s="2"/>
      <c r="CH146" s="1"/>
      <c r="CI146" s="2"/>
      <c r="CJ146" s="2"/>
      <c r="CK146" s="2"/>
      <c r="CL146" s="2"/>
      <c r="CM146" s="2"/>
      <c r="CN146" s="2"/>
      <c r="CO146" s="2"/>
      <c r="CP146" s="2"/>
      <c r="CQ146" s="2"/>
      <c r="CR146" s="2"/>
      <c r="CS146" s="2"/>
      <c r="CT146" s="2"/>
      <c r="CU146" s="2"/>
      <c r="CV146" s="2"/>
      <c r="CW146" s="2"/>
      <c r="CX146" s="2"/>
      <c r="CY146" s="2"/>
      <c r="CZ146" s="2"/>
    </row>
    <row r="147" spans="43:104" ht="15" hidden="1" customHeight="1" x14ac:dyDescent="0.2">
      <c r="AQ147" s="13">
        <v>82</v>
      </c>
      <c r="AR147" s="12">
        <v>1005000</v>
      </c>
      <c r="AS147" s="12">
        <v>820000</v>
      </c>
      <c r="AT147" s="1"/>
      <c r="AU147" s="1"/>
      <c r="AV147" s="1"/>
      <c r="AW147" s="1"/>
      <c r="AX147" s="2"/>
      <c r="AY147" s="2"/>
      <c r="AZ147" s="2"/>
      <c r="BA147" s="2"/>
      <c r="BB147" s="2"/>
      <c r="BC147" s="2"/>
      <c r="BD147" s="2"/>
      <c r="BE147" s="2"/>
      <c r="BK147" s="84"/>
      <c r="BL147" s="2"/>
      <c r="BM147" s="2"/>
      <c r="BN147" s="2"/>
      <c r="BO147" s="2"/>
      <c r="BS147" s="11"/>
      <c r="BT147" s="2"/>
      <c r="BU147" s="3"/>
      <c r="BV147" s="3"/>
      <c r="BW147" s="2"/>
      <c r="BX147" s="2"/>
      <c r="BY147" s="2"/>
      <c r="BZ147" s="2"/>
      <c r="CA147" s="21"/>
      <c r="CB147" s="1"/>
      <c r="CC147" s="13"/>
      <c r="CD147" s="2"/>
      <c r="CE147" s="1"/>
      <c r="CF147" s="2"/>
      <c r="CG147" s="2"/>
      <c r="CH147" s="1"/>
      <c r="CI147" s="2"/>
      <c r="CJ147" s="2"/>
      <c r="CK147" s="2"/>
      <c r="CL147" s="2"/>
      <c r="CM147" s="2"/>
      <c r="CN147" s="2"/>
      <c r="CO147" s="2"/>
      <c r="CP147" s="2"/>
      <c r="CQ147" s="2"/>
      <c r="CR147" s="2"/>
      <c r="CS147" s="2"/>
      <c r="CT147" s="2"/>
      <c r="CU147" s="2"/>
      <c r="CV147" s="2"/>
      <c r="CW147" s="2"/>
      <c r="CX147" s="2"/>
      <c r="CY147" s="2"/>
      <c r="CZ147" s="2"/>
    </row>
    <row r="148" spans="43:104" ht="15" hidden="1" customHeight="1" x14ac:dyDescent="0.2">
      <c r="AQ148" s="13">
        <v>83</v>
      </c>
      <c r="AR148" s="12">
        <v>1010000</v>
      </c>
      <c r="AS148" s="12">
        <v>830000</v>
      </c>
      <c r="AT148" s="1"/>
      <c r="AU148" s="1"/>
      <c r="AV148" s="1"/>
      <c r="AW148" s="1"/>
      <c r="AX148" s="2"/>
      <c r="AY148" s="2"/>
      <c r="AZ148" s="2"/>
      <c r="BA148" s="2"/>
      <c r="BB148" s="2"/>
      <c r="BC148" s="2"/>
      <c r="BD148" s="2"/>
      <c r="BE148" s="2"/>
      <c r="BK148" s="84"/>
      <c r="BL148" s="2"/>
      <c r="BM148" s="2"/>
      <c r="BN148" s="2"/>
      <c r="BO148" s="2"/>
      <c r="BS148" s="11"/>
      <c r="BT148" s="2"/>
      <c r="BU148" s="3"/>
      <c r="BV148" s="3"/>
      <c r="BW148" s="2"/>
      <c r="BX148" s="2"/>
      <c r="BY148" s="2"/>
      <c r="BZ148" s="2"/>
      <c r="CA148" s="21"/>
      <c r="CB148" s="2"/>
      <c r="CC148" s="13"/>
      <c r="CD148" s="2"/>
      <c r="CE148" s="1"/>
      <c r="CF148" s="2"/>
      <c r="CG148" s="2"/>
      <c r="CH148" s="1"/>
      <c r="CI148" s="2"/>
      <c r="CJ148" s="2"/>
      <c r="CK148" s="2"/>
      <c r="CL148" s="2"/>
      <c r="CM148" s="2"/>
      <c r="CN148" s="2"/>
      <c r="CO148" s="2"/>
      <c r="CP148" s="2"/>
      <c r="CQ148" s="2"/>
      <c r="CR148" s="2"/>
      <c r="CS148" s="2"/>
      <c r="CT148" s="2"/>
      <c r="CU148" s="2"/>
      <c r="CV148" s="2"/>
      <c r="CW148" s="2"/>
      <c r="CX148" s="2"/>
      <c r="CY148" s="2"/>
      <c r="CZ148" s="2"/>
    </row>
    <row r="149" spans="43:104" ht="15" hidden="1" customHeight="1" x14ac:dyDescent="0.2">
      <c r="AQ149" s="12">
        <v>84</v>
      </c>
      <c r="AR149" s="12">
        <v>1015000</v>
      </c>
      <c r="AS149" s="12">
        <v>840000</v>
      </c>
      <c r="AT149" s="1"/>
      <c r="AU149" s="1"/>
      <c r="AV149" s="1"/>
      <c r="AW149" s="1"/>
      <c r="AX149" s="2"/>
      <c r="AY149" s="2"/>
      <c r="AZ149" s="2"/>
      <c r="BA149" s="2"/>
      <c r="BB149" s="2"/>
      <c r="BC149" s="2"/>
      <c r="BD149" s="2"/>
      <c r="BE149" s="2"/>
      <c r="BK149" s="84"/>
      <c r="BL149" s="2"/>
      <c r="BM149" s="2"/>
      <c r="BN149" s="2"/>
      <c r="BO149" s="2"/>
      <c r="BS149" s="11"/>
      <c r="BT149" s="2"/>
      <c r="BU149" s="3"/>
      <c r="BV149" s="3"/>
      <c r="BW149" s="2"/>
      <c r="BX149" s="2"/>
      <c r="BY149" s="2"/>
      <c r="BZ149" s="2"/>
      <c r="CA149" s="21"/>
      <c r="CB149" s="2"/>
      <c r="CC149" s="13"/>
      <c r="CD149" s="2"/>
      <c r="CE149" s="1"/>
      <c r="CF149" s="2"/>
      <c r="CG149" s="2"/>
      <c r="CH149" s="1"/>
      <c r="CI149" s="2"/>
      <c r="CJ149" s="2"/>
      <c r="CK149" s="2"/>
      <c r="CL149" s="2"/>
      <c r="CM149" s="2"/>
      <c r="CN149" s="2"/>
      <c r="CO149" s="2"/>
      <c r="CP149" s="2"/>
      <c r="CQ149" s="2"/>
      <c r="CR149" s="2"/>
      <c r="CS149" s="2"/>
      <c r="CT149" s="2"/>
      <c r="CU149" s="2"/>
      <c r="CV149" s="2"/>
      <c r="CW149" s="2"/>
      <c r="CX149" s="2"/>
      <c r="CY149" s="2"/>
      <c r="CZ149" s="2"/>
    </row>
    <row r="150" spans="43:104" ht="15" hidden="1" customHeight="1" x14ac:dyDescent="0.2">
      <c r="AQ150" s="13">
        <v>85</v>
      </c>
      <c r="AR150" s="12">
        <v>1020000</v>
      </c>
      <c r="AS150" s="12">
        <v>850000</v>
      </c>
      <c r="AT150" s="1"/>
      <c r="AU150" s="1"/>
      <c r="AV150" s="1"/>
      <c r="AW150" s="1"/>
      <c r="AX150" s="2"/>
      <c r="AY150" s="2"/>
      <c r="AZ150" s="2"/>
      <c r="BA150" s="2"/>
      <c r="BB150" s="2"/>
      <c r="BC150" s="2"/>
      <c r="BD150" s="2"/>
      <c r="BE150" s="2"/>
      <c r="BK150" s="84"/>
      <c r="BL150" s="2"/>
      <c r="BM150" s="2"/>
      <c r="BN150" s="2"/>
      <c r="BO150" s="2"/>
      <c r="BS150" s="11"/>
      <c r="BT150" s="2"/>
      <c r="BU150" s="3"/>
      <c r="BV150" s="3"/>
      <c r="BW150" s="2"/>
      <c r="BX150" s="2"/>
      <c r="BY150" s="2"/>
      <c r="BZ150" s="2"/>
      <c r="CA150" s="21"/>
      <c r="CB150" s="2"/>
      <c r="CC150" s="13"/>
      <c r="CD150" s="2"/>
      <c r="CE150" s="1"/>
      <c r="CF150" s="2"/>
      <c r="CG150" s="2"/>
      <c r="CH150" s="1"/>
      <c r="CI150" s="2"/>
      <c r="CJ150" s="2"/>
      <c r="CK150" s="2"/>
      <c r="CL150" s="2"/>
      <c r="CM150" s="2"/>
      <c r="CN150" s="2"/>
      <c r="CO150" s="2"/>
      <c r="CP150" s="2"/>
      <c r="CQ150" s="2"/>
      <c r="CR150" s="2"/>
      <c r="CS150" s="2"/>
      <c r="CT150" s="2"/>
      <c r="CU150" s="2"/>
      <c r="CV150" s="2"/>
      <c r="CW150" s="2"/>
      <c r="CX150" s="2"/>
      <c r="CY150" s="2"/>
      <c r="CZ150" s="2"/>
    </row>
    <row r="151" spans="43:104" ht="15" hidden="1" customHeight="1" x14ac:dyDescent="0.2">
      <c r="AQ151" s="13">
        <v>86</v>
      </c>
      <c r="AR151" s="12">
        <v>1025000</v>
      </c>
      <c r="AS151" s="12">
        <v>860000</v>
      </c>
      <c r="AT151" s="1"/>
      <c r="AU151" s="1"/>
      <c r="AV151" s="1"/>
      <c r="AW151" s="1"/>
      <c r="AX151" s="2"/>
      <c r="AY151" s="2"/>
      <c r="AZ151" s="2"/>
      <c r="BA151" s="2"/>
      <c r="BB151" s="2"/>
      <c r="BC151" s="2"/>
      <c r="BD151" s="2"/>
      <c r="BE151" s="2"/>
      <c r="BK151" s="84"/>
      <c r="BL151" s="2"/>
      <c r="BM151" s="2"/>
      <c r="BN151" s="2"/>
      <c r="BO151" s="2"/>
      <c r="BS151" s="11"/>
      <c r="BT151" s="2"/>
      <c r="BU151" s="3"/>
      <c r="BV151" s="3"/>
      <c r="BW151" s="2"/>
      <c r="BX151" s="2"/>
      <c r="BY151" s="2"/>
      <c r="BZ151" s="2"/>
      <c r="CA151" s="21"/>
      <c r="CB151" s="2"/>
      <c r="CC151" s="2"/>
      <c r="CD151" s="2"/>
      <c r="CE151" s="1"/>
      <c r="CF151" s="2"/>
      <c r="CG151" s="2"/>
      <c r="CH151" s="1"/>
      <c r="CI151" s="2"/>
      <c r="CJ151" s="2"/>
      <c r="CK151" s="2"/>
      <c r="CL151" s="2"/>
      <c r="CM151" s="2"/>
      <c r="CN151" s="2"/>
      <c r="CO151" s="2"/>
      <c r="CP151" s="2"/>
      <c r="CQ151" s="2"/>
      <c r="CR151" s="2"/>
      <c r="CS151" s="2"/>
      <c r="CT151" s="2"/>
      <c r="CU151" s="2"/>
      <c r="CV151" s="2"/>
      <c r="CW151" s="2"/>
      <c r="CX151" s="2"/>
      <c r="CY151" s="2"/>
      <c r="CZ151" s="2"/>
    </row>
    <row r="152" spans="43:104" ht="15" hidden="1" customHeight="1" x14ac:dyDescent="0.2">
      <c r="AQ152" s="12">
        <v>87</v>
      </c>
      <c r="AR152" s="12">
        <v>1030000</v>
      </c>
      <c r="AS152" s="12">
        <v>870000</v>
      </c>
      <c r="AT152" s="1"/>
      <c r="AU152" s="1"/>
      <c r="AV152" s="1"/>
      <c r="AW152" s="1"/>
      <c r="AX152" s="2"/>
      <c r="AY152" s="2"/>
      <c r="AZ152" s="2"/>
      <c r="BA152" s="2"/>
      <c r="BB152" s="2"/>
      <c r="BC152" s="2"/>
      <c r="BD152" s="2"/>
      <c r="BE152" s="2"/>
      <c r="BK152" s="84"/>
      <c r="BL152" s="2"/>
      <c r="BM152" s="2"/>
      <c r="BN152" s="2"/>
      <c r="BO152" s="2"/>
      <c r="BS152" s="11"/>
      <c r="BT152" s="2"/>
      <c r="BU152" s="3"/>
      <c r="BV152" s="3"/>
      <c r="BW152" s="2"/>
      <c r="BX152" s="2"/>
      <c r="BY152" s="2"/>
      <c r="BZ152" s="2"/>
      <c r="CA152" s="21"/>
      <c r="CB152" s="2"/>
      <c r="CC152" s="2"/>
      <c r="CD152" s="2"/>
      <c r="CE152" s="1"/>
      <c r="CF152" s="1"/>
      <c r="CG152" s="1"/>
      <c r="CH152" s="1"/>
      <c r="CI152" s="2"/>
      <c r="CJ152" s="2"/>
      <c r="CK152" s="2"/>
      <c r="CL152" s="2"/>
      <c r="CM152" s="2"/>
      <c r="CN152" s="2"/>
      <c r="CO152" s="2"/>
      <c r="CP152" s="2"/>
      <c r="CQ152" s="2"/>
      <c r="CR152" s="2"/>
      <c r="CS152" s="2"/>
      <c r="CT152" s="2"/>
      <c r="CU152" s="2"/>
      <c r="CV152" s="2"/>
      <c r="CW152" s="2"/>
      <c r="CX152" s="2"/>
      <c r="CY152" s="2"/>
      <c r="CZ152" s="2"/>
    </row>
    <row r="153" spans="43:104" ht="15" hidden="1" customHeight="1" x14ac:dyDescent="0.2">
      <c r="AQ153" s="13">
        <v>88</v>
      </c>
      <c r="AR153" s="12">
        <v>1035000</v>
      </c>
      <c r="AS153" s="12">
        <v>880000</v>
      </c>
      <c r="AT153" s="1"/>
      <c r="AU153" s="1"/>
      <c r="AV153" s="1"/>
      <c r="AW153" s="1"/>
      <c r="AX153" s="2"/>
      <c r="AY153" s="2"/>
      <c r="AZ153" s="2"/>
      <c r="BA153" s="2"/>
      <c r="BB153" s="2"/>
      <c r="BC153" s="2"/>
      <c r="BD153" s="2"/>
      <c r="BE153" s="2"/>
      <c r="BK153" s="84"/>
      <c r="BL153" s="2"/>
      <c r="BM153" s="2"/>
      <c r="BN153" s="2"/>
      <c r="BO153" s="2"/>
      <c r="BS153" s="11"/>
      <c r="BT153" s="2"/>
      <c r="BU153" s="3"/>
      <c r="BV153" s="3"/>
      <c r="BW153" s="2"/>
      <c r="BX153" s="2"/>
      <c r="BY153" s="2"/>
      <c r="BZ153" s="2"/>
      <c r="CA153" s="21"/>
      <c r="CB153" s="1"/>
      <c r="CC153" s="13"/>
      <c r="CD153" s="2"/>
      <c r="CE153" s="1"/>
      <c r="CF153" s="1"/>
      <c r="CG153" s="1"/>
      <c r="CH153" s="1"/>
      <c r="CI153" s="2"/>
      <c r="CJ153" s="2"/>
      <c r="CK153" s="2"/>
      <c r="CL153" s="2"/>
      <c r="CM153" s="2"/>
      <c r="CN153" s="2"/>
      <c r="CO153" s="2"/>
      <c r="CP153" s="2"/>
      <c r="CQ153" s="2"/>
      <c r="CR153" s="2"/>
      <c r="CS153" s="2"/>
      <c r="CT153" s="2"/>
      <c r="CU153" s="2"/>
      <c r="CV153" s="2"/>
      <c r="CW153" s="2"/>
      <c r="CX153" s="2"/>
      <c r="CY153" s="2"/>
      <c r="CZ153" s="2"/>
    </row>
    <row r="154" spans="43:104" ht="15" hidden="1" customHeight="1" x14ac:dyDescent="0.2">
      <c r="AQ154" s="13">
        <v>89</v>
      </c>
      <c r="AR154" s="12">
        <v>1040000</v>
      </c>
      <c r="AS154" s="12">
        <v>890000</v>
      </c>
      <c r="AT154" s="1"/>
      <c r="AU154" s="1"/>
      <c r="AV154" s="1"/>
      <c r="AW154" s="1"/>
      <c r="AX154" s="2"/>
      <c r="AY154" s="2"/>
      <c r="AZ154" s="2"/>
      <c r="BA154" s="2"/>
      <c r="BB154" s="2"/>
      <c r="BC154" s="2"/>
      <c r="BD154" s="2"/>
      <c r="BE154" s="2"/>
      <c r="BK154" s="84"/>
      <c r="BL154" s="2"/>
      <c r="BM154" s="2"/>
      <c r="BN154" s="2"/>
      <c r="BO154" s="2"/>
      <c r="BS154" s="11"/>
      <c r="BT154" s="2"/>
      <c r="BU154" s="3"/>
      <c r="BV154" s="3"/>
      <c r="BW154" s="2"/>
      <c r="BX154" s="2"/>
      <c r="BY154" s="2"/>
      <c r="BZ154" s="2"/>
      <c r="CA154" s="21"/>
      <c r="CB154" s="1"/>
      <c r="CC154" s="13"/>
      <c r="CD154" s="2"/>
      <c r="CE154" s="1"/>
      <c r="CF154" s="1"/>
      <c r="CG154" s="1"/>
      <c r="CH154" s="1"/>
      <c r="CI154" s="2"/>
      <c r="CJ154" s="2"/>
      <c r="CK154" s="2"/>
      <c r="CL154" s="2"/>
      <c r="CM154" s="2"/>
      <c r="CN154" s="2"/>
      <c r="CO154" s="2"/>
      <c r="CP154" s="2"/>
      <c r="CQ154" s="2"/>
      <c r="CR154" s="2"/>
      <c r="CS154" s="2"/>
      <c r="CT154" s="2"/>
      <c r="CU154" s="2"/>
      <c r="CV154" s="2"/>
      <c r="CW154" s="2"/>
      <c r="CX154" s="2"/>
      <c r="CY154" s="2"/>
      <c r="CZ154" s="2"/>
    </row>
    <row r="155" spans="43:104" ht="15" hidden="1" customHeight="1" x14ac:dyDescent="0.2">
      <c r="AQ155" s="12">
        <v>90</v>
      </c>
      <c r="AR155" s="12">
        <v>1045000</v>
      </c>
      <c r="AS155" s="12">
        <v>900000</v>
      </c>
      <c r="AT155" s="1"/>
      <c r="AU155" s="1"/>
      <c r="AV155" s="1"/>
      <c r="AW155" s="1"/>
      <c r="AX155" s="2"/>
      <c r="AY155" s="2"/>
      <c r="AZ155" s="2"/>
      <c r="BA155" s="2"/>
      <c r="BB155" s="2"/>
      <c r="BC155" s="2"/>
      <c r="BD155" s="2"/>
      <c r="BE155" s="2"/>
      <c r="BK155" s="84"/>
      <c r="BL155" s="2"/>
      <c r="BM155" s="2"/>
      <c r="BN155" s="2"/>
      <c r="BO155" s="2"/>
      <c r="BS155" s="11"/>
      <c r="BT155" s="2"/>
      <c r="BU155" s="3"/>
      <c r="BV155" s="3"/>
      <c r="BW155" s="2"/>
      <c r="BX155" s="2"/>
      <c r="BY155" s="2"/>
      <c r="BZ155" s="2"/>
      <c r="CA155" s="21"/>
      <c r="CB155" s="1"/>
      <c r="CC155" s="13"/>
      <c r="CD155" s="2"/>
      <c r="CE155" s="1"/>
      <c r="CF155" s="1"/>
      <c r="CG155" s="1"/>
      <c r="CH155" s="1"/>
      <c r="CI155" s="2"/>
      <c r="CJ155" s="2"/>
      <c r="CK155" s="2"/>
      <c r="CL155" s="2"/>
      <c r="CM155" s="2"/>
      <c r="CN155" s="2"/>
      <c r="CO155" s="2"/>
      <c r="CP155" s="2"/>
      <c r="CQ155" s="2"/>
      <c r="CR155" s="2"/>
      <c r="CS155" s="2"/>
      <c r="CT155" s="2"/>
      <c r="CU155" s="2"/>
      <c r="CV155" s="2"/>
      <c r="CW155" s="2"/>
      <c r="CX155" s="2"/>
      <c r="CY155" s="2"/>
      <c r="CZ155" s="2"/>
    </row>
    <row r="156" spans="43:104" ht="15" hidden="1" customHeight="1" x14ac:dyDescent="0.2">
      <c r="AQ156" s="13">
        <v>91</v>
      </c>
      <c r="AR156" s="12">
        <v>1050000</v>
      </c>
      <c r="AS156" s="12">
        <v>910000</v>
      </c>
      <c r="AT156" s="1"/>
      <c r="AU156" s="1"/>
      <c r="AV156" s="1"/>
      <c r="AW156" s="1"/>
      <c r="AX156" s="2"/>
      <c r="AY156" s="2"/>
      <c r="AZ156" s="2"/>
      <c r="BA156" s="2"/>
      <c r="BB156" s="2"/>
      <c r="BC156" s="2"/>
      <c r="BD156" s="2"/>
      <c r="BE156" s="2"/>
      <c r="BK156" s="84"/>
      <c r="BL156" s="2"/>
      <c r="BM156" s="2"/>
      <c r="BN156" s="2"/>
      <c r="BO156" s="2"/>
      <c r="BS156" s="11"/>
      <c r="BT156" s="2"/>
      <c r="BU156" s="3"/>
      <c r="BV156" s="3"/>
      <c r="BW156" s="2"/>
      <c r="BX156" s="2"/>
      <c r="BY156" s="2"/>
      <c r="BZ156" s="2"/>
      <c r="CA156" s="21" t="str">
        <f t="shared" ref="CA156:CA163" si="105">""</f>
        <v/>
      </c>
      <c r="CB156" s="1"/>
      <c r="CC156" s="13"/>
      <c r="CD156" s="2"/>
      <c r="CE156" s="1"/>
      <c r="CF156" s="1"/>
      <c r="CG156" s="1"/>
      <c r="CH156" s="1"/>
      <c r="CI156" s="2"/>
      <c r="CJ156" s="2"/>
      <c r="CK156" s="2"/>
      <c r="CL156" s="2"/>
      <c r="CM156" s="2"/>
      <c r="CN156" s="2"/>
      <c r="CO156" s="2"/>
      <c r="CP156" s="2"/>
      <c r="CQ156" s="2"/>
      <c r="CR156" s="2"/>
      <c r="CS156" s="2"/>
      <c r="CT156" s="2"/>
      <c r="CU156" s="2"/>
      <c r="CV156" s="2"/>
      <c r="CW156" s="2"/>
      <c r="CX156" s="2"/>
      <c r="CY156" s="2"/>
      <c r="CZ156" s="2"/>
    </row>
    <row r="157" spans="43:104" ht="15" hidden="1" customHeight="1" x14ac:dyDescent="0.2">
      <c r="AQ157" s="13">
        <v>92</v>
      </c>
      <c r="AR157" s="12">
        <v>1055000</v>
      </c>
      <c r="AS157" s="12">
        <v>920000</v>
      </c>
      <c r="AT157" s="1"/>
      <c r="AU157" s="1"/>
      <c r="AV157" s="1"/>
      <c r="AW157" s="1"/>
      <c r="AX157" s="2"/>
      <c r="AY157" s="2"/>
      <c r="AZ157" s="2"/>
      <c r="BA157" s="2"/>
      <c r="BB157" s="2"/>
      <c r="BC157" s="2"/>
      <c r="BD157" s="2"/>
      <c r="BE157" s="2"/>
      <c r="BK157" s="84"/>
      <c r="BL157" s="2"/>
      <c r="BM157" s="2"/>
      <c r="BN157" s="2"/>
      <c r="BO157" s="2"/>
      <c r="BS157" s="11"/>
      <c r="BT157" s="2"/>
      <c r="BU157" s="3"/>
      <c r="BV157" s="3"/>
      <c r="BW157" s="2"/>
      <c r="BX157" s="2"/>
      <c r="BY157" s="2"/>
      <c r="BZ157" s="2"/>
      <c r="CA157" s="21" t="str">
        <f t="shared" si="105"/>
        <v/>
      </c>
      <c r="CB157" s="1"/>
      <c r="CC157" s="2"/>
      <c r="CD157" s="2"/>
      <c r="CE157" s="1"/>
      <c r="CF157" s="1"/>
      <c r="CG157" s="1"/>
      <c r="CH157" s="1"/>
      <c r="CI157" s="2"/>
      <c r="CJ157" s="2"/>
      <c r="CK157" s="2"/>
      <c r="CL157" s="2"/>
      <c r="CM157" s="2"/>
      <c r="CN157" s="2"/>
      <c r="CO157" s="2"/>
      <c r="CP157" s="2"/>
      <c r="CQ157" s="2"/>
      <c r="CR157" s="2"/>
      <c r="CS157" s="2"/>
      <c r="CT157" s="2"/>
      <c r="CU157" s="2"/>
      <c r="CV157" s="2"/>
      <c r="CW157" s="2"/>
      <c r="CX157" s="2"/>
      <c r="CY157" s="2"/>
      <c r="CZ157" s="2"/>
    </row>
    <row r="158" spans="43:104" ht="15" hidden="1" customHeight="1" x14ac:dyDescent="0.2">
      <c r="AQ158" s="12">
        <v>93</v>
      </c>
      <c r="AR158" s="12">
        <v>1060000</v>
      </c>
      <c r="AS158" s="12">
        <v>930000</v>
      </c>
      <c r="AT158" s="1"/>
      <c r="AU158" s="1"/>
      <c r="AV158" s="1"/>
      <c r="AW158" s="1"/>
      <c r="AX158" s="2"/>
      <c r="AY158" s="2"/>
      <c r="AZ158" s="2"/>
      <c r="BA158" s="2"/>
      <c r="BB158" s="2"/>
      <c r="BC158" s="2"/>
      <c r="BD158" s="2"/>
      <c r="BE158" s="2"/>
      <c r="BK158" s="84"/>
      <c r="BL158" s="2"/>
      <c r="BM158" s="2"/>
      <c r="BN158" s="2"/>
      <c r="BO158" s="2"/>
      <c r="BS158" s="11"/>
      <c r="BT158" s="2"/>
      <c r="BU158" s="3"/>
      <c r="BV158" s="3"/>
      <c r="BW158" s="2"/>
      <c r="BX158" s="2"/>
      <c r="BY158" s="2"/>
      <c r="BZ158" s="2"/>
      <c r="CA158" s="21" t="str">
        <f t="shared" si="105"/>
        <v/>
      </c>
      <c r="CB158" s="1"/>
      <c r="CC158" s="13"/>
      <c r="CD158" s="2"/>
      <c r="CE158" s="1"/>
      <c r="CF158" s="1"/>
      <c r="CG158" s="1"/>
      <c r="CH158" s="1"/>
      <c r="CI158" s="2"/>
      <c r="CJ158" s="2"/>
      <c r="CK158" s="2"/>
      <c r="CL158" s="2"/>
      <c r="CM158" s="2"/>
      <c r="CN158" s="2"/>
      <c r="CO158" s="2"/>
      <c r="CP158" s="2"/>
      <c r="CQ158" s="2"/>
      <c r="CR158" s="2"/>
      <c r="CS158" s="2"/>
      <c r="CT158" s="2"/>
      <c r="CU158" s="2"/>
      <c r="CV158" s="2"/>
      <c r="CW158" s="2"/>
      <c r="CX158" s="2"/>
      <c r="CY158" s="2"/>
      <c r="CZ158" s="2"/>
    </row>
    <row r="159" spans="43:104" ht="15" hidden="1" customHeight="1" x14ac:dyDescent="0.2">
      <c r="AQ159" s="13">
        <v>94</v>
      </c>
      <c r="AR159" s="12">
        <v>1065000</v>
      </c>
      <c r="AS159" s="12">
        <v>940000</v>
      </c>
      <c r="AT159" s="1"/>
      <c r="AU159" s="1"/>
      <c r="AV159" s="1"/>
      <c r="AW159" s="1"/>
      <c r="AX159" s="2"/>
      <c r="AY159" s="2"/>
      <c r="AZ159" s="2"/>
      <c r="BA159" s="2"/>
      <c r="BB159" s="2"/>
      <c r="BC159" s="2"/>
      <c r="BD159" s="2"/>
      <c r="BE159" s="2"/>
      <c r="BK159" s="84"/>
      <c r="BL159" s="2"/>
      <c r="BM159" s="2"/>
      <c r="BN159" s="2"/>
      <c r="BO159" s="2"/>
      <c r="BS159" s="11"/>
      <c r="BT159" s="2"/>
      <c r="BU159" s="3"/>
      <c r="BV159" s="3"/>
      <c r="BW159" s="2"/>
      <c r="BX159" s="2"/>
      <c r="BY159" s="2"/>
      <c r="BZ159" s="2"/>
      <c r="CA159" s="21" t="str">
        <f t="shared" si="105"/>
        <v/>
      </c>
      <c r="CB159" s="1"/>
      <c r="CC159" s="13"/>
      <c r="CD159" s="2"/>
      <c r="CE159" s="1"/>
      <c r="CF159" s="1"/>
      <c r="CG159" s="1"/>
      <c r="CH159" s="1"/>
      <c r="CI159" s="2"/>
      <c r="CJ159" s="2"/>
      <c r="CK159" s="2"/>
      <c r="CL159" s="2"/>
      <c r="CM159" s="2"/>
      <c r="CN159" s="2"/>
      <c r="CO159" s="2"/>
      <c r="CP159" s="2"/>
      <c r="CQ159" s="2"/>
      <c r="CR159" s="2"/>
      <c r="CS159" s="2"/>
      <c r="CT159" s="2"/>
      <c r="CU159" s="2"/>
      <c r="CV159" s="2"/>
      <c r="CW159" s="2"/>
      <c r="CX159" s="2"/>
      <c r="CY159" s="2"/>
      <c r="CZ159" s="2"/>
    </row>
    <row r="160" spans="43:104" ht="15" hidden="1" customHeight="1" x14ac:dyDescent="0.2">
      <c r="AQ160" s="13">
        <v>95</v>
      </c>
      <c r="AR160" s="12">
        <v>1070000</v>
      </c>
      <c r="AS160" s="12">
        <v>950000</v>
      </c>
      <c r="AT160" s="1"/>
      <c r="AU160" s="1"/>
      <c r="AV160" s="1"/>
      <c r="AW160" s="1"/>
      <c r="AX160" s="2"/>
      <c r="AY160" s="2"/>
      <c r="AZ160" s="2"/>
      <c r="BA160" s="2"/>
      <c r="BB160" s="2"/>
      <c r="BC160" s="2"/>
      <c r="BD160" s="2"/>
      <c r="BE160" s="2"/>
      <c r="BK160" s="84"/>
      <c r="BL160" s="2"/>
      <c r="BM160" s="2"/>
      <c r="BN160" s="2"/>
      <c r="BO160" s="2"/>
      <c r="BS160" s="11"/>
      <c r="BT160" s="2"/>
      <c r="BU160" s="3"/>
      <c r="BV160" s="3"/>
      <c r="BW160" s="2"/>
      <c r="BX160" s="2"/>
      <c r="BY160" s="2"/>
      <c r="BZ160" s="2"/>
      <c r="CA160" s="21" t="str">
        <f t="shared" si="105"/>
        <v/>
      </c>
      <c r="CB160" s="2"/>
      <c r="CC160" s="13"/>
      <c r="CD160" s="2"/>
      <c r="CE160" s="1"/>
      <c r="CF160" s="1"/>
      <c r="CG160" s="1"/>
      <c r="CH160" s="1"/>
      <c r="CI160" s="2"/>
      <c r="CJ160" s="2"/>
      <c r="CK160" s="2"/>
      <c r="CL160" s="2"/>
      <c r="CM160" s="2"/>
      <c r="CN160" s="2"/>
      <c r="CO160" s="2"/>
      <c r="CP160" s="2"/>
      <c r="CQ160" s="2"/>
      <c r="CR160" s="2"/>
      <c r="CS160" s="2"/>
      <c r="CT160" s="2"/>
      <c r="CU160" s="2"/>
      <c r="CV160" s="2"/>
      <c r="CW160" s="2"/>
      <c r="CX160" s="2"/>
      <c r="CY160" s="2"/>
      <c r="CZ160" s="2"/>
    </row>
    <row r="161" spans="43:104" ht="15" hidden="1" customHeight="1" x14ac:dyDescent="0.2">
      <c r="AQ161" s="12">
        <v>96</v>
      </c>
      <c r="AR161" s="12">
        <v>1075000</v>
      </c>
      <c r="AS161" s="12">
        <v>960000</v>
      </c>
      <c r="AT161" s="1"/>
      <c r="AU161" s="1"/>
      <c r="AV161" s="1"/>
      <c r="AW161" s="1"/>
      <c r="AX161" s="2"/>
      <c r="AY161" s="2"/>
      <c r="AZ161" s="2"/>
      <c r="BA161" s="2"/>
      <c r="BB161" s="2"/>
      <c r="BC161" s="2"/>
      <c r="BD161" s="2"/>
      <c r="BE161" s="2"/>
      <c r="BK161" s="84"/>
      <c r="BL161" s="2"/>
      <c r="BM161" s="2"/>
      <c r="BN161" s="2"/>
      <c r="BO161" s="2"/>
      <c r="BS161" s="11"/>
      <c r="BT161" s="2"/>
      <c r="BU161" s="3"/>
      <c r="BV161" s="3"/>
      <c r="BW161" s="2"/>
      <c r="BX161" s="2"/>
      <c r="BY161" s="2"/>
      <c r="BZ161" s="2"/>
      <c r="CA161" s="21" t="str">
        <f t="shared" si="105"/>
        <v/>
      </c>
      <c r="CB161" s="2"/>
      <c r="CC161" s="13"/>
      <c r="CD161" s="2"/>
      <c r="CE161" s="1"/>
      <c r="CF161" s="1"/>
      <c r="CG161" s="1"/>
      <c r="CH161" s="1"/>
      <c r="CI161" s="2"/>
      <c r="CJ161" s="2"/>
      <c r="CK161" s="2"/>
      <c r="CL161" s="2"/>
      <c r="CM161" s="2"/>
      <c r="CN161" s="2"/>
      <c r="CO161" s="2"/>
      <c r="CP161" s="2"/>
      <c r="CQ161" s="2"/>
      <c r="CR161" s="2"/>
      <c r="CS161" s="2"/>
      <c r="CT161" s="2"/>
      <c r="CU161" s="2"/>
      <c r="CV161" s="2"/>
      <c r="CW161" s="2"/>
      <c r="CX161" s="2"/>
      <c r="CY161" s="2"/>
      <c r="CZ161" s="2"/>
    </row>
    <row r="162" spans="43:104" ht="15" hidden="1" customHeight="1" x14ac:dyDescent="0.2">
      <c r="AQ162" s="13">
        <v>97</v>
      </c>
      <c r="AR162" s="12">
        <v>1080000</v>
      </c>
      <c r="AS162" s="12">
        <v>970000</v>
      </c>
      <c r="AT162" s="1"/>
      <c r="AU162" s="1"/>
      <c r="AV162" s="1"/>
      <c r="AW162" s="1"/>
      <c r="AX162" s="2"/>
      <c r="AY162" s="2"/>
      <c r="AZ162" s="2"/>
      <c r="BA162" s="2"/>
      <c r="BB162" s="2"/>
      <c r="BC162" s="2"/>
      <c r="BD162" s="2"/>
      <c r="BE162" s="2"/>
      <c r="BK162" s="84"/>
      <c r="BL162" s="2"/>
      <c r="BM162" s="2"/>
      <c r="BN162" s="2"/>
      <c r="BO162" s="2"/>
      <c r="BS162" s="11"/>
      <c r="BT162" s="2"/>
      <c r="BU162" s="3"/>
      <c r="BV162" s="3"/>
      <c r="BW162" s="2"/>
      <c r="BX162" s="2"/>
      <c r="BY162" s="2"/>
      <c r="BZ162" s="2"/>
      <c r="CA162" s="21" t="str">
        <f t="shared" si="105"/>
        <v/>
      </c>
      <c r="CB162" s="2"/>
      <c r="CC162" s="13"/>
      <c r="CD162" s="2"/>
      <c r="CE162" s="1"/>
      <c r="CF162" s="1"/>
      <c r="CG162" s="1"/>
      <c r="CH162" s="1"/>
      <c r="CI162" s="2"/>
      <c r="CJ162" s="2"/>
      <c r="CK162" s="2"/>
      <c r="CL162" s="2"/>
      <c r="CM162" s="2"/>
      <c r="CN162" s="2"/>
      <c r="CO162" s="2"/>
      <c r="CP162" s="2"/>
      <c r="CQ162" s="2"/>
      <c r="CR162" s="2"/>
      <c r="CS162" s="2"/>
      <c r="CT162" s="2"/>
      <c r="CU162" s="2"/>
      <c r="CV162" s="2"/>
      <c r="CW162" s="2"/>
      <c r="CX162" s="2"/>
      <c r="CY162" s="2"/>
      <c r="CZ162" s="2"/>
    </row>
    <row r="163" spans="43:104" ht="15" hidden="1" customHeight="1" x14ac:dyDescent="0.2">
      <c r="AQ163" s="13">
        <v>98</v>
      </c>
      <c r="AR163" s="12">
        <v>1085000</v>
      </c>
      <c r="AS163" s="12">
        <v>980000</v>
      </c>
      <c r="AT163" s="1"/>
      <c r="AU163" s="1"/>
      <c r="AV163" s="1"/>
      <c r="AW163" s="1"/>
      <c r="AX163" s="2"/>
      <c r="AY163" s="2"/>
      <c r="AZ163" s="2"/>
      <c r="BA163" s="2"/>
      <c r="BB163" s="2"/>
      <c r="BC163" s="2"/>
      <c r="BD163" s="2"/>
      <c r="BE163" s="2"/>
      <c r="BK163" s="84"/>
      <c r="BL163" s="2"/>
      <c r="BM163" s="2"/>
      <c r="BN163" s="2"/>
      <c r="BO163" s="2"/>
      <c r="BS163" s="11"/>
      <c r="BT163" s="2"/>
      <c r="BU163" s="3"/>
      <c r="BV163" s="3"/>
      <c r="BW163" s="2"/>
      <c r="BX163" s="2"/>
      <c r="BY163" s="2"/>
      <c r="BZ163" s="2"/>
      <c r="CA163" s="21" t="str">
        <f t="shared" si="105"/>
        <v/>
      </c>
      <c r="CB163" s="2"/>
      <c r="CC163" s="13"/>
      <c r="CD163" s="2"/>
      <c r="CE163" s="1"/>
      <c r="CF163" s="1"/>
      <c r="CG163" s="1"/>
      <c r="CH163" s="1"/>
      <c r="CI163" s="2"/>
      <c r="CJ163" s="2"/>
      <c r="CK163" s="2"/>
      <c r="CL163" s="2"/>
      <c r="CM163" s="2"/>
      <c r="CN163" s="2"/>
      <c r="CO163" s="2"/>
      <c r="CP163" s="2"/>
      <c r="CQ163" s="2"/>
      <c r="CR163" s="2"/>
      <c r="CS163" s="2"/>
      <c r="CT163" s="2"/>
      <c r="CU163" s="2"/>
      <c r="CV163" s="2"/>
      <c r="CW163" s="2"/>
      <c r="CX163" s="2"/>
      <c r="CY163" s="2"/>
      <c r="CZ163" s="2"/>
    </row>
    <row r="164" spans="43:104" ht="15" hidden="1" customHeight="1" x14ac:dyDescent="0.2">
      <c r="AQ164" s="12">
        <v>99</v>
      </c>
      <c r="AR164" s="12">
        <v>1090000</v>
      </c>
      <c r="AS164" s="12">
        <v>990000</v>
      </c>
      <c r="AT164" s="1"/>
      <c r="AU164" s="1"/>
      <c r="AV164" s="1"/>
      <c r="AW164" s="1"/>
      <c r="AX164" s="2"/>
      <c r="AY164" s="2"/>
      <c r="AZ164" s="2"/>
      <c r="BA164" s="2"/>
      <c r="BB164" s="2"/>
      <c r="BC164" s="2"/>
      <c r="BD164" s="2"/>
      <c r="BE164" s="2"/>
      <c r="BK164" s="84"/>
      <c r="BL164" s="2"/>
      <c r="BM164" s="2"/>
      <c r="BN164" s="2"/>
      <c r="BO164" s="2"/>
      <c r="BS164" s="11"/>
      <c r="BT164" s="2"/>
      <c r="BU164" s="3"/>
      <c r="BV164" s="3"/>
      <c r="BW164" s="2"/>
      <c r="BX164" s="2"/>
      <c r="BY164" s="2"/>
      <c r="BZ164" s="2"/>
      <c r="CA164" s="46"/>
      <c r="CB164" s="1"/>
      <c r="CC164" s="2"/>
      <c r="CD164" s="2"/>
      <c r="CE164" s="1"/>
      <c r="CF164" s="1"/>
      <c r="CG164" s="1"/>
      <c r="CH164" s="1"/>
      <c r="CI164" s="2"/>
      <c r="CJ164" s="2"/>
      <c r="CK164" s="2"/>
      <c r="CL164" s="2"/>
      <c r="CM164" s="2"/>
      <c r="CN164" s="2"/>
      <c r="CO164" s="2"/>
      <c r="CP164" s="2"/>
      <c r="CQ164" s="2"/>
      <c r="CR164" s="2"/>
      <c r="CS164" s="2"/>
      <c r="CT164" s="2"/>
      <c r="CU164" s="2"/>
      <c r="CV164" s="2"/>
      <c r="CW164" s="2"/>
      <c r="CX164" s="2"/>
      <c r="CY164" s="2"/>
      <c r="CZ164" s="2"/>
    </row>
    <row r="165" spans="43:104" ht="15" hidden="1" customHeight="1" x14ac:dyDescent="0.2">
      <c r="AQ165" s="12"/>
      <c r="AR165" s="12">
        <v>1095000</v>
      </c>
      <c r="AS165" s="12">
        <v>1000000</v>
      </c>
      <c r="AT165" s="1"/>
      <c r="AU165" s="1"/>
      <c r="AV165" s="1"/>
      <c r="AW165" s="1"/>
      <c r="AX165" s="2"/>
      <c r="AY165" s="2"/>
      <c r="AZ165" s="2"/>
      <c r="BA165" s="2"/>
      <c r="BB165" s="2"/>
      <c r="BC165" s="2"/>
      <c r="BD165" s="2"/>
      <c r="BE165" s="2"/>
      <c r="BK165" s="84"/>
      <c r="BL165" s="2"/>
      <c r="BM165" s="2"/>
      <c r="BN165" s="2"/>
      <c r="BO165" s="2"/>
      <c r="BS165" s="11"/>
      <c r="BT165" s="2"/>
      <c r="BU165" s="3"/>
      <c r="BV165" s="3"/>
      <c r="BW165" s="2"/>
      <c r="BX165" s="2"/>
      <c r="BY165" s="2"/>
      <c r="BZ165" s="2"/>
      <c r="CA165" s="46"/>
      <c r="CB165" s="1"/>
      <c r="CC165" s="1"/>
      <c r="CD165" s="1"/>
      <c r="CE165" s="1"/>
      <c r="CF165" s="1"/>
      <c r="CG165" s="1"/>
      <c r="CH165" s="1"/>
      <c r="CI165" s="2"/>
      <c r="CJ165" s="2"/>
      <c r="CK165" s="2"/>
      <c r="CL165" s="2"/>
      <c r="CM165" s="2"/>
      <c r="CN165" s="2"/>
      <c r="CO165" s="2"/>
      <c r="CP165" s="2"/>
      <c r="CQ165" s="2"/>
      <c r="CR165" s="2"/>
      <c r="CS165" s="2"/>
      <c r="CT165" s="2"/>
      <c r="CU165" s="2"/>
      <c r="CV165" s="2"/>
      <c r="CW165" s="2"/>
      <c r="CX165" s="2"/>
      <c r="CY165" s="2"/>
      <c r="CZ165" s="2"/>
    </row>
    <row r="166" spans="43:104" ht="15" hidden="1" customHeight="1" x14ac:dyDescent="0.2">
      <c r="AQ166" s="12"/>
      <c r="AR166" s="12">
        <v>1100000</v>
      </c>
      <c r="AS166" s="12">
        <v>1010000</v>
      </c>
      <c r="AT166" s="1"/>
      <c r="AU166" s="1"/>
      <c r="AV166" s="1"/>
      <c r="AW166" s="1"/>
      <c r="AX166" s="2"/>
      <c r="AY166" s="2"/>
      <c r="AZ166" s="2"/>
      <c r="BA166" s="2"/>
      <c r="BB166" s="2"/>
      <c r="BC166" s="2"/>
      <c r="BD166" s="2"/>
      <c r="BE166" s="2"/>
      <c r="BK166" s="84"/>
      <c r="BL166" s="2"/>
      <c r="BM166" s="2"/>
      <c r="BN166" s="2"/>
      <c r="BO166" s="2"/>
      <c r="BS166" s="11"/>
      <c r="BT166" s="2"/>
      <c r="BU166" s="3"/>
      <c r="BV166" s="3"/>
      <c r="BW166" s="2"/>
      <c r="BX166" s="2"/>
      <c r="BY166" s="2"/>
      <c r="BZ166" s="2"/>
      <c r="CA166" s="46"/>
      <c r="CB166" s="1"/>
      <c r="CC166" s="1"/>
      <c r="CD166" s="1"/>
      <c r="CE166" s="1"/>
      <c r="CF166" s="1"/>
      <c r="CG166" s="1"/>
      <c r="CH166" s="1"/>
      <c r="CI166" s="2"/>
      <c r="CJ166" s="2"/>
      <c r="CK166" s="2"/>
      <c r="CL166" s="2"/>
      <c r="CM166" s="2"/>
      <c r="CN166" s="2"/>
      <c r="CO166" s="2"/>
      <c r="CP166" s="2"/>
      <c r="CQ166" s="2"/>
      <c r="CR166" s="2"/>
      <c r="CS166" s="2"/>
      <c r="CT166" s="2"/>
      <c r="CU166" s="2"/>
      <c r="CV166" s="2"/>
      <c r="CW166" s="2"/>
      <c r="CX166" s="2"/>
      <c r="CY166" s="2"/>
      <c r="CZ166" s="2"/>
    </row>
    <row r="167" spans="43:104" ht="15" hidden="1" customHeight="1" x14ac:dyDescent="0.2">
      <c r="AQ167" s="13"/>
      <c r="AR167" s="12">
        <v>1105000</v>
      </c>
      <c r="AS167" s="12">
        <v>1020000</v>
      </c>
      <c r="AT167" s="1"/>
      <c r="AU167" s="1"/>
      <c r="AV167" s="1"/>
      <c r="AW167" s="1"/>
      <c r="AX167" s="2"/>
      <c r="AY167" s="2"/>
      <c r="AZ167" s="2"/>
      <c r="BA167" s="2"/>
      <c r="BB167" s="2"/>
      <c r="BC167" s="2"/>
      <c r="BD167" s="2"/>
      <c r="BE167" s="2"/>
      <c r="BK167" s="84"/>
      <c r="BL167" s="2"/>
      <c r="BM167" s="2"/>
      <c r="BN167" s="2"/>
      <c r="BO167" s="2"/>
      <c r="BS167" s="11"/>
      <c r="BT167" s="2"/>
      <c r="BU167" s="3"/>
      <c r="BV167" s="3"/>
      <c r="BW167" s="2"/>
      <c r="BX167" s="2"/>
      <c r="BY167" s="2"/>
      <c r="BZ167" s="2"/>
      <c r="CA167" s="46"/>
      <c r="CB167" s="1"/>
      <c r="CC167" s="1"/>
      <c r="CD167" s="1"/>
      <c r="CE167" s="1"/>
      <c r="CF167" s="1"/>
      <c r="CG167" s="1"/>
      <c r="CH167" s="1"/>
      <c r="CI167" s="2"/>
      <c r="CJ167" s="2"/>
      <c r="CK167" s="2"/>
      <c r="CL167" s="2"/>
      <c r="CM167" s="2"/>
      <c r="CN167" s="2"/>
      <c r="CO167" s="2"/>
      <c r="CP167" s="2"/>
      <c r="CQ167" s="2"/>
      <c r="CR167" s="2"/>
      <c r="CS167" s="2"/>
      <c r="CT167" s="2"/>
      <c r="CU167" s="2"/>
      <c r="CV167" s="2"/>
      <c r="CW167" s="2"/>
      <c r="CX167" s="2"/>
      <c r="CY167" s="2"/>
      <c r="CZ167" s="2"/>
    </row>
    <row r="168" spans="43:104" ht="15" hidden="1" customHeight="1" x14ac:dyDescent="0.2">
      <c r="AQ168" s="13"/>
      <c r="AR168" s="12">
        <v>1110000</v>
      </c>
      <c r="AS168" s="12">
        <v>1030000</v>
      </c>
      <c r="AT168" s="1"/>
      <c r="AU168" s="1"/>
      <c r="AV168" s="1"/>
      <c r="AW168" s="1"/>
      <c r="AX168" s="2"/>
      <c r="AY168" s="2"/>
      <c r="AZ168" s="2"/>
      <c r="BA168" s="2"/>
      <c r="BB168" s="2"/>
      <c r="BC168" s="2"/>
      <c r="BD168" s="2"/>
      <c r="BE168" s="2"/>
      <c r="BK168" s="84"/>
      <c r="BL168" s="2"/>
      <c r="BM168" s="2"/>
      <c r="BN168" s="2"/>
      <c r="BO168" s="2"/>
      <c r="BS168" s="11"/>
      <c r="BT168" s="2"/>
      <c r="BU168" s="3"/>
      <c r="BV168" s="3"/>
      <c r="BW168" s="2"/>
      <c r="BX168" s="2"/>
      <c r="BY168" s="2"/>
      <c r="BZ168" s="2"/>
      <c r="CA168" s="46"/>
      <c r="CB168" s="1"/>
      <c r="CC168" s="7"/>
      <c r="CD168" s="1"/>
      <c r="CE168" s="1"/>
      <c r="CF168" s="1"/>
      <c r="CG168" s="1"/>
      <c r="CH168" s="1"/>
      <c r="CI168" s="2"/>
      <c r="CJ168" s="2"/>
      <c r="CK168" s="2"/>
      <c r="CL168" s="2"/>
      <c r="CM168" s="2"/>
      <c r="CN168" s="2"/>
      <c r="CO168" s="2"/>
      <c r="CP168" s="2"/>
      <c r="CQ168" s="2"/>
      <c r="CR168" s="2"/>
      <c r="CS168" s="2"/>
      <c r="CT168" s="2"/>
      <c r="CU168" s="2"/>
      <c r="CV168" s="2"/>
      <c r="CW168" s="2"/>
      <c r="CX168" s="2"/>
      <c r="CY168" s="2"/>
      <c r="CZ168" s="2"/>
    </row>
    <row r="169" spans="43:104" ht="15" hidden="1" customHeight="1" x14ac:dyDescent="0.2">
      <c r="AQ169" s="85"/>
      <c r="AR169" s="12">
        <v>1115000</v>
      </c>
      <c r="AS169" s="12">
        <v>1040000</v>
      </c>
      <c r="AT169" s="1"/>
      <c r="AU169" s="1"/>
      <c r="AV169" s="1"/>
      <c r="AW169" s="1"/>
      <c r="AX169" s="2"/>
      <c r="AY169" s="2"/>
      <c r="AZ169" s="2"/>
      <c r="BA169" s="2"/>
      <c r="BB169" s="2"/>
      <c r="BC169" s="2"/>
      <c r="BD169" s="2"/>
      <c r="BE169" s="2"/>
      <c r="BK169" s="84"/>
      <c r="BL169" s="2"/>
      <c r="BM169" s="2"/>
      <c r="BN169" s="2"/>
      <c r="BO169" s="2"/>
      <c r="BS169" s="11"/>
      <c r="BT169" s="2"/>
      <c r="BU169" s="3"/>
      <c r="BV169" s="3"/>
      <c r="BW169" s="2"/>
      <c r="BX169" s="2"/>
      <c r="BY169" s="2"/>
      <c r="BZ169" s="2"/>
      <c r="CA169" s="2"/>
      <c r="CB169" s="2"/>
      <c r="CC169" s="2"/>
      <c r="CD169" s="1"/>
      <c r="CE169" s="1"/>
      <c r="CF169" s="1"/>
      <c r="CG169" s="1"/>
      <c r="CH169" s="1"/>
      <c r="CI169" s="2"/>
      <c r="CJ169" s="2"/>
      <c r="CK169" s="2"/>
      <c r="CL169" s="2"/>
      <c r="CM169" s="2"/>
      <c r="CN169" s="2"/>
      <c r="CO169" s="2"/>
      <c r="CP169" s="2"/>
      <c r="CQ169" s="2"/>
      <c r="CR169" s="2"/>
      <c r="CS169" s="2"/>
      <c r="CT169" s="2"/>
      <c r="CU169" s="2"/>
      <c r="CV169" s="2"/>
      <c r="CW169" s="2"/>
      <c r="CX169" s="2"/>
      <c r="CY169" s="2"/>
      <c r="CZ169" s="2"/>
    </row>
    <row r="170" spans="43:104" ht="15" hidden="1" customHeight="1" x14ac:dyDescent="0.2">
      <c r="AQ170" s="12"/>
      <c r="AR170" s="12">
        <v>1120000</v>
      </c>
      <c r="AS170" s="12">
        <v>1050000</v>
      </c>
      <c r="AT170" s="1"/>
      <c r="AU170" s="1"/>
      <c r="AV170" s="1"/>
      <c r="AW170" s="1"/>
      <c r="AX170" s="2"/>
      <c r="AY170" s="2"/>
      <c r="AZ170" s="2"/>
      <c r="BA170" s="2"/>
      <c r="BB170" s="2"/>
      <c r="BC170" s="2"/>
      <c r="BD170" s="2"/>
      <c r="BE170" s="2"/>
      <c r="BK170" s="84"/>
      <c r="BL170" s="2"/>
      <c r="BM170" s="2"/>
      <c r="BN170" s="2"/>
      <c r="BO170" s="2"/>
      <c r="BS170" s="11"/>
      <c r="BT170" s="2"/>
      <c r="BU170" s="3"/>
      <c r="BV170" s="3"/>
      <c r="BW170" s="2"/>
      <c r="BX170" s="2"/>
      <c r="BY170" s="2"/>
      <c r="BZ170" s="2"/>
      <c r="CA170" s="2"/>
      <c r="CB170" s="2"/>
      <c r="CC170" s="2"/>
      <c r="CD170" s="1"/>
      <c r="CE170" s="1"/>
      <c r="CF170" s="1"/>
      <c r="CG170" s="1"/>
      <c r="CH170" s="1"/>
      <c r="CI170" s="2"/>
      <c r="CJ170" s="2"/>
      <c r="CK170" s="2"/>
      <c r="CL170" s="2"/>
      <c r="CM170" s="2"/>
      <c r="CN170" s="2"/>
      <c r="CO170" s="2"/>
      <c r="CP170" s="2"/>
      <c r="CQ170" s="2"/>
      <c r="CR170" s="2"/>
      <c r="CS170" s="2"/>
      <c r="CT170" s="2"/>
      <c r="CU170" s="2"/>
      <c r="CV170" s="2"/>
      <c r="CW170" s="2"/>
      <c r="CX170" s="2"/>
      <c r="CY170" s="2"/>
      <c r="CZ170" s="2"/>
    </row>
    <row r="171" spans="43:104" ht="15" hidden="1" customHeight="1" x14ac:dyDescent="0.2">
      <c r="AQ171" s="12"/>
      <c r="AR171" s="12">
        <v>1125000</v>
      </c>
      <c r="AS171" s="12">
        <v>1060000</v>
      </c>
      <c r="AT171" s="1"/>
      <c r="AU171" s="1"/>
      <c r="AV171" s="1"/>
      <c r="AW171" s="1"/>
      <c r="AX171" s="2"/>
      <c r="AY171" s="2"/>
      <c r="AZ171" s="2"/>
      <c r="BA171" s="2"/>
      <c r="BB171" s="2"/>
      <c r="BC171" s="2"/>
      <c r="BD171" s="2"/>
      <c r="BE171" s="2"/>
      <c r="BK171" s="84"/>
      <c r="BL171" s="2"/>
      <c r="BM171" s="2"/>
      <c r="BN171" s="2"/>
      <c r="BO171" s="2"/>
      <c r="BS171" s="11"/>
      <c r="BT171" s="2"/>
      <c r="BU171" s="3"/>
      <c r="BV171" s="3"/>
      <c r="BW171" s="2"/>
      <c r="BX171" s="2"/>
      <c r="BY171" s="2"/>
      <c r="BZ171" s="2"/>
      <c r="CA171" s="2"/>
      <c r="CB171" s="2"/>
      <c r="CC171" s="2"/>
      <c r="CD171" s="1"/>
      <c r="CE171" s="1"/>
      <c r="CF171" s="1"/>
      <c r="CG171" s="1"/>
      <c r="CH171" s="1"/>
      <c r="CI171" s="2"/>
      <c r="CJ171" s="2"/>
      <c r="CK171" s="2"/>
      <c r="CL171" s="2"/>
      <c r="CM171" s="2"/>
      <c r="CN171" s="2"/>
      <c r="CO171" s="2"/>
      <c r="CP171" s="2"/>
      <c r="CQ171" s="2"/>
      <c r="CR171" s="2"/>
      <c r="CS171" s="2"/>
      <c r="CT171" s="2"/>
      <c r="CU171" s="2"/>
      <c r="CV171" s="2"/>
      <c r="CW171" s="2"/>
      <c r="CX171" s="2"/>
      <c r="CY171" s="2"/>
      <c r="CZ171" s="2"/>
    </row>
    <row r="172" spans="43:104" ht="15" hidden="1" customHeight="1" x14ac:dyDescent="0.2">
      <c r="AQ172" s="13"/>
      <c r="AR172" s="12">
        <v>1130000</v>
      </c>
      <c r="AS172" s="12">
        <v>1070000</v>
      </c>
      <c r="AT172" s="1"/>
      <c r="AU172" s="1"/>
      <c r="AV172" s="1"/>
      <c r="AW172" s="1"/>
      <c r="AX172" s="2"/>
      <c r="AY172" s="2"/>
      <c r="AZ172" s="2"/>
      <c r="BA172" s="2"/>
      <c r="BB172" s="2"/>
      <c r="BC172" s="2"/>
      <c r="BD172" s="2"/>
      <c r="BE172" s="2"/>
      <c r="BK172" s="84"/>
      <c r="BL172" s="2"/>
      <c r="BM172" s="2"/>
      <c r="BN172" s="2"/>
      <c r="BO172" s="2"/>
      <c r="BS172" s="11"/>
      <c r="BT172" s="2"/>
      <c r="BU172" s="3"/>
      <c r="BV172" s="3"/>
      <c r="BW172" s="2"/>
      <c r="BX172" s="2"/>
      <c r="BY172" s="2"/>
      <c r="BZ172" s="2"/>
      <c r="CA172" s="2"/>
      <c r="CB172" s="2"/>
      <c r="CC172" s="2"/>
      <c r="CD172" s="1"/>
      <c r="CE172" s="1"/>
      <c r="CF172" s="1"/>
      <c r="CG172" s="1"/>
      <c r="CH172" s="1"/>
      <c r="CI172" s="2"/>
      <c r="CJ172" s="2"/>
      <c r="CK172" s="2"/>
      <c r="CL172" s="2"/>
      <c r="CM172" s="2"/>
      <c r="CN172" s="2"/>
      <c r="CO172" s="2"/>
      <c r="CP172" s="2"/>
      <c r="CQ172" s="2"/>
      <c r="CR172" s="2"/>
      <c r="CS172" s="2"/>
      <c r="CT172" s="2"/>
      <c r="CU172" s="2"/>
      <c r="CV172" s="2"/>
      <c r="CW172" s="2"/>
      <c r="CX172" s="2"/>
      <c r="CY172" s="2"/>
      <c r="CZ172" s="2"/>
    </row>
    <row r="173" spans="43:104" ht="15" hidden="1" customHeight="1" x14ac:dyDescent="0.2">
      <c r="AQ173" s="13"/>
      <c r="AR173" s="12">
        <v>1135000</v>
      </c>
      <c r="AS173" s="12">
        <v>1080000</v>
      </c>
      <c r="AT173" s="1"/>
      <c r="AU173" s="1"/>
      <c r="AV173" s="1"/>
      <c r="AW173" s="1"/>
      <c r="AX173" s="2"/>
      <c r="AY173" s="2"/>
      <c r="AZ173" s="2"/>
      <c r="BA173" s="2"/>
      <c r="BB173" s="2"/>
      <c r="BC173" s="2"/>
      <c r="BD173" s="2"/>
      <c r="BE173" s="2"/>
      <c r="BK173" s="84"/>
      <c r="BL173" s="2"/>
      <c r="BM173" s="2"/>
      <c r="BN173" s="2"/>
      <c r="BO173" s="2"/>
      <c r="BS173" s="11"/>
      <c r="BT173" s="2"/>
      <c r="BU173" s="3"/>
      <c r="BV173" s="3"/>
      <c r="BW173" s="2"/>
      <c r="BX173" s="2"/>
      <c r="BY173" s="2"/>
      <c r="BZ173" s="2"/>
      <c r="CA173" s="2"/>
      <c r="CB173" s="2"/>
      <c r="CC173" s="2"/>
      <c r="CD173" s="1"/>
      <c r="CE173" s="1"/>
      <c r="CF173" s="1"/>
      <c r="CG173" s="1"/>
      <c r="CH173" s="1"/>
      <c r="CI173" s="2"/>
      <c r="CJ173" s="2"/>
      <c r="CK173" s="2"/>
      <c r="CL173" s="2"/>
      <c r="CM173" s="2"/>
      <c r="CN173" s="2"/>
      <c r="CO173" s="2"/>
      <c r="CP173" s="2"/>
      <c r="CQ173" s="2"/>
      <c r="CR173" s="2"/>
      <c r="CS173" s="2"/>
      <c r="CT173" s="2"/>
      <c r="CU173" s="2"/>
      <c r="CV173" s="2"/>
      <c r="CW173" s="2"/>
      <c r="CX173" s="2"/>
      <c r="CY173" s="2"/>
      <c r="CZ173" s="2"/>
    </row>
    <row r="174" spans="43:104" ht="15" hidden="1" customHeight="1" x14ac:dyDescent="0.2">
      <c r="AQ174" s="85"/>
      <c r="AR174" s="12">
        <v>1140000</v>
      </c>
      <c r="AS174" s="12">
        <v>1090000</v>
      </c>
      <c r="AT174" s="1"/>
      <c r="AU174" s="1"/>
      <c r="AV174" s="1"/>
      <c r="AW174" s="1"/>
      <c r="AX174" s="2"/>
      <c r="AY174" s="2"/>
      <c r="AZ174" s="2"/>
      <c r="BA174" s="2"/>
      <c r="BB174" s="2"/>
      <c r="BC174" s="2"/>
      <c r="BD174" s="2"/>
      <c r="BE174" s="2"/>
      <c r="BK174" s="84"/>
      <c r="BL174" s="2"/>
      <c r="BM174" s="2"/>
      <c r="BN174" s="2"/>
      <c r="BO174" s="2"/>
      <c r="BS174" s="11"/>
      <c r="BT174" s="2"/>
      <c r="BU174" s="3"/>
      <c r="BV174" s="3"/>
      <c r="BW174" s="2"/>
      <c r="BX174" s="2"/>
      <c r="BY174" s="2"/>
      <c r="BZ174" s="2"/>
      <c r="CA174" s="2"/>
      <c r="CB174" s="2"/>
      <c r="CC174" s="2"/>
      <c r="CD174" s="1"/>
      <c r="CE174" s="1"/>
      <c r="CF174" s="1"/>
      <c r="CG174" s="1"/>
      <c r="CH174" s="1"/>
      <c r="CI174" s="2"/>
      <c r="CJ174" s="2"/>
      <c r="CK174" s="2"/>
      <c r="CL174" s="2"/>
      <c r="CM174" s="2"/>
      <c r="CN174" s="2"/>
      <c r="CO174" s="2"/>
      <c r="CP174" s="2"/>
      <c r="CQ174" s="2"/>
      <c r="CR174" s="2"/>
      <c r="CS174" s="2"/>
      <c r="CT174" s="2"/>
      <c r="CU174" s="2"/>
      <c r="CV174" s="2"/>
      <c r="CW174" s="2"/>
      <c r="CX174" s="2"/>
      <c r="CY174" s="2"/>
      <c r="CZ174" s="2"/>
    </row>
    <row r="175" spans="43:104" ht="15" hidden="1" customHeight="1" x14ac:dyDescent="0.2">
      <c r="AQ175" s="12"/>
      <c r="AR175" s="12">
        <v>1145000</v>
      </c>
      <c r="AS175" s="12">
        <v>1100000</v>
      </c>
      <c r="AT175" s="1"/>
      <c r="AU175" s="1"/>
      <c r="AV175" s="1"/>
      <c r="AW175" s="1"/>
      <c r="AX175" s="2"/>
      <c r="AY175" s="2"/>
      <c r="AZ175" s="2"/>
      <c r="BA175" s="2"/>
      <c r="BB175" s="2"/>
      <c r="BC175" s="2"/>
      <c r="BD175" s="2"/>
      <c r="BE175" s="2"/>
      <c r="BK175" s="84"/>
      <c r="BL175" s="2"/>
      <c r="BM175" s="2"/>
      <c r="BN175" s="2"/>
      <c r="BO175" s="2"/>
      <c r="BS175" s="11"/>
      <c r="BT175" s="2"/>
      <c r="BU175" s="3"/>
      <c r="BV175" s="3"/>
      <c r="BW175" s="2"/>
      <c r="BX175" s="2"/>
      <c r="BY175" s="2"/>
      <c r="BZ175" s="2"/>
      <c r="CA175" s="46"/>
      <c r="CB175" s="1"/>
      <c r="CC175" s="1"/>
      <c r="CD175" s="1"/>
      <c r="CE175" s="1"/>
      <c r="CF175" s="1"/>
      <c r="CG175" s="1"/>
      <c r="CH175" s="1"/>
      <c r="CI175" s="2"/>
      <c r="CJ175" s="2"/>
      <c r="CK175" s="2"/>
      <c r="CL175" s="2"/>
      <c r="CM175" s="2"/>
      <c r="CN175" s="2"/>
      <c r="CO175" s="2"/>
      <c r="CP175" s="2"/>
      <c r="CQ175" s="2"/>
      <c r="CR175" s="2"/>
      <c r="CS175" s="2"/>
      <c r="CT175" s="2"/>
      <c r="CU175" s="2"/>
      <c r="CV175" s="2"/>
      <c r="CW175" s="2"/>
      <c r="CX175" s="2"/>
      <c r="CY175" s="2"/>
      <c r="CZ175" s="2"/>
    </row>
    <row r="176" spans="43:104" ht="15" hidden="1" customHeight="1" x14ac:dyDescent="0.2">
      <c r="AQ176" s="12"/>
      <c r="AR176" s="12">
        <v>1150000</v>
      </c>
      <c r="AS176" s="12">
        <v>1110000</v>
      </c>
      <c r="AT176" s="1"/>
      <c r="AU176" s="1"/>
      <c r="AV176" s="1"/>
      <c r="AW176" s="1"/>
      <c r="AX176" s="2"/>
      <c r="AY176" s="2"/>
      <c r="AZ176" s="2"/>
      <c r="BA176" s="2"/>
      <c r="BB176" s="2"/>
      <c r="BC176" s="2"/>
      <c r="BD176" s="2"/>
      <c r="BE176" s="2"/>
      <c r="BK176" s="84"/>
      <c r="BL176" s="2"/>
      <c r="BM176" s="2"/>
      <c r="BN176" s="2"/>
      <c r="BO176" s="2"/>
      <c r="BS176" s="11"/>
      <c r="BT176" s="2"/>
      <c r="BU176" s="3"/>
      <c r="BV176" s="3"/>
      <c r="BW176" s="2"/>
      <c r="BX176" s="2"/>
      <c r="BY176" s="2"/>
      <c r="BZ176" s="2"/>
      <c r="CA176" s="46"/>
      <c r="CB176" s="1"/>
      <c r="CC176" s="1"/>
      <c r="CD176" s="1"/>
      <c r="CE176" s="1"/>
      <c r="CF176" s="1"/>
      <c r="CG176" s="1"/>
      <c r="CH176" s="1"/>
      <c r="CI176" s="2"/>
      <c r="CJ176" s="2"/>
      <c r="CK176" s="2"/>
      <c r="CL176" s="2"/>
      <c r="CM176" s="2"/>
      <c r="CN176" s="2"/>
      <c r="CO176" s="2"/>
      <c r="CP176" s="2"/>
      <c r="CQ176" s="2"/>
      <c r="CR176" s="2"/>
      <c r="CS176" s="2"/>
      <c r="CT176" s="2"/>
      <c r="CU176" s="2"/>
      <c r="CV176" s="2"/>
      <c r="CW176" s="2"/>
      <c r="CX176" s="2"/>
      <c r="CY176" s="2"/>
      <c r="CZ176" s="2"/>
    </row>
    <row r="177" spans="43:104" ht="15" hidden="1" customHeight="1" x14ac:dyDescent="0.2">
      <c r="AQ177" s="13"/>
      <c r="AR177" s="12">
        <v>1155000</v>
      </c>
      <c r="AS177" s="12">
        <v>1120000</v>
      </c>
      <c r="AT177" s="2"/>
      <c r="AU177" s="2"/>
      <c r="AV177" s="2"/>
      <c r="AW177" s="2"/>
      <c r="AX177" s="2"/>
      <c r="AY177" s="2"/>
      <c r="AZ177" s="2"/>
      <c r="BA177" s="2"/>
      <c r="BB177" s="2"/>
      <c r="BC177" s="2"/>
      <c r="BD177" s="2"/>
      <c r="BE177" s="2"/>
      <c r="BK177" s="84"/>
      <c r="BL177" s="2"/>
      <c r="BM177" s="2"/>
      <c r="BN177" s="2"/>
      <c r="BO177" s="2"/>
      <c r="BS177" s="11"/>
      <c r="BT177" s="2"/>
      <c r="BU177" s="3"/>
      <c r="BV177" s="3"/>
      <c r="BW177" s="2"/>
      <c r="BX177" s="2"/>
      <c r="BY177" s="2"/>
      <c r="BZ177" s="2"/>
      <c r="CA177" s="46"/>
      <c r="CB177" s="1"/>
      <c r="CC177" s="7"/>
      <c r="CD177" s="1"/>
      <c r="CE177" s="1"/>
      <c r="CF177" s="1"/>
      <c r="CG177" s="1"/>
      <c r="CH177" s="1"/>
      <c r="CI177" s="2"/>
      <c r="CJ177" s="2"/>
      <c r="CK177" s="2"/>
      <c r="CL177" s="2"/>
      <c r="CM177" s="2"/>
      <c r="CN177" s="2"/>
      <c r="CO177" s="2"/>
      <c r="CP177" s="2"/>
      <c r="CQ177" s="2"/>
      <c r="CR177" s="2"/>
      <c r="CS177" s="2"/>
      <c r="CT177" s="2"/>
      <c r="CU177" s="2"/>
      <c r="CV177" s="2"/>
      <c r="CW177" s="2"/>
      <c r="CX177" s="2"/>
      <c r="CY177" s="2"/>
      <c r="CZ177" s="2"/>
    </row>
    <row r="178" spans="43:104" ht="15" hidden="1" customHeight="1" x14ac:dyDescent="0.2">
      <c r="AQ178" s="13"/>
      <c r="AR178" s="12">
        <v>1160000</v>
      </c>
      <c r="AS178" s="12">
        <v>1130000</v>
      </c>
      <c r="AT178" s="2"/>
      <c r="AU178" s="2"/>
      <c r="AV178" s="2"/>
      <c r="AW178" s="2"/>
      <c r="AX178" s="2"/>
      <c r="AY178" s="2"/>
      <c r="AZ178" s="2"/>
      <c r="BA178" s="2"/>
      <c r="BB178" s="2"/>
      <c r="BC178" s="2"/>
      <c r="BD178" s="2"/>
      <c r="BE178" s="2"/>
      <c r="BK178" s="84"/>
      <c r="BL178" s="2"/>
      <c r="BM178" s="2"/>
      <c r="BN178" s="2"/>
      <c r="BO178" s="2"/>
      <c r="BS178" s="11"/>
      <c r="BT178" s="2"/>
      <c r="BU178" s="3"/>
      <c r="BV178" s="3"/>
      <c r="BW178" s="2"/>
      <c r="BX178" s="2"/>
      <c r="BY178" s="2"/>
      <c r="BZ178" s="2"/>
      <c r="CA178" s="2"/>
      <c r="CB178" s="2"/>
      <c r="CC178" s="2"/>
      <c r="CD178" s="1"/>
      <c r="CE178" s="1"/>
      <c r="CF178" s="1"/>
      <c r="CG178" s="1"/>
      <c r="CH178" s="1"/>
      <c r="CI178" s="2"/>
      <c r="CJ178" s="2"/>
      <c r="CK178" s="2"/>
      <c r="CL178" s="2"/>
      <c r="CM178" s="2"/>
      <c r="CN178" s="2"/>
      <c r="CO178" s="2"/>
      <c r="CP178" s="2"/>
      <c r="CQ178" s="2"/>
      <c r="CR178" s="2"/>
      <c r="CS178" s="2"/>
      <c r="CT178" s="2"/>
      <c r="CU178" s="2"/>
      <c r="CV178" s="2"/>
      <c r="CW178" s="2"/>
      <c r="CX178" s="2"/>
      <c r="CY178" s="2"/>
      <c r="CZ178" s="2"/>
    </row>
    <row r="179" spans="43:104" ht="15" hidden="1" customHeight="1" x14ac:dyDescent="0.2">
      <c r="AQ179" s="85"/>
      <c r="AR179" s="12">
        <v>1165000</v>
      </c>
      <c r="AS179" s="12">
        <v>1140000</v>
      </c>
      <c r="AT179" s="2"/>
      <c r="AU179" s="2"/>
      <c r="AV179" s="2"/>
      <c r="AW179" s="2"/>
      <c r="AX179" s="2"/>
      <c r="AY179" s="2"/>
      <c r="AZ179" s="2"/>
      <c r="BA179" s="2"/>
      <c r="BB179" s="2"/>
      <c r="BC179" s="2"/>
      <c r="BD179" s="2"/>
      <c r="BE179" s="2"/>
      <c r="BK179" s="84"/>
      <c r="BL179" s="2"/>
      <c r="BM179" s="2"/>
      <c r="BN179" s="2"/>
      <c r="BO179" s="2"/>
      <c r="BS179" s="11"/>
      <c r="BT179" s="2"/>
      <c r="BU179" s="3"/>
      <c r="BV179" s="3"/>
      <c r="BW179" s="2"/>
      <c r="BX179" s="2"/>
      <c r="BY179" s="2"/>
      <c r="BZ179" s="2"/>
      <c r="CA179" s="2"/>
      <c r="CB179" s="2"/>
      <c r="CC179" s="2"/>
      <c r="CD179" s="1"/>
      <c r="CE179" s="1"/>
      <c r="CF179" s="1"/>
      <c r="CG179" s="1"/>
      <c r="CH179" s="1"/>
      <c r="CI179" s="2"/>
      <c r="CJ179" s="2"/>
      <c r="CK179" s="2"/>
      <c r="CL179" s="2"/>
      <c r="CM179" s="2"/>
      <c r="CN179" s="2"/>
      <c r="CO179" s="2"/>
      <c r="CP179" s="2"/>
      <c r="CQ179" s="2"/>
      <c r="CR179" s="2"/>
      <c r="CS179" s="2"/>
      <c r="CT179" s="2"/>
      <c r="CU179" s="2"/>
      <c r="CV179" s="2"/>
      <c r="CW179" s="2"/>
      <c r="CX179" s="2"/>
      <c r="CY179" s="2"/>
      <c r="CZ179" s="2"/>
    </row>
    <row r="180" spans="43:104" ht="15" hidden="1" customHeight="1" x14ac:dyDescent="0.2">
      <c r="AQ180" s="12"/>
      <c r="AR180" s="12">
        <v>1170000</v>
      </c>
      <c r="AS180" s="12">
        <v>1150000</v>
      </c>
      <c r="AT180" s="2"/>
      <c r="AU180" s="2"/>
      <c r="AV180" s="2"/>
      <c r="AW180" s="2"/>
      <c r="AX180" s="2"/>
      <c r="AY180" s="2"/>
      <c r="AZ180" s="2"/>
      <c r="BA180" s="2"/>
      <c r="BB180" s="2"/>
      <c r="BC180" s="2"/>
      <c r="BD180" s="2"/>
      <c r="BE180" s="2"/>
      <c r="BK180" s="84"/>
      <c r="BL180" s="2"/>
      <c r="BM180" s="2"/>
      <c r="BN180" s="2"/>
      <c r="BO180" s="2"/>
      <c r="BS180" s="11"/>
      <c r="BT180" s="2"/>
      <c r="BU180" s="3"/>
      <c r="BV180" s="3"/>
      <c r="BW180" s="2"/>
      <c r="BX180" s="2"/>
      <c r="BY180" s="2"/>
      <c r="BZ180" s="2"/>
      <c r="CA180" s="2"/>
      <c r="CB180" s="2"/>
      <c r="CC180" s="2"/>
      <c r="CD180" s="1"/>
      <c r="CE180" s="1"/>
      <c r="CF180" s="1"/>
      <c r="CG180" s="1"/>
      <c r="CH180" s="1"/>
      <c r="CI180" s="2"/>
      <c r="CJ180" s="2"/>
      <c r="CK180" s="2"/>
      <c r="CL180" s="2"/>
      <c r="CM180" s="2"/>
      <c r="CN180" s="2"/>
      <c r="CO180" s="2"/>
      <c r="CP180" s="2"/>
      <c r="CQ180" s="2"/>
      <c r="CR180" s="2"/>
      <c r="CS180" s="2"/>
      <c r="CT180" s="2"/>
      <c r="CU180" s="2"/>
      <c r="CV180" s="2"/>
      <c r="CW180" s="2"/>
      <c r="CX180" s="2"/>
      <c r="CY180" s="2"/>
      <c r="CZ180" s="2"/>
    </row>
    <row r="181" spans="43:104" ht="15" hidden="1" customHeight="1" x14ac:dyDescent="0.2">
      <c r="AQ181" s="12"/>
      <c r="AR181" s="12">
        <v>1175000</v>
      </c>
      <c r="AS181" s="12">
        <v>1160000</v>
      </c>
      <c r="AT181" s="2"/>
      <c r="AU181" s="2"/>
      <c r="AV181" s="2"/>
      <c r="AW181" s="2"/>
      <c r="AX181" s="2"/>
      <c r="AY181" s="2"/>
      <c r="AZ181" s="2"/>
      <c r="BA181" s="2"/>
      <c r="BB181" s="2"/>
      <c r="BC181" s="2"/>
      <c r="BD181" s="2"/>
      <c r="BE181" s="2"/>
      <c r="BK181" s="84"/>
      <c r="BL181" s="2"/>
      <c r="BM181" s="2"/>
      <c r="BN181" s="2"/>
      <c r="BO181" s="2"/>
      <c r="BS181" s="11"/>
      <c r="BT181" s="2"/>
      <c r="BU181" s="3"/>
      <c r="BV181" s="3"/>
      <c r="BW181" s="2"/>
      <c r="BX181" s="2"/>
      <c r="BY181" s="2"/>
      <c r="BZ181" s="2"/>
      <c r="CA181" s="2"/>
      <c r="CB181" s="2"/>
      <c r="CC181" s="2"/>
      <c r="CD181" s="1"/>
      <c r="CE181" s="1"/>
      <c r="CF181" s="1"/>
      <c r="CG181" s="1"/>
      <c r="CH181" s="1"/>
      <c r="CI181" s="2"/>
      <c r="CJ181" s="2"/>
      <c r="CK181" s="2"/>
      <c r="CL181" s="2"/>
      <c r="CM181" s="2"/>
      <c r="CN181" s="2"/>
      <c r="CO181" s="2"/>
      <c r="CP181" s="2"/>
      <c r="CQ181" s="2"/>
      <c r="CR181" s="2"/>
      <c r="CS181" s="2"/>
      <c r="CT181" s="2"/>
      <c r="CU181" s="2"/>
      <c r="CV181" s="2"/>
      <c r="CW181" s="2"/>
      <c r="CX181" s="2"/>
      <c r="CY181" s="2"/>
      <c r="CZ181" s="2"/>
    </row>
    <row r="182" spans="43:104" ht="15" hidden="1" customHeight="1" x14ac:dyDescent="0.2">
      <c r="AQ182" s="13"/>
      <c r="AR182" s="12">
        <v>1180000</v>
      </c>
      <c r="AS182" s="12">
        <v>1170000</v>
      </c>
      <c r="AT182" s="2"/>
      <c r="AU182" s="2"/>
      <c r="AV182" s="2"/>
      <c r="AW182" s="2"/>
      <c r="AX182" s="2"/>
      <c r="AY182" s="2"/>
      <c r="AZ182" s="2"/>
      <c r="BA182" s="2"/>
      <c r="BB182" s="2"/>
      <c r="BC182" s="2"/>
      <c r="BD182" s="2"/>
      <c r="BE182" s="2"/>
      <c r="BK182" s="84"/>
      <c r="BL182" s="2"/>
      <c r="BM182" s="2"/>
      <c r="BN182" s="2"/>
      <c r="BO182" s="2"/>
      <c r="BS182" s="11"/>
      <c r="BT182" s="2"/>
      <c r="BU182" s="3"/>
      <c r="BV182" s="3"/>
      <c r="BW182" s="2"/>
      <c r="BX182" s="2"/>
      <c r="BY182" s="2"/>
      <c r="BZ182" s="2"/>
      <c r="CA182" s="46"/>
      <c r="CB182" s="1"/>
      <c r="CC182" s="1"/>
      <c r="CD182" s="1"/>
      <c r="CE182" s="1"/>
      <c r="CF182" s="1"/>
      <c r="CG182" s="1"/>
      <c r="CH182" s="1"/>
      <c r="CI182" s="2"/>
      <c r="CJ182" s="2"/>
      <c r="CK182" s="2"/>
      <c r="CL182" s="2"/>
      <c r="CM182" s="2"/>
      <c r="CN182" s="2"/>
      <c r="CO182" s="2"/>
      <c r="CP182" s="2"/>
      <c r="CQ182" s="2"/>
      <c r="CR182" s="2"/>
      <c r="CS182" s="2"/>
      <c r="CT182" s="2"/>
      <c r="CU182" s="2"/>
      <c r="CV182" s="2"/>
      <c r="CW182" s="2"/>
      <c r="CX182" s="2"/>
      <c r="CY182" s="2"/>
      <c r="CZ182" s="2"/>
    </row>
    <row r="183" spans="43:104" ht="15" hidden="1" customHeight="1" x14ac:dyDescent="0.2">
      <c r="AQ183" s="13"/>
      <c r="AR183" s="12">
        <v>1185000</v>
      </c>
      <c r="AS183" s="12">
        <v>1180000</v>
      </c>
      <c r="AT183" s="2"/>
      <c r="AU183" s="2"/>
      <c r="AV183" s="2"/>
      <c r="AW183" s="2"/>
      <c r="AX183" s="2"/>
      <c r="AY183" s="2"/>
      <c r="AZ183" s="2"/>
      <c r="BA183" s="2"/>
      <c r="BB183" s="2"/>
      <c r="BC183" s="2"/>
      <c r="BD183" s="2"/>
      <c r="BE183" s="2"/>
      <c r="BK183" s="84"/>
      <c r="BL183" s="2"/>
      <c r="BM183" s="2"/>
      <c r="BN183" s="2"/>
      <c r="BO183" s="2"/>
      <c r="BS183" s="11"/>
      <c r="BT183" s="2"/>
      <c r="BU183" s="3"/>
      <c r="BV183" s="3"/>
      <c r="BW183" s="2"/>
      <c r="BX183" s="2"/>
      <c r="BY183" s="2"/>
      <c r="BZ183" s="2"/>
      <c r="CA183" s="2"/>
      <c r="CB183" s="2"/>
      <c r="CC183" s="2"/>
      <c r="CD183" s="1"/>
      <c r="CE183" s="1"/>
      <c r="CF183" s="1"/>
      <c r="CG183" s="1"/>
      <c r="CH183" s="1"/>
      <c r="CI183" s="2"/>
      <c r="CJ183" s="2"/>
      <c r="CK183" s="2"/>
      <c r="CL183" s="2"/>
      <c r="CM183" s="2"/>
      <c r="CN183" s="2"/>
      <c r="CO183" s="2"/>
      <c r="CP183" s="2"/>
      <c r="CQ183" s="2"/>
      <c r="CR183" s="2"/>
      <c r="CS183" s="2"/>
      <c r="CT183" s="2"/>
      <c r="CU183" s="2"/>
      <c r="CV183" s="2"/>
      <c r="CW183" s="2"/>
      <c r="CX183" s="2"/>
      <c r="CY183" s="2"/>
      <c r="CZ183" s="2"/>
    </row>
    <row r="184" spans="43:104" ht="15" hidden="1" customHeight="1" x14ac:dyDescent="0.2">
      <c r="AQ184" s="85"/>
      <c r="AR184" s="12">
        <v>1190000</v>
      </c>
      <c r="AS184" s="12">
        <v>1190000</v>
      </c>
      <c r="AT184" s="2"/>
      <c r="AU184" s="2"/>
      <c r="AV184" s="2"/>
      <c r="AW184" s="2"/>
      <c r="AX184" s="2"/>
      <c r="AY184" s="2"/>
      <c r="AZ184" s="2"/>
      <c r="BA184" s="2"/>
      <c r="BB184" s="2"/>
      <c r="BC184" s="2"/>
      <c r="BD184" s="2"/>
      <c r="BE184" s="2"/>
      <c r="BK184" s="84"/>
      <c r="BL184" s="2"/>
      <c r="BM184" s="2"/>
      <c r="BN184" s="2"/>
      <c r="BO184" s="2"/>
      <c r="BS184" s="11"/>
      <c r="BT184" s="2"/>
      <c r="BU184" s="3"/>
      <c r="BV184" s="3"/>
      <c r="BW184" s="2"/>
      <c r="BX184" s="2"/>
      <c r="BY184" s="2"/>
      <c r="BZ184" s="2"/>
      <c r="CA184" s="2"/>
      <c r="CB184" s="2"/>
      <c r="CC184" s="2"/>
      <c r="CD184" s="1"/>
      <c r="CE184" s="1"/>
      <c r="CF184" s="1"/>
      <c r="CG184" s="1"/>
      <c r="CH184" s="1"/>
      <c r="CI184" s="2"/>
      <c r="CJ184" s="2"/>
      <c r="CK184" s="2"/>
      <c r="CL184" s="2"/>
      <c r="CM184" s="2"/>
      <c r="CN184" s="2"/>
      <c r="CO184" s="2"/>
      <c r="CP184" s="2"/>
      <c r="CQ184" s="2"/>
      <c r="CR184" s="2"/>
      <c r="CS184" s="2"/>
      <c r="CT184" s="2"/>
      <c r="CU184" s="2"/>
      <c r="CV184" s="2"/>
      <c r="CW184" s="2"/>
      <c r="CX184" s="2"/>
      <c r="CY184" s="2"/>
      <c r="CZ184" s="2"/>
    </row>
    <row r="185" spans="43:104" ht="15" hidden="1" customHeight="1" x14ac:dyDescent="0.2">
      <c r="AQ185" s="12"/>
      <c r="AR185" s="12">
        <v>1195000</v>
      </c>
      <c r="AS185" s="12">
        <v>1200000</v>
      </c>
      <c r="AT185" s="2"/>
      <c r="AU185" s="2"/>
      <c r="AV185" s="2"/>
      <c r="AW185" s="2"/>
      <c r="AX185" s="2"/>
      <c r="AY185" s="2"/>
      <c r="AZ185" s="2"/>
      <c r="BA185" s="2"/>
      <c r="BB185" s="2"/>
      <c r="BC185" s="2"/>
      <c r="BD185" s="2"/>
      <c r="BE185" s="2"/>
      <c r="BK185" s="84"/>
      <c r="BL185" s="2"/>
      <c r="BM185" s="2"/>
      <c r="BN185" s="2"/>
      <c r="BO185" s="2"/>
      <c r="BS185" s="11"/>
      <c r="BT185" s="2"/>
      <c r="BU185" s="3"/>
      <c r="BV185" s="3"/>
      <c r="BW185" s="2"/>
      <c r="BX185" s="2"/>
      <c r="BY185" s="2"/>
      <c r="BZ185" s="2"/>
      <c r="CA185" s="2"/>
      <c r="CB185" s="2"/>
      <c r="CC185" s="2"/>
      <c r="CD185" s="1"/>
      <c r="CE185" s="1"/>
      <c r="CF185" s="1"/>
      <c r="CG185" s="1"/>
      <c r="CH185" s="1"/>
      <c r="CI185" s="2"/>
      <c r="CJ185" s="2"/>
      <c r="CK185" s="2"/>
      <c r="CL185" s="2"/>
      <c r="CM185" s="2"/>
      <c r="CN185" s="2"/>
      <c r="CO185" s="2"/>
      <c r="CP185" s="2"/>
      <c r="CQ185" s="2"/>
      <c r="CR185" s="2"/>
      <c r="CS185" s="2"/>
      <c r="CT185" s="2"/>
      <c r="CU185" s="2"/>
      <c r="CV185" s="2"/>
      <c r="CW185" s="2"/>
      <c r="CX185" s="2"/>
      <c r="CY185" s="2"/>
      <c r="CZ185" s="2"/>
    </row>
    <row r="186" spans="43:104" ht="15" hidden="1" customHeight="1" x14ac:dyDescent="0.2">
      <c r="AQ186" s="12"/>
      <c r="AR186" s="12">
        <v>1200000</v>
      </c>
      <c r="AS186" s="12">
        <v>1210000</v>
      </c>
      <c r="AT186" s="2"/>
      <c r="AU186" s="2"/>
      <c r="AV186" s="2"/>
      <c r="AW186" s="2"/>
      <c r="AX186" s="2"/>
      <c r="AY186" s="2"/>
      <c r="AZ186" s="2"/>
      <c r="BA186" s="2"/>
      <c r="BB186" s="2"/>
      <c r="BC186" s="2"/>
      <c r="BD186" s="2"/>
      <c r="BE186" s="2"/>
      <c r="BK186" s="84"/>
      <c r="BL186" s="2"/>
      <c r="BM186" s="2"/>
      <c r="BN186" s="2"/>
      <c r="BO186" s="2"/>
      <c r="BS186" s="11"/>
      <c r="BT186" s="2"/>
      <c r="BU186" s="3"/>
      <c r="BV186" s="3"/>
      <c r="BW186" s="2"/>
      <c r="BX186" s="2"/>
      <c r="BY186" s="2"/>
      <c r="BZ186" s="2"/>
      <c r="CA186" s="46"/>
      <c r="CB186" s="1"/>
      <c r="CC186" s="1"/>
      <c r="CD186" s="1"/>
      <c r="CE186" s="1"/>
      <c r="CF186" s="1"/>
      <c r="CG186" s="1"/>
      <c r="CH186" s="1"/>
      <c r="CI186" s="2"/>
      <c r="CJ186" s="2"/>
      <c r="CK186" s="2"/>
      <c r="CL186" s="2"/>
      <c r="CM186" s="2"/>
      <c r="CN186" s="2"/>
      <c r="CO186" s="2"/>
      <c r="CP186" s="2"/>
      <c r="CQ186" s="2"/>
      <c r="CR186" s="2"/>
      <c r="CS186" s="2"/>
      <c r="CT186" s="2"/>
      <c r="CU186" s="2"/>
      <c r="CV186" s="2"/>
      <c r="CW186" s="2"/>
      <c r="CX186" s="2"/>
      <c r="CY186" s="2"/>
      <c r="CZ186" s="2"/>
    </row>
    <row r="187" spans="43:104" ht="15" hidden="1" customHeight="1" x14ac:dyDescent="0.2">
      <c r="AQ187" s="13"/>
      <c r="AR187" s="12">
        <v>1205000</v>
      </c>
      <c r="AS187" s="12">
        <v>1220000</v>
      </c>
      <c r="AT187" s="2"/>
      <c r="AU187" s="2"/>
      <c r="AV187" s="2"/>
      <c r="AW187" s="2"/>
      <c r="AX187" s="2"/>
      <c r="AY187" s="2"/>
      <c r="AZ187" s="2"/>
      <c r="BA187" s="2"/>
      <c r="BB187" s="2"/>
      <c r="BC187" s="2"/>
      <c r="BD187" s="2"/>
      <c r="BE187" s="2"/>
      <c r="BK187" s="84"/>
      <c r="BL187" s="2"/>
      <c r="BM187" s="2"/>
      <c r="BN187" s="2"/>
      <c r="BO187" s="2"/>
      <c r="BS187" s="11"/>
      <c r="BT187" s="2"/>
      <c r="BU187" s="3"/>
      <c r="BV187" s="3"/>
      <c r="BW187" s="2"/>
      <c r="BX187" s="2"/>
      <c r="BY187" s="2"/>
      <c r="BZ187" s="2"/>
      <c r="CA187" s="46"/>
      <c r="CB187" s="1"/>
      <c r="CC187" s="1"/>
      <c r="CD187" s="1"/>
      <c r="CE187" s="1"/>
      <c r="CF187" s="1"/>
      <c r="CG187" s="1"/>
      <c r="CH187" s="1"/>
      <c r="CI187" s="2"/>
      <c r="CJ187" s="2"/>
      <c r="CK187" s="2"/>
      <c r="CL187" s="2"/>
      <c r="CM187" s="2"/>
      <c r="CN187" s="2"/>
      <c r="CO187" s="2"/>
      <c r="CP187" s="2"/>
      <c r="CQ187" s="2"/>
      <c r="CR187" s="2"/>
      <c r="CS187" s="2"/>
      <c r="CT187" s="2"/>
      <c r="CU187" s="2"/>
      <c r="CV187" s="2"/>
      <c r="CW187" s="2"/>
      <c r="CX187" s="2"/>
      <c r="CY187" s="2"/>
      <c r="CZ187" s="2"/>
    </row>
    <row r="188" spans="43:104" ht="15" hidden="1" customHeight="1" x14ac:dyDescent="0.2">
      <c r="AQ188" s="13"/>
      <c r="AR188" s="12">
        <v>1210000</v>
      </c>
      <c r="AS188" s="12">
        <v>1230000</v>
      </c>
      <c r="AT188" s="2"/>
      <c r="AU188" s="2"/>
      <c r="AV188" s="2"/>
      <c r="AW188" s="2"/>
      <c r="AX188" s="2"/>
      <c r="AY188" s="2"/>
      <c r="AZ188" s="2"/>
      <c r="BA188" s="2"/>
      <c r="BB188" s="2"/>
      <c r="BC188" s="2"/>
      <c r="BD188" s="2"/>
      <c r="BE188" s="2"/>
      <c r="BK188" s="84"/>
      <c r="BL188" s="2"/>
      <c r="BM188" s="2"/>
      <c r="BN188" s="2"/>
      <c r="BO188" s="2"/>
      <c r="BS188" s="11"/>
      <c r="BT188" s="2"/>
      <c r="BU188" s="3"/>
      <c r="BV188" s="3"/>
      <c r="BW188" s="2"/>
      <c r="BX188" s="2"/>
      <c r="BY188" s="2"/>
      <c r="BZ188" s="2"/>
      <c r="CA188" s="46"/>
      <c r="CB188" s="1"/>
      <c r="CC188" s="1"/>
      <c r="CD188" s="1"/>
      <c r="CE188" s="1"/>
      <c r="CF188" s="1"/>
      <c r="CG188" s="1"/>
      <c r="CH188" s="1"/>
      <c r="CI188" s="2"/>
      <c r="CJ188" s="2"/>
      <c r="CK188" s="2"/>
      <c r="CL188" s="2"/>
      <c r="CM188" s="2"/>
      <c r="CN188" s="2"/>
      <c r="CO188" s="2"/>
      <c r="CP188" s="2"/>
      <c r="CQ188" s="2"/>
      <c r="CR188" s="2"/>
      <c r="CS188" s="2"/>
      <c r="CT188" s="2"/>
      <c r="CU188" s="2"/>
      <c r="CV188" s="2"/>
      <c r="CW188" s="2"/>
      <c r="CX188" s="2"/>
      <c r="CY188" s="2"/>
      <c r="CZ188" s="2"/>
    </row>
    <row r="189" spans="43:104" ht="15" hidden="1" customHeight="1" x14ac:dyDescent="0.2">
      <c r="AQ189" s="85"/>
      <c r="AR189" s="12">
        <v>1215000</v>
      </c>
      <c r="AS189" s="12">
        <v>1240000</v>
      </c>
      <c r="AT189" s="2"/>
      <c r="AU189" s="2"/>
      <c r="AV189" s="2"/>
      <c r="AW189" s="2"/>
      <c r="AX189" s="2"/>
      <c r="AY189" s="2"/>
      <c r="AZ189" s="2"/>
      <c r="BA189" s="2"/>
      <c r="BB189" s="2"/>
      <c r="BC189" s="2"/>
      <c r="BD189" s="2"/>
      <c r="BE189" s="2"/>
      <c r="BK189" s="84"/>
      <c r="BL189" s="2"/>
      <c r="BM189" s="2"/>
      <c r="BN189" s="2"/>
      <c r="BO189" s="2"/>
      <c r="BS189" s="11"/>
      <c r="BT189" s="2"/>
      <c r="BU189" s="3"/>
      <c r="BV189" s="3"/>
      <c r="BW189" s="2"/>
      <c r="BX189" s="2"/>
      <c r="BY189" s="2"/>
      <c r="BZ189" s="2"/>
      <c r="CA189" s="46"/>
      <c r="CB189" s="1"/>
      <c r="CC189" s="1"/>
      <c r="CD189" s="1"/>
      <c r="CE189" s="1"/>
      <c r="CF189" s="1"/>
      <c r="CG189" s="1"/>
      <c r="CH189" s="1"/>
      <c r="CI189" s="2"/>
      <c r="CJ189" s="2"/>
      <c r="CK189" s="2"/>
      <c r="CL189" s="2"/>
      <c r="CM189" s="2"/>
      <c r="CN189" s="2"/>
      <c r="CO189" s="2"/>
      <c r="CP189" s="2"/>
      <c r="CQ189" s="2"/>
      <c r="CR189" s="2"/>
      <c r="CS189" s="2"/>
      <c r="CT189" s="2"/>
      <c r="CU189" s="2"/>
      <c r="CV189" s="2"/>
      <c r="CW189" s="2"/>
      <c r="CX189" s="2"/>
      <c r="CY189" s="2"/>
      <c r="CZ189" s="2"/>
    </row>
    <row r="190" spans="43:104" ht="15" hidden="1" customHeight="1" x14ac:dyDescent="0.2">
      <c r="AQ190" s="12"/>
      <c r="AR190" s="12">
        <v>1220000</v>
      </c>
      <c r="AS190" s="12">
        <v>1250000</v>
      </c>
      <c r="AT190" s="2"/>
      <c r="AU190" s="2"/>
      <c r="AV190" s="2"/>
      <c r="AW190" s="2"/>
      <c r="AX190" s="2"/>
      <c r="AY190" s="2"/>
      <c r="AZ190" s="2"/>
      <c r="BA190" s="2"/>
      <c r="BB190" s="2"/>
      <c r="BC190" s="2"/>
      <c r="BD190" s="2"/>
      <c r="BE190" s="2"/>
      <c r="BK190" s="84"/>
      <c r="BL190" s="2"/>
      <c r="BM190" s="2"/>
      <c r="BN190" s="2"/>
      <c r="BO190" s="2"/>
      <c r="BS190" s="11"/>
      <c r="BT190" s="2"/>
      <c r="BU190" s="3"/>
      <c r="BV190" s="3"/>
      <c r="BW190" s="2"/>
      <c r="BX190" s="2"/>
      <c r="BY190" s="2"/>
      <c r="BZ190" s="2"/>
      <c r="CA190" s="46"/>
      <c r="CB190" s="1"/>
      <c r="CC190" s="1"/>
      <c r="CD190" s="1"/>
      <c r="CE190" s="1"/>
      <c r="CF190" s="1"/>
      <c r="CG190" s="1"/>
      <c r="CH190" s="1"/>
      <c r="CI190" s="2"/>
      <c r="CJ190" s="2"/>
      <c r="CK190" s="2"/>
      <c r="CL190" s="2"/>
      <c r="CM190" s="2"/>
      <c r="CN190" s="2"/>
      <c r="CO190" s="2"/>
      <c r="CP190" s="2"/>
      <c r="CQ190" s="2"/>
      <c r="CR190" s="2"/>
      <c r="CS190" s="2"/>
      <c r="CT190" s="2"/>
      <c r="CU190" s="2"/>
      <c r="CV190" s="2"/>
      <c r="CW190" s="2"/>
      <c r="CX190" s="2"/>
      <c r="CY190" s="2"/>
      <c r="CZ190" s="2"/>
    </row>
    <row r="191" spans="43:104" ht="15" hidden="1" customHeight="1" x14ac:dyDescent="0.2">
      <c r="AQ191" s="12"/>
      <c r="AR191" s="12">
        <v>1225000</v>
      </c>
      <c r="AS191" s="12">
        <v>1260000</v>
      </c>
      <c r="AT191" s="2"/>
      <c r="AU191" s="2"/>
      <c r="AV191" s="2"/>
      <c r="AW191" s="2"/>
      <c r="AX191" s="2"/>
      <c r="AY191" s="2"/>
      <c r="AZ191" s="2"/>
      <c r="BA191" s="2"/>
      <c r="BB191" s="2"/>
      <c r="BC191" s="2"/>
      <c r="BD191" s="2"/>
      <c r="BE191" s="2"/>
      <c r="BK191" s="84"/>
      <c r="BL191" s="2"/>
      <c r="BM191" s="2"/>
      <c r="BN191" s="2"/>
      <c r="BO191" s="2"/>
      <c r="BS191" s="11"/>
      <c r="BT191" s="2"/>
      <c r="BU191" s="3"/>
      <c r="BV191" s="3"/>
      <c r="BW191" s="2"/>
      <c r="BX191" s="2"/>
      <c r="BY191" s="2"/>
      <c r="BZ191" s="2"/>
      <c r="CA191" s="46"/>
      <c r="CB191" s="1"/>
      <c r="CC191" s="1"/>
      <c r="CD191" s="1"/>
      <c r="CE191" s="1"/>
      <c r="CF191" s="1"/>
      <c r="CG191" s="1"/>
      <c r="CH191" s="1"/>
      <c r="CI191" s="2"/>
      <c r="CJ191" s="2"/>
      <c r="CK191" s="2"/>
      <c r="CL191" s="2"/>
      <c r="CM191" s="2"/>
      <c r="CN191" s="2"/>
      <c r="CO191" s="2"/>
      <c r="CP191" s="2"/>
      <c r="CQ191" s="2"/>
      <c r="CR191" s="2"/>
      <c r="CS191" s="2"/>
      <c r="CT191" s="2"/>
      <c r="CU191" s="2"/>
      <c r="CV191" s="2"/>
      <c r="CW191" s="2"/>
      <c r="CX191" s="2"/>
      <c r="CY191" s="2"/>
      <c r="CZ191" s="2"/>
    </row>
    <row r="192" spans="43:104" ht="15" hidden="1" customHeight="1" x14ac:dyDescent="0.2">
      <c r="AQ192" s="13"/>
      <c r="AR192" s="12">
        <v>1230000</v>
      </c>
      <c r="AS192" s="12">
        <v>1270000</v>
      </c>
      <c r="AT192" s="2"/>
      <c r="AU192" s="2"/>
      <c r="AV192" s="2"/>
      <c r="AW192" s="2"/>
      <c r="AX192" s="2"/>
      <c r="AY192" s="2"/>
      <c r="AZ192" s="2"/>
      <c r="BA192" s="2"/>
      <c r="BB192" s="2"/>
      <c r="BC192" s="2"/>
      <c r="BD192" s="2"/>
      <c r="BE192" s="2"/>
      <c r="BK192" s="84"/>
      <c r="BL192" s="2"/>
      <c r="BM192" s="2"/>
      <c r="BN192" s="2"/>
      <c r="BO192" s="2"/>
      <c r="BS192" s="11"/>
      <c r="BT192" s="2"/>
      <c r="BU192" s="3"/>
      <c r="BV192" s="3"/>
      <c r="BW192" s="2"/>
      <c r="BX192" s="2"/>
      <c r="BY192" s="2"/>
      <c r="BZ192" s="2"/>
      <c r="CA192" s="46"/>
      <c r="CB192" s="1"/>
      <c r="CC192" s="7"/>
      <c r="CD192" s="1"/>
      <c r="CE192" s="1"/>
      <c r="CF192" s="1"/>
      <c r="CG192" s="1"/>
      <c r="CH192" s="1"/>
      <c r="CI192" s="2"/>
      <c r="CJ192" s="2"/>
      <c r="CK192" s="2"/>
      <c r="CL192" s="2"/>
      <c r="CM192" s="2"/>
      <c r="CN192" s="2"/>
      <c r="CO192" s="2"/>
      <c r="CP192" s="2"/>
      <c r="CQ192" s="2"/>
      <c r="CR192" s="2"/>
      <c r="CS192" s="2"/>
      <c r="CT192" s="2"/>
      <c r="CU192" s="2"/>
      <c r="CV192" s="2"/>
      <c r="CW192" s="2"/>
      <c r="CX192" s="2"/>
      <c r="CY192" s="2"/>
      <c r="CZ192" s="2"/>
    </row>
    <row r="193" spans="43:104" ht="15" hidden="1" customHeight="1" x14ac:dyDescent="0.2">
      <c r="AQ193" s="13"/>
      <c r="AR193" s="12">
        <v>1235000</v>
      </c>
      <c r="AS193" s="12">
        <v>1280000</v>
      </c>
      <c r="AT193" s="2"/>
      <c r="AU193" s="2"/>
      <c r="AV193" s="2"/>
      <c r="AW193" s="2"/>
      <c r="AX193" s="2"/>
      <c r="AY193" s="2"/>
      <c r="AZ193" s="2"/>
      <c r="BA193" s="2"/>
      <c r="BB193" s="2"/>
      <c r="BC193" s="2"/>
      <c r="BD193" s="2"/>
      <c r="BE193" s="2"/>
      <c r="BK193" s="84"/>
      <c r="BL193" s="2"/>
      <c r="BM193" s="2"/>
      <c r="BN193" s="2"/>
      <c r="BO193" s="2"/>
      <c r="BS193" s="11"/>
      <c r="BT193" s="2"/>
      <c r="BU193" s="3"/>
      <c r="BV193" s="3"/>
      <c r="BW193" s="2"/>
      <c r="BX193" s="2"/>
      <c r="BY193" s="2"/>
      <c r="BZ193" s="2"/>
      <c r="CA193" s="2"/>
      <c r="CB193" s="2"/>
      <c r="CC193" s="2"/>
      <c r="CD193" s="1"/>
      <c r="CE193" s="1"/>
      <c r="CF193" s="1"/>
      <c r="CG193" s="1"/>
      <c r="CH193" s="1"/>
      <c r="CI193" s="2"/>
      <c r="CJ193" s="2"/>
      <c r="CK193" s="2"/>
      <c r="CL193" s="2"/>
      <c r="CM193" s="2"/>
      <c r="CN193" s="2"/>
      <c r="CO193" s="2"/>
      <c r="CP193" s="2"/>
      <c r="CQ193" s="2"/>
      <c r="CR193" s="2"/>
      <c r="CS193" s="2"/>
      <c r="CT193" s="2"/>
      <c r="CU193" s="2"/>
      <c r="CV193" s="2"/>
      <c r="CW193" s="2"/>
      <c r="CX193" s="2"/>
      <c r="CY193" s="2"/>
      <c r="CZ193" s="2"/>
    </row>
    <row r="194" spans="43:104" ht="15" hidden="1" customHeight="1" x14ac:dyDescent="0.2">
      <c r="AQ194" s="85"/>
      <c r="AR194" s="12">
        <v>1240000</v>
      </c>
      <c r="AS194" s="12">
        <v>1290000</v>
      </c>
      <c r="AT194" s="2"/>
      <c r="AU194" s="2"/>
      <c r="AV194" s="2"/>
      <c r="AW194" s="2"/>
      <c r="AX194" s="2"/>
      <c r="AY194" s="2"/>
      <c r="AZ194" s="2"/>
      <c r="BA194" s="2"/>
      <c r="BB194" s="2"/>
      <c r="BC194" s="2"/>
      <c r="BD194" s="2"/>
      <c r="BE194" s="2"/>
      <c r="BK194" s="84"/>
      <c r="BL194" s="2"/>
      <c r="BM194" s="2"/>
      <c r="BN194" s="2"/>
      <c r="BO194" s="2"/>
      <c r="BS194" s="11"/>
      <c r="BT194" s="2"/>
      <c r="BU194" s="3"/>
      <c r="BV194" s="3"/>
      <c r="BW194" s="2"/>
      <c r="BX194" s="2"/>
      <c r="BY194" s="2"/>
      <c r="BZ194" s="2"/>
      <c r="CA194" s="2"/>
      <c r="CB194" s="2"/>
      <c r="CC194" s="2"/>
      <c r="CD194" s="1"/>
      <c r="CE194" s="1"/>
      <c r="CF194" s="1"/>
      <c r="CG194" s="1"/>
      <c r="CH194" s="1"/>
      <c r="CI194" s="2"/>
      <c r="CJ194" s="2"/>
      <c r="CK194" s="2"/>
      <c r="CL194" s="2"/>
      <c r="CM194" s="2"/>
      <c r="CN194" s="2"/>
      <c r="CO194" s="2"/>
      <c r="CP194" s="2"/>
      <c r="CQ194" s="2"/>
      <c r="CR194" s="2"/>
      <c r="CS194" s="2"/>
      <c r="CT194" s="2"/>
      <c r="CU194" s="2"/>
      <c r="CV194" s="2"/>
      <c r="CW194" s="2"/>
      <c r="CX194" s="2"/>
      <c r="CY194" s="2"/>
      <c r="CZ194" s="2"/>
    </row>
    <row r="195" spans="43:104" ht="15" hidden="1" customHeight="1" x14ac:dyDescent="0.2">
      <c r="AQ195" s="12"/>
      <c r="AR195" s="12">
        <v>1245000</v>
      </c>
      <c r="AS195" s="12">
        <v>1300000</v>
      </c>
      <c r="AT195" s="2"/>
      <c r="AU195" s="2"/>
      <c r="AV195" s="2"/>
      <c r="AW195" s="2"/>
      <c r="AX195" s="2"/>
      <c r="AY195" s="2"/>
      <c r="AZ195" s="2"/>
      <c r="BA195" s="2"/>
      <c r="BB195" s="2"/>
      <c r="BC195" s="2"/>
      <c r="BD195" s="2"/>
      <c r="BE195" s="2"/>
      <c r="BK195" s="84"/>
      <c r="BL195" s="2"/>
      <c r="BM195" s="2"/>
      <c r="BN195" s="2"/>
      <c r="BO195" s="2"/>
      <c r="BS195" s="11"/>
      <c r="BT195" s="2"/>
      <c r="BU195" s="3"/>
      <c r="BV195" s="3"/>
      <c r="BW195" s="2"/>
      <c r="BX195" s="2"/>
      <c r="BY195" s="2"/>
      <c r="BZ195" s="2"/>
      <c r="CA195" s="2"/>
      <c r="CB195" s="2"/>
      <c r="CC195" s="2"/>
      <c r="CD195" s="1"/>
      <c r="CE195" s="1"/>
      <c r="CF195" s="1"/>
      <c r="CG195" s="1"/>
      <c r="CH195" s="1"/>
      <c r="CI195" s="2"/>
      <c r="CJ195" s="2"/>
      <c r="CK195" s="2"/>
      <c r="CL195" s="2"/>
      <c r="CM195" s="2"/>
      <c r="CN195" s="2"/>
      <c r="CO195" s="2"/>
      <c r="CP195" s="2"/>
      <c r="CQ195" s="2"/>
      <c r="CR195" s="2"/>
      <c r="CS195" s="2"/>
      <c r="CT195" s="2"/>
      <c r="CU195" s="2"/>
      <c r="CV195" s="2"/>
      <c r="CW195" s="2"/>
      <c r="CX195" s="2"/>
      <c r="CY195" s="2"/>
      <c r="CZ195" s="2"/>
    </row>
    <row r="196" spans="43:104" ht="15" hidden="1" customHeight="1" x14ac:dyDescent="0.2">
      <c r="AQ196" s="12"/>
      <c r="AR196" s="12">
        <v>1250000</v>
      </c>
      <c r="AS196" s="12">
        <v>1310000</v>
      </c>
      <c r="AT196" s="2"/>
      <c r="AU196" s="2"/>
      <c r="AV196" s="2"/>
      <c r="AW196" s="2"/>
      <c r="AX196" s="2"/>
      <c r="AY196" s="2"/>
      <c r="AZ196" s="2"/>
      <c r="BA196" s="2"/>
      <c r="BB196" s="2"/>
      <c r="BC196" s="2"/>
      <c r="BD196" s="2"/>
      <c r="BE196" s="2"/>
      <c r="BK196" s="84"/>
      <c r="BL196" s="2"/>
      <c r="BM196" s="2"/>
      <c r="BN196" s="2"/>
      <c r="BO196" s="2"/>
      <c r="BS196" s="11"/>
      <c r="BT196" s="2"/>
      <c r="BU196" s="3"/>
      <c r="BV196" s="3"/>
      <c r="BW196" s="2"/>
      <c r="BX196" s="2"/>
      <c r="BY196" s="2"/>
      <c r="BZ196" s="2"/>
      <c r="CA196" s="2"/>
      <c r="CB196" s="2"/>
      <c r="CC196" s="2"/>
      <c r="CD196" s="1"/>
      <c r="CE196" s="1"/>
      <c r="CF196" s="1"/>
      <c r="CG196" s="1"/>
      <c r="CH196" s="1"/>
      <c r="CI196" s="2"/>
      <c r="CJ196" s="2"/>
      <c r="CK196" s="2"/>
      <c r="CL196" s="2"/>
      <c r="CM196" s="2"/>
      <c r="CN196" s="2"/>
      <c r="CO196" s="2"/>
      <c r="CP196" s="2"/>
      <c r="CQ196" s="2"/>
      <c r="CR196" s="2"/>
      <c r="CS196" s="2"/>
      <c r="CT196" s="2"/>
      <c r="CU196" s="2"/>
      <c r="CV196" s="2"/>
      <c r="CW196" s="2"/>
      <c r="CX196" s="2"/>
      <c r="CY196" s="2"/>
      <c r="CZ196" s="2"/>
    </row>
    <row r="197" spans="43:104" ht="15" hidden="1" customHeight="1" x14ac:dyDescent="0.2">
      <c r="AQ197" s="13"/>
      <c r="AR197" s="12">
        <v>1255000</v>
      </c>
      <c r="AS197" s="12">
        <v>1320000</v>
      </c>
      <c r="AT197" s="2"/>
      <c r="AU197" s="2"/>
      <c r="AV197" s="2"/>
      <c r="AW197" s="2"/>
      <c r="AX197" s="2"/>
      <c r="AY197" s="2"/>
      <c r="AZ197" s="2"/>
      <c r="BA197" s="2"/>
      <c r="BB197" s="2"/>
      <c r="BC197" s="2"/>
      <c r="BD197" s="2"/>
      <c r="BE197" s="2"/>
      <c r="BK197" s="84"/>
      <c r="BL197" s="2"/>
      <c r="BM197" s="2"/>
      <c r="BN197" s="2"/>
      <c r="BO197" s="2"/>
      <c r="BS197" s="11"/>
      <c r="BT197" s="2"/>
      <c r="BU197" s="2"/>
      <c r="BV197" s="3"/>
      <c r="BW197" s="2"/>
      <c r="BX197" s="2"/>
      <c r="BY197" s="2"/>
      <c r="BZ197" s="46"/>
      <c r="CA197" s="1"/>
      <c r="CB197" s="1"/>
      <c r="CC197" s="1"/>
      <c r="CD197" s="1"/>
      <c r="CE197" s="1"/>
      <c r="CF197" s="1"/>
      <c r="CG197" s="1"/>
      <c r="CH197" s="1"/>
      <c r="CI197" s="2"/>
      <c r="CJ197" s="2"/>
      <c r="CK197" s="2"/>
      <c r="CL197" s="2"/>
      <c r="CM197" s="2"/>
      <c r="CN197" s="2"/>
      <c r="CO197" s="2"/>
      <c r="CP197" s="2"/>
      <c r="CQ197" s="2"/>
      <c r="CR197" s="2"/>
      <c r="CS197" s="2"/>
      <c r="CT197" s="2"/>
      <c r="CU197" s="2"/>
      <c r="CV197" s="2"/>
      <c r="CW197" s="2"/>
      <c r="CX197" s="2"/>
      <c r="CY197" s="2"/>
      <c r="CZ197" s="2"/>
    </row>
    <row r="198" spans="43:104" ht="15" hidden="1" customHeight="1" x14ac:dyDescent="0.2">
      <c r="AQ198" s="13"/>
      <c r="AR198" s="12">
        <v>1260000</v>
      </c>
      <c r="AS198" s="12">
        <v>1330000</v>
      </c>
      <c r="AT198" s="2"/>
      <c r="AU198" s="2"/>
      <c r="AV198" s="2"/>
      <c r="AW198" s="2"/>
      <c r="AX198" s="2"/>
      <c r="AY198" s="2"/>
      <c r="AZ198" s="2"/>
      <c r="BA198" s="2"/>
      <c r="BB198" s="2"/>
      <c r="BC198" s="2"/>
      <c r="BD198" s="2"/>
      <c r="BE198" s="2"/>
      <c r="BK198" s="84"/>
      <c r="BL198" s="2"/>
      <c r="BM198" s="2"/>
      <c r="BN198" s="2"/>
      <c r="BO198" s="2"/>
      <c r="BS198" s="11"/>
      <c r="BT198" s="2"/>
      <c r="BU198" s="3"/>
      <c r="BV198" s="3"/>
      <c r="BW198" s="2"/>
      <c r="BX198" s="2"/>
      <c r="BY198" s="2"/>
      <c r="BZ198" s="2"/>
      <c r="CA198" s="46"/>
      <c r="CB198" s="1"/>
      <c r="CC198" s="1"/>
      <c r="CD198" s="1"/>
      <c r="CE198" s="1"/>
      <c r="CF198" s="1"/>
      <c r="CG198" s="1"/>
      <c r="CH198" s="1"/>
      <c r="CI198" s="2"/>
      <c r="CJ198" s="2"/>
      <c r="CK198" s="2"/>
      <c r="CL198" s="2"/>
      <c r="CM198" s="2"/>
      <c r="CN198" s="2"/>
      <c r="CO198" s="2"/>
      <c r="CP198" s="2"/>
      <c r="CQ198" s="2"/>
      <c r="CR198" s="2"/>
      <c r="CS198" s="2"/>
      <c r="CT198" s="2"/>
      <c r="CU198" s="2"/>
      <c r="CV198" s="2"/>
      <c r="CW198" s="2"/>
      <c r="CX198" s="2"/>
      <c r="CY198" s="2"/>
      <c r="CZ198" s="2"/>
    </row>
    <row r="199" spans="43:104" ht="15" hidden="1" customHeight="1" x14ac:dyDescent="0.2">
      <c r="AQ199" s="85"/>
      <c r="AR199" s="12">
        <v>1265000</v>
      </c>
      <c r="AS199" s="12">
        <v>1340000</v>
      </c>
      <c r="AT199" s="2"/>
      <c r="AU199" s="2"/>
      <c r="AV199" s="2"/>
      <c r="AW199" s="2"/>
      <c r="AX199" s="2"/>
      <c r="AY199" s="2"/>
      <c r="AZ199" s="2"/>
      <c r="BA199" s="2"/>
      <c r="BB199" s="2"/>
      <c r="BC199" s="2"/>
      <c r="BD199" s="2"/>
      <c r="BE199" s="2"/>
      <c r="BK199" s="84"/>
      <c r="BL199" s="2"/>
      <c r="BM199" s="2"/>
      <c r="BN199" s="2"/>
      <c r="BO199" s="2"/>
      <c r="BS199" s="11"/>
      <c r="BT199" s="2"/>
      <c r="BU199" s="3"/>
      <c r="BV199" s="3"/>
      <c r="BW199" s="2"/>
      <c r="BX199" s="2"/>
      <c r="BY199" s="2"/>
      <c r="BZ199" s="2"/>
      <c r="CA199" s="46"/>
      <c r="CB199" s="1"/>
      <c r="CC199" s="1"/>
      <c r="CD199" s="1"/>
      <c r="CE199" s="1"/>
      <c r="CF199" s="1"/>
      <c r="CG199" s="1"/>
      <c r="CH199" s="1"/>
      <c r="CI199" s="2"/>
      <c r="CJ199" s="2"/>
      <c r="CK199" s="2"/>
      <c r="CL199" s="2"/>
      <c r="CM199" s="2"/>
      <c r="CN199" s="2"/>
      <c r="CO199" s="2"/>
      <c r="CP199" s="2"/>
      <c r="CQ199" s="2"/>
      <c r="CR199" s="2"/>
      <c r="CS199" s="2"/>
      <c r="CT199" s="2"/>
      <c r="CU199" s="2"/>
      <c r="CV199" s="2"/>
      <c r="CW199" s="2"/>
      <c r="CX199" s="2"/>
      <c r="CY199" s="2"/>
      <c r="CZ199" s="2"/>
    </row>
    <row r="200" spans="43:104" ht="15" hidden="1" customHeight="1" x14ac:dyDescent="0.2">
      <c r="AQ200" s="12"/>
      <c r="AR200" s="12">
        <v>1270000</v>
      </c>
      <c r="AS200" s="12">
        <v>1350000</v>
      </c>
      <c r="AT200" s="2"/>
      <c r="AU200" s="2"/>
      <c r="AV200" s="2"/>
      <c r="AW200" s="2"/>
      <c r="AX200" s="2"/>
      <c r="AY200" s="2"/>
      <c r="AZ200" s="2"/>
      <c r="BA200" s="2"/>
      <c r="BB200" s="2"/>
      <c r="BC200" s="2"/>
      <c r="BD200" s="2"/>
      <c r="BE200" s="2"/>
      <c r="BK200" s="84"/>
      <c r="BL200" s="2"/>
      <c r="BM200" s="2"/>
      <c r="BN200" s="2"/>
      <c r="BO200" s="2"/>
      <c r="BS200" s="11"/>
      <c r="BT200" s="2"/>
      <c r="BU200" s="3"/>
      <c r="BV200" s="3"/>
      <c r="BW200" s="2"/>
      <c r="BX200" s="2"/>
      <c r="BY200" s="2"/>
      <c r="BZ200" s="2"/>
      <c r="CA200" s="46"/>
      <c r="CB200" s="1"/>
      <c r="CC200" s="1"/>
      <c r="CD200" s="1"/>
      <c r="CE200" s="1"/>
      <c r="CF200" s="1"/>
      <c r="CG200" s="1"/>
      <c r="CH200" s="1"/>
      <c r="CI200" s="2"/>
      <c r="CJ200" s="2"/>
      <c r="CK200" s="2"/>
      <c r="CL200" s="2"/>
      <c r="CM200" s="2"/>
      <c r="CN200" s="2"/>
      <c r="CO200" s="2"/>
      <c r="CP200" s="2"/>
      <c r="CQ200" s="2"/>
      <c r="CR200" s="2"/>
      <c r="CS200" s="2"/>
      <c r="CT200" s="2"/>
      <c r="CU200" s="2"/>
      <c r="CV200" s="2"/>
      <c r="CW200" s="2"/>
      <c r="CX200" s="2"/>
      <c r="CY200" s="2"/>
      <c r="CZ200" s="2"/>
    </row>
    <row r="201" spans="43:104" ht="15" hidden="1" customHeight="1" x14ac:dyDescent="0.2">
      <c r="AQ201" s="12"/>
      <c r="AR201" s="12">
        <v>1275000</v>
      </c>
      <c r="AS201" s="12">
        <v>1360000</v>
      </c>
      <c r="AT201" s="2"/>
      <c r="AU201" s="2"/>
      <c r="AV201" s="2"/>
      <c r="AW201" s="2"/>
      <c r="AX201" s="2"/>
      <c r="AY201" s="2"/>
      <c r="AZ201" s="2"/>
      <c r="BA201" s="2"/>
      <c r="BB201" s="2"/>
      <c r="BC201" s="2"/>
      <c r="BD201" s="2"/>
      <c r="BE201" s="2"/>
      <c r="BK201" s="84"/>
      <c r="BL201" s="2"/>
      <c r="BM201" s="2"/>
      <c r="BN201" s="2"/>
      <c r="BO201" s="2"/>
      <c r="BS201" s="11"/>
      <c r="BT201" s="2"/>
      <c r="BU201" s="3"/>
      <c r="BV201" s="3"/>
      <c r="BW201" s="2"/>
      <c r="BX201" s="2"/>
      <c r="BY201" s="2"/>
      <c r="BZ201" s="2"/>
      <c r="CA201" s="46"/>
      <c r="CB201" s="1"/>
      <c r="CC201" s="1"/>
      <c r="CD201" s="1"/>
      <c r="CE201" s="1"/>
      <c r="CF201" s="1"/>
      <c r="CG201" s="1"/>
      <c r="CH201" s="1"/>
      <c r="CI201" s="2"/>
      <c r="CJ201" s="2"/>
      <c r="CK201" s="2"/>
      <c r="CL201" s="2"/>
      <c r="CM201" s="2"/>
      <c r="CN201" s="2"/>
      <c r="CO201" s="2"/>
      <c r="CP201" s="2"/>
      <c r="CQ201" s="2"/>
      <c r="CR201" s="2"/>
      <c r="CS201" s="2"/>
      <c r="CT201" s="2"/>
      <c r="CU201" s="2"/>
      <c r="CV201" s="2"/>
      <c r="CW201" s="2"/>
      <c r="CX201" s="2"/>
      <c r="CY201" s="2"/>
      <c r="CZ201" s="2"/>
    </row>
    <row r="202" spans="43:104" ht="15" hidden="1" customHeight="1" x14ac:dyDescent="0.2">
      <c r="AQ202" s="13"/>
      <c r="AR202" s="12">
        <v>1280000</v>
      </c>
      <c r="AS202" s="12">
        <v>1370000</v>
      </c>
      <c r="AT202" s="2"/>
      <c r="AU202" s="2"/>
      <c r="AV202" s="2"/>
      <c r="AW202" s="2"/>
      <c r="AX202" s="2"/>
      <c r="AY202" s="2"/>
      <c r="AZ202" s="2"/>
      <c r="BA202" s="2"/>
      <c r="BB202" s="2"/>
      <c r="BC202" s="2"/>
      <c r="BD202" s="2"/>
      <c r="BE202" s="2"/>
      <c r="BK202" s="84"/>
      <c r="BL202" s="2"/>
      <c r="BM202" s="2"/>
      <c r="BN202" s="2"/>
      <c r="BO202" s="2"/>
      <c r="BS202" s="11"/>
      <c r="BT202" s="2"/>
      <c r="BU202" s="3"/>
      <c r="BV202" s="3"/>
      <c r="BW202" s="2"/>
      <c r="BX202" s="2"/>
      <c r="BY202" s="2"/>
      <c r="BZ202" s="2"/>
      <c r="CA202" s="46"/>
      <c r="CB202" s="1"/>
      <c r="CC202" s="7"/>
      <c r="CD202" s="1"/>
      <c r="CE202" s="1"/>
      <c r="CF202" s="1"/>
      <c r="CG202" s="1"/>
      <c r="CH202" s="1"/>
      <c r="CI202" s="2"/>
      <c r="CJ202" s="2"/>
      <c r="CK202" s="2"/>
      <c r="CL202" s="2"/>
      <c r="CM202" s="2"/>
      <c r="CN202" s="2"/>
      <c r="CO202" s="2"/>
      <c r="CP202" s="2"/>
      <c r="CQ202" s="2"/>
      <c r="CR202" s="2"/>
      <c r="CS202" s="2"/>
      <c r="CT202" s="2"/>
      <c r="CU202" s="2"/>
      <c r="CV202" s="2"/>
      <c r="CW202" s="2"/>
      <c r="CX202" s="2"/>
      <c r="CY202" s="2"/>
      <c r="CZ202" s="2"/>
    </row>
    <row r="203" spans="43:104" ht="15" hidden="1" customHeight="1" x14ac:dyDescent="0.2">
      <c r="AQ203" s="13"/>
      <c r="AR203" s="12">
        <v>1285000</v>
      </c>
      <c r="AS203" s="12">
        <v>1380000</v>
      </c>
      <c r="AT203" s="2"/>
      <c r="AU203" s="2"/>
      <c r="AV203" s="2"/>
      <c r="AW203" s="2"/>
      <c r="AX203" s="2"/>
      <c r="AY203" s="2"/>
      <c r="AZ203" s="2"/>
      <c r="BA203" s="2"/>
      <c r="BB203" s="2"/>
      <c r="BC203" s="2"/>
      <c r="BD203" s="2"/>
      <c r="BE203" s="2"/>
      <c r="BK203" s="84"/>
      <c r="BL203" s="2"/>
      <c r="BM203" s="2"/>
      <c r="BN203" s="2"/>
      <c r="BO203" s="2"/>
      <c r="BS203" s="11"/>
      <c r="BT203" s="2"/>
      <c r="BU203" s="3"/>
      <c r="BV203" s="3"/>
      <c r="BW203" s="2"/>
      <c r="BX203" s="2"/>
      <c r="BY203" s="2"/>
      <c r="BZ203" s="2"/>
      <c r="CA203" s="2"/>
      <c r="CB203" s="2"/>
      <c r="CC203" s="2"/>
      <c r="CD203" s="1"/>
      <c r="CE203" s="1"/>
      <c r="CF203" s="1"/>
      <c r="CG203" s="1"/>
      <c r="CH203" s="1"/>
      <c r="CI203" s="2"/>
      <c r="CJ203" s="2"/>
      <c r="CK203" s="2"/>
      <c r="CL203" s="2"/>
      <c r="CM203" s="2"/>
      <c r="CN203" s="2"/>
      <c r="CO203" s="2"/>
      <c r="CP203" s="2"/>
      <c r="CQ203" s="2"/>
      <c r="CR203" s="2"/>
      <c r="CS203" s="2"/>
      <c r="CT203" s="2"/>
      <c r="CU203" s="2"/>
      <c r="CV203" s="2"/>
      <c r="CW203" s="2"/>
      <c r="CX203" s="2"/>
      <c r="CY203" s="2"/>
      <c r="CZ203" s="2"/>
    </row>
    <row r="204" spans="43:104" ht="15" hidden="1" customHeight="1" x14ac:dyDescent="0.2">
      <c r="AQ204" s="85"/>
      <c r="AR204" s="12">
        <v>1290000</v>
      </c>
      <c r="AS204" s="12">
        <v>1390000</v>
      </c>
      <c r="AT204" s="2"/>
      <c r="AU204" s="2"/>
      <c r="AV204" s="2"/>
      <c r="AW204" s="2"/>
      <c r="AX204" s="2"/>
      <c r="AY204" s="2"/>
      <c r="AZ204" s="2"/>
      <c r="BA204" s="2"/>
      <c r="BB204" s="2"/>
      <c r="BC204" s="2"/>
      <c r="BD204" s="2"/>
      <c r="BE204" s="2"/>
      <c r="BK204" s="84"/>
      <c r="BL204" s="2"/>
      <c r="BM204" s="2"/>
      <c r="BN204" s="2"/>
      <c r="BO204" s="2"/>
      <c r="BS204" s="11"/>
      <c r="BT204" s="2"/>
      <c r="BU204" s="3"/>
      <c r="BV204" s="3"/>
      <c r="BW204" s="2"/>
      <c r="BX204" s="2"/>
      <c r="BY204" s="2"/>
      <c r="BZ204" s="2"/>
      <c r="CA204" s="2"/>
      <c r="CB204" s="2"/>
      <c r="CC204" s="2"/>
      <c r="CD204" s="1"/>
      <c r="CE204" s="1"/>
      <c r="CF204" s="1"/>
      <c r="CG204" s="1"/>
      <c r="CH204" s="1"/>
      <c r="CI204" s="2"/>
      <c r="CJ204" s="2"/>
      <c r="CK204" s="2"/>
      <c r="CL204" s="2"/>
      <c r="CM204" s="2"/>
      <c r="CN204" s="2"/>
      <c r="CO204" s="2"/>
      <c r="CP204" s="2"/>
      <c r="CQ204" s="2"/>
      <c r="CR204" s="2"/>
      <c r="CS204" s="2"/>
      <c r="CT204" s="2"/>
      <c r="CU204" s="2"/>
      <c r="CV204" s="2"/>
      <c r="CW204" s="2"/>
      <c r="CX204" s="2"/>
      <c r="CY204" s="2"/>
      <c r="CZ204" s="2"/>
    </row>
    <row r="205" spans="43:104" ht="15" hidden="1" customHeight="1" x14ac:dyDescent="0.2">
      <c r="AQ205" s="12"/>
      <c r="AR205" s="12">
        <v>1295000</v>
      </c>
      <c r="AS205" s="12">
        <v>1400000</v>
      </c>
      <c r="AT205" s="2"/>
      <c r="AU205" s="2"/>
      <c r="AV205" s="2"/>
      <c r="AW205" s="2"/>
      <c r="AX205" s="2"/>
      <c r="AY205" s="2"/>
      <c r="AZ205" s="2"/>
      <c r="BA205" s="2"/>
      <c r="BB205" s="2"/>
      <c r="BC205" s="2"/>
      <c r="BD205" s="2"/>
      <c r="BE205" s="2"/>
      <c r="BK205" s="84"/>
      <c r="BL205" s="2"/>
      <c r="BM205" s="2"/>
      <c r="BN205" s="2"/>
      <c r="BO205" s="2"/>
      <c r="BS205" s="11"/>
      <c r="BT205" s="2"/>
      <c r="BU205" s="3"/>
      <c r="BV205" s="3"/>
      <c r="BW205" s="2"/>
      <c r="BX205" s="2"/>
      <c r="BY205" s="2"/>
      <c r="BZ205" s="2"/>
      <c r="CA205" s="2"/>
      <c r="CB205" s="2"/>
      <c r="CC205" s="2"/>
      <c r="CD205" s="1"/>
      <c r="CE205" s="1"/>
      <c r="CF205" s="1"/>
      <c r="CG205" s="1"/>
      <c r="CH205" s="1"/>
      <c r="CI205" s="2"/>
      <c r="CJ205" s="2"/>
      <c r="CK205" s="2"/>
      <c r="CL205" s="2"/>
      <c r="CM205" s="2"/>
      <c r="CN205" s="2"/>
      <c r="CO205" s="2"/>
      <c r="CP205" s="2"/>
      <c r="CQ205" s="2"/>
      <c r="CR205" s="2"/>
      <c r="CS205" s="2"/>
      <c r="CT205" s="2"/>
      <c r="CU205" s="2"/>
      <c r="CV205" s="2"/>
      <c r="CW205" s="2"/>
      <c r="CX205" s="2"/>
      <c r="CY205" s="2"/>
      <c r="CZ205" s="2"/>
    </row>
    <row r="206" spans="43:104" ht="15" hidden="1" customHeight="1" x14ac:dyDescent="0.2">
      <c r="AQ206" s="12"/>
      <c r="AR206" s="12">
        <v>1300000</v>
      </c>
      <c r="AS206" s="12">
        <v>1410000</v>
      </c>
      <c r="AT206" s="2"/>
      <c r="AU206" s="2"/>
      <c r="AV206" s="2"/>
      <c r="AW206" s="2"/>
      <c r="AX206" s="2"/>
      <c r="AY206" s="2"/>
      <c r="AZ206" s="2"/>
      <c r="BA206" s="2"/>
      <c r="BB206" s="2"/>
      <c r="BC206" s="2"/>
      <c r="BD206" s="2"/>
      <c r="BE206" s="2"/>
      <c r="BK206" s="84"/>
      <c r="BL206" s="2"/>
      <c r="BM206" s="2"/>
      <c r="BN206" s="2"/>
      <c r="BO206" s="2"/>
      <c r="BS206" s="11"/>
      <c r="BT206" s="2"/>
      <c r="BU206" s="3"/>
      <c r="BV206" s="3"/>
      <c r="BW206" s="2"/>
      <c r="BX206" s="2"/>
      <c r="BY206" s="2"/>
      <c r="BZ206" s="2"/>
      <c r="CA206" s="2"/>
      <c r="CB206" s="2"/>
      <c r="CC206" s="2"/>
      <c r="CD206" s="1"/>
      <c r="CE206" s="1"/>
      <c r="CF206" s="1"/>
      <c r="CG206" s="1"/>
      <c r="CH206" s="1"/>
      <c r="CI206" s="2"/>
      <c r="CJ206" s="2"/>
      <c r="CK206" s="2"/>
      <c r="CL206" s="2"/>
      <c r="CM206" s="2"/>
      <c r="CN206" s="2"/>
      <c r="CO206" s="2"/>
      <c r="CP206" s="2"/>
      <c r="CQ206" s="2"/>
      <c r="CR206" s="2"/>
      <c r="CS206" s="2"/>
      <c r="CT206" s="2"/>
      <c r="CU206" s="2"/>
      <c r="CV206" s="2"/>
      <c r="CW206" s="2"/>
      <c r="CX206" s="2"/>
      <c r="CY206" s="2"/>
      <c r="CZ206" s="2"/>
    </row>
    <row r="207" spans="43:104" ht="15" hidden="1" customHeight="1" x14ac:dyDescent="0.2">
      <c r="AQ207" s="13"/>
      <c r="AR207" s="12">
        <v>1305000</v>
      </c>
      <c r="AS207" s="12">
        <v>1420000</v>
      </c>
      <c r="AT207" s="2"/>
      <c r="AU207" s="2"/>
      <c r="AV207" s="2"/>
      <c r="AW207" s="2"/>
      <c r="AX207" s="2"/>
      <c r="AY207" s="2"/>
      <c r="AZ207" s="2"/>
      <c r="BA207" s="2"/>
      <c r="BB207" s="2"/>
      <c r="BC207" s="2"/>
      <c r="BD207" s="2"/>
      <c r="BE207" s="2"/>
      <c r="BK207" s="84"/>
      <c r="BL207" s="2"/>
      <c r="BM207" s="2"/>
      <c r="BN207" s="2"/>
      <c r="BO207" s="2"/>
      <c r="BS207" s="11"/>
      <c r="BT207" s="2"/>
      <c r="BU207" s="3"/>
      <c r="BV207" s="3"/>
      <c r="BW207" s="2"/>
      <c r="BX207" s="2"/>
      <c r="BY207" s="2"/>
      <c r="BZ207" s="2"/>
      <c r="CA207" s="2"/>
      <c r="CB207" s="2"/>
      <c r="CC207" s="2"/>
      <c r="CD207" s="1"/>
      <c r="CE207" s="1"/>
      <c r="CF207" s="1"/>
      <c r="CG207" s="1"/>
      <c r="CH207" s="1"/>
      <c r="CI207" s="2"/>
      <c r="CJ207" s="2"/>
      <c r="CK207" s="2"/>
      <c r="CL207" s="2"/>
      <c r="CM207" s="2"/>
      <c r="CN207" s="2"/>
      <c r="CO207" s="2"/>
      <c r="CP207" s="2"/>
      <c r="CQ207" s="2"/>
      <c r="CR207" s="2"/>
      <c r="CS207" s="2"/>
      <c r="CT207" s="2"/>
      <c r="CU207" s="2"/>
      <c r="CV207" s="2"/>
      <c r="CW207" s="2"/>
      <c r="CX207" s="2"/>
      <c r="CY207" s="2"/>
      <c r="CZ207" s="2"/>
    </row>
    <row r="208" spans="43:104" ht="15" hidden="1" customHeight="1" x14ac:dyDescent="0.2">
      <c r="AQ208" s="13"/>
      <c r="AR208" s="12">
        <v>1310000</v>
      </c>
      <c r="AS208" s="12">
        <v>1430000</v>
      </c>
      <c r="AT208" s="2"/>
      <c r="AU208" s="2"/>
      <c r="AV208" s="2"/>
      <c r="AW208" s="2"/>
      <c r="AX208" s="2"/>
      <c r="AY208" s="2"/>
      <c r="AZ208" s="2"/>
      <c r="BA208" s="2"/>
      <c r="BB208" s="2"/>
      <c r="BC208" s="2"/>
      <c r="BD208" s="2"/>
      <c r="BE208" s="2"/>
      <c r="BK208" s="84"/>
      <c r="BL208" s="2"/>
      <c r="BM208" s="2"/>
      <c r="BN208" s="2"/>
      <c r="BO208" s="2"/>
      <c r="BS208" s="11"/>
      <c r="BT208" s="2"/>
      <c r="BU208" s="3"/>
      <c r="BV208" s="3"/>
      <c r="BW208" s="2"/>
      <c r="BX208" s="2"/>
      <c r="BY208" s="2"/>
      <c r="BZ208" s="2"/>
      <c r="CA208" s="46"/>
      <c r="CB208" s="1"/>
      <c r="CC208" s="1"/>
      <c r="CD208" s="1"/>
      <c r="CE208" s="1"/>
      <c r="CF208" s="1"/>
      <c r="CG208" s="1"/>
      <c r="CH208" s="1"/>
      <c r="CI208" s="2"/>
      <c r="CJ208" s="2"/>
      <c r="CK208" s="2"/>
      <c r="CL208" s="2"/>
      <c r="CM208" s="2"/>
      <c r="CN208" s="2"/>
      <c r="CO208" s="2"/>
      <c r="CP208" s="2"/>
      <c r="CQ208" s="2"/>
      <c r="CR208" s="2"/>
      <c r="CS208" s="2"/>
      <c r="CT208" s="2"/>
      <c r="CU208" s="2"/>
      <c r="CV208" s="2"/>
      <c r="CW208" s="2"/>
      <c r="CX208" s="2"/>
      <c r="CY208" s="2"/>
      <c r="CZ208" s="2"/>
    </row>
    <row r="209" spans="43:104" ht="15" hidden="1" customHeight="1" x14ac:dyDescent="0.2">
      <c r="AQ209" s="85"/>
      <c r="AR209" s="12">
        <v>1315000</v>
      </c>
      <c r="AS209" s="12">
        <v>1440000</v>
      </c>
      <c r="AT209" s="2"/>
      <c r="AU209" s="2"/>
      <c r="AV209" s="2"/>
      <c r="AW209" s="2"/>
      <c r="AX209" s="2"/>
      <c r="AY209" s="2"/>
      <c r="AZ209" s="2"/>
      <c r="BA209" s="2"/>
      <c r="BB209" s="2"/>
      <c r="BC209" s="2"/>
      <c r="BD209" s="2"/>
      <c r="BE209" s="2"/>
      <c r="BK209" s="84"/>
      <c r="BL209" s="2"/>
      <c r="BM209" s="2"/>
      <c r="BN209" s="2"/>
      <c r="BO209" s="2"/>
      <c r="BS209" s="11"/>
      <c r="BT209" s="2"/>
      <c r="BU209" s="3"/>
      <c r="BV209" s="3"/>
      <c r="BW209" s="2"/>
      <c r="BX209" s="2"/>
      <c r="BY209" s="2"/>
      <c r="BZ209" s="46"/>
      <c r="CA209" s="1"/>
      <c r="CB209" s="1"/>
      <c r="CC209" s="1"/>
      <c r="CD209" s="1"/>
      <c r="CE209" s="1"/>
      <c r="CF209" s="1"/>
      <c r="CG209" s="1"/>
      <c r="CH209" s="1"/>
      <c r="CI209" s="2"/>
      <c r="CJ209" s="2"/>
      <c r="CK209" s="2"/>
      <c r="CL209" s="2"/>
      <c r="CM209" s="2"/>
      <c r="CN209" s="2"/>
      <c r="CO209" s="2"/>
      <c r="CP209" s="2"/>
      <c r="CQ209" s="2"/>
      <c r="CR209" s="2"/>
      <c r="CS209" s="2"/>
      <c r="CT209" s="2"/>
      <c r="CU209" s="2"/>
      <c r="CV209" s="2"/>
      <c r="CW209" s="2"/>
      <c r="CX209" s="2"/>
      <c r="CY209" s="2"/>
      <c r="CZ209" s="2"/>
    </row>
    <row r="210" spans="43:104" ht="15" hidden="1" customHeight="1" x14ac:dyDescent="0.2">
      <c r="AQ210" s="12"/>
      <c r="AR210" s="12">
        <v>1320000</v>
      </c>
      <c r="AS210" s="12">
        <v>1450000</v>
      </c>
      <c r="AT210" s="2"/>
      <c r="AU210" s="2"/>
      <c r="AV210" s="2"/>
      <c r="AW210" s="2"/>
      <c r="AX210" s="2"/>
      <c r="AY210" s="2"/>
      <c r="AZ210" s="2"/>
      <c r="BA210" s="2"/>
      <c r="BB210" s="2"/>
      <c r="BC210" s="2"/>
      <c r="BD210" s="2"/>
      <c r="BE210" s="2"/>
      <c r="BK210" s="84"/>
      <c r="BL210" s="2"/>
      <c r="BM210" s="2"/>
      <c r="BN210" s="2"/>
      <c r="BO210" s="2"/>
      <c r="BS210" s="11"/>
      <c r="BT210" s="2"/>
      <c r="BU210" s="3"/>
      <c r="BV210" s="3"/>
      <c r="BW210" s="2"/>
      <c r="BX210" s="2"/>
      <c r="BY210" s="2"/>
      <c r="BZ210" s="2"/>
      <c r="CA210" s="46"/>
      <c r="CB210" s="1"/>
      <c r="CC210" s="1"/>
      <c r="CD210" s="1"/>
      <c r="CE210" s="1"/>
      <c r="CF210" s="1"/>
      <c r="CG210" s="1"/>
      <c r="CH210" s="1"/>
      <c r="CI210" s="2"/>
      <c r="CJ210" s="2"/>
      <c r="CK210" s="2"/>
      <c r="CL210" s="2"/>
      <c r="CM210" s="2"/>
      <c r="CN210" s="2"/>
      <c r="CO210" s="2"/>
      <c r="CP210" s="2"/>
      <c r="CQ210" s="2"/>
      <c r="CR210" s="2"/>
      <c r="CS210" s="2"/>
      <c r="CT210" s="2"/>
      <c r="CU210" s="2"/>
      <c r="CV210" s="2"/>
      <c r="CW210" s="2"/>
      <c r="CX210" s="2"/>
      <c r="CY210" s="2"/>
      <c r="CZ210" s="2"/>
    </row>
    <row r="211" spans="43:104" ht="15" hidden="1" customHeight="1" x14ac:dyDescent="0.2">
      <c r="AQ211" s="12"/>
      <c r="AR211" s="12">
        <v>1325000</v>
      </c>
      <c r="AS211" s="12">
        <v>1460000</v>
      </c>
      <c r="AT211" s="2"/>
      <c r="AU211" s="2"/>
      <c r="AV211" s="2"/>
      <c r="AW211" s="2"/>
      <c r="AX211" s="2"/>
      <c r="AY211" s="2"/>
      <c r="AZ211" s="2"/>
      <c r="BA211" s="2"/>
      <c r="BB211" s="2"/>
      <c r="BC211" s="2"/>
      <c r="BD211" s="2"/>
      <c r="BE211" s="2"/>
      <c r="BK211" s="84"/>
      <c r="BL211" s="2"/>
      <c r="BM211" s="2"/>
      <c r="BN211" s="2"/>
      <c r="BO211" s="2"/>
      <c r="BS211" s="11"/>
      <c r="BT211" s="2"/>
      <c r="BU211" s="3"/>
      <c r="BV211" s="3"/>
      <c r="BW211" s="2"/>
      <c r="BX211" s="2"/>
      <c r="BY211" s="2"/>
      <c r="BZ211" s="2"/>
      <c r="CA211" s="46"/>
      <c r="CB211" s="1"/>
      <c r="CC211" s="1"/>
      <c r="CD211" s="1"/>
      <c r="CE211" s="1"/>
      <c r="CF211" s="1"/>
      <c r="CG211" s="1"/>
      <c r="CH211" s="1"/>
      <c r="CI211" s="2"/>
      <c r="CJ211" s="2"/>
      <c r="CK211" s="2"/>
      <c r="CL211" s="2"/>
      <c r="CM211" s="2"/>
      <c r="CN211" s="2"/>
      <c r="CO211" s="2"/>
      <c r="CP211" s="2"/>
      <c r="CQ211" s="2"/>
      <c r="CR211" s="2"/>
      <c r="CS211" s="2"/>
      <c r="CT211" s="2"/>
      <c r="CU211" s="2"/>
      <c r="CV211" s="2"/>
      <c r="CW211" s="2"/>
      <c r="CX211" s="2"/>
      <c r="CY211" s="2"/>
      <c r="CZ211" s="2"/>
    </row>
    <row r="212" spans="43:104" ht="15" hidden="1" customHeight="1" x14ac:dyDescent="0.2">
      <c r="AQ212" s="13"/>
      <c r="AR212" s="12">
        <v>1330000</v>
      </c>
      <c r="AS212" s="12">
        <v>1470000</v>
      </c>
      <c r="AT212" s="2"/>
      <c r="AU212" s="2"/>
      <c r="AV212" s="2"/>
      <c r="AW212" s="2"/>
      <c r="AX212" s="2"/>
      <c r="AY212" s="2"/>
      <c r="AZ212" s="2"/>
      <c r="BA212" s="2"/>
      <c r="BB212" s="2"/>
      <c r="BC212" s="2"/>
      <c r="BD212" s="2"/>
      <c r="BE212" s="2"/>
      <c r="BK212" s="84"/>
      <c r="BL212" s="2"/>
      <c r="BM212" s="2"/>
      <c r="BN212" s="2"/>
      <c r="BO212" s="2"/>
      <c r="BS212" s="11"/>
      <c r="BT212" s="2"/>
      <c r="BU212" s="3"/>
      <c r="BV212" s="3"/>
      <c r="BW212" s="2"/>
      <c r="BX212" s="2"/>
      <c r="BY212" s="2"/>
      <c r="BZ212" s="2"/>
      <c r="CA212" s="46"/>
      <c r="CB212" s="1"/>
      <c r="CC212" s="1"/>
      <c r="CD212" s="1"/>
      <c r="CE212" s="1"/>
      <c r="CF212" s="1"/>
      <c r="CG212" s="1"/>
      <c r="CH212" s="1"/>
      <c r="CI212" s="2"/>
      <c r="CJ212" s="2"/>
      <c r="CK212" s="2"/>
      <c r="CL212" s="2"/>
      <c r="CM212" s="2"/>
      <c r="CN212" s="2"/>
      <c r="CO212" s="2"/>
      <c r="CP212" s="2"/>
      <c r="CQ212" s="2"/>
      <c r="CR212" s="2"/>
      <c r="CS212" s="2"/>
      <c r="CT212" s="2"/>
      <c r="CU212" s="2"/>
      <c r="CV212" s="2"/>
      <c r="CW212" s="2"/>
      <c r="CX212" s="2"/>
      <c r="CY212" s="2"/>
      <c r="CZ212" s="2"/>
    </row>
    <row r="213" spans="43:104" ht="15" hidden="1" customHeight="1" x14ac:dyDescent="0.2">
      <c r="AQ213" s="13"/>
      <c r="AR213" s="12">
        <v>1335000</v>
      </c>
      <c r="AS213" s="12">
        <v>1480000</v>
      </c>
      <c r="AT213" s="2"/>
      <c r="AU213" s="2"/>
      <c r="AV213" s="2"/>
      <c r="AW213" s="2"/>
      <c r="AX213" s="2"/>
      <c r="AY213" s="2"/>
      <c r="AZ213" s="2"/>
      <c r="BA213" s="2"/>
      <c r="BB213" s="2"/>
      <c r="BC213" s="2"/>
      <c r="BD213" s="2"/>
      <c r="BE213" s="2"/>
      <c r="BK213" s="84"/>
      <c r="BL213" s="2"/>
      <c r="BM213" s="2"/>
      <c r="BN213" s="2"/>
      <c r="BO213" s="2"/>
      <c r="BS213" s="11"/>
      <c r="BT213" s="2"/>
      <c r="BU213" s="3"/>
      <c r="BV213" s="3"/>
      <c r="BW213" s="2"/>
      <c r="BX213" s="2"/>
      <c r="BY213" s="2"/>
      <c r="BZ213" s="2"/>
      <c r="CA213" s="46"/>
      <c r="CB213" s="1"/>
      <c r="CC213" s="7"/>
      <c r="CD213" s="1"/>
      <c r="CE213" s="1"/>
      <c r="CF213" s="1"/>
      <c r="CG213" s="1"/>
      <c r="CH213" s="1"/>
      <c r="CI213" s="2"/>
      <c r="CJ213" s="2"/>
      <c r="CK213" s="2"/>
      <c r="CL213" s="2"/>
      <c r="CM213" s="2"/>
      <c r="CN213" s="2"/>
      <c r="CO213" s="2"/>
      <c r="CP213" s="2"/>
      <c r="CQ213" s="2"/>
      <c r="CR213" s="2"/>
      <c r="CS213" s="2"/>
      <c r="CT213" s="2"/>
      <c r="CU213" s="2"/>
      <c r="CV213" s="2"/>
      <c r="CW213" s="2"/>
      <c r="CX213" s="2"/>
      <c r="CY213" s="2"/>
      <c r="CZ213" s="2"/>
    </row>
    <row r="214" spans="43:104" ht="15" hidden="1" customHeight="1" x14ac:dyDescent="0.2">
      <c r="AQ214" s="85"/>
      <c r="AR214" s="12">
        <v>1340000</v>
      </c>
      <c r="AS214" s="12">
        <v>1490000</v>
      </c>
      <c r="AT214" s="2"/>
      <c r="AU214" s="2"/>
      <c r="AV214" s="2"/>
      <c r="AW214" s="2"/>
      <c r="AX214" s="2"/>
      <c r="AY214" s="2"/>
      <c r="AZ214" s="2"/>
      <c r="BA214" s="2"/>
      <c r="BB214" s="2"/>
      <c r="BC214" s="2"/>
      <c r="BD214" s="2"/>
      <c r="BE214" s="2"/>
      <c r="BK214" s="84"/>
      <c r="BL214" s="2"/>
      <c r="BM214" s="2"/>
      <c r="BN214" s="2"/>
      <c r="BO214" s="2"/>
      <c r="BS214" s="11"/>
      <c r="BT214" s="2"/>
      <c r="BU214" s="3"/>
      <c r="BV214" s="3"/>
      <c r="BW214" s="2"/>
      <c r="BX214" s="2"/>
      <c r="BY214" s="2"/>
      <c r="BZ214" s="2"/>
      <c r="CA214" s="46"/>
      <c r="CB214" s="1"/>
      <c r="CC214" s="7"/>
      <c r="CD214" s="1"/>
      <c r="CE214" s="1"/>
      <c r="CF214" s="1"/>
      <c r="CG214" s="1"/>
      <c r="CH214" s="1"/>
      <c r="CI214" s="2"/>
      <c r="CJ214" s="2"/>
      <c r="CK214" s="2"/>
      <c r="CL214" s="2"/>
      <c r="CM214" s="2"/>
      <c r="CN214" s="2"/>
      <c r="CO214" s="2"/>
      <c r="CP214" s="2"/>
      <c r="CQ214" s="2"/>
      <c r="CR214" s="2"/>
      <c r="CS214" s="2"/>
      <c r="CT214" s="2"/>
      <c r="CU214" s="2"/>
      <c r="CV214" s="2"/>
      <c r="CW214" s="2"/>
      <c r="CX214" s="2"/>
      <c r="CY214" s="2"/>
      <c r="CZ214" s="2"/>
    </row>
    <row r="215" spans="43:104" ht="15" hidden="1" customHeight="1" x14ac:dyDescent="0.2">
      <c r="AQ215" s="12"/>
      <c r="AR215" s="12">
        <v>1345000</v>
      </c>
      <c r="AS215" s="12">
        <v>1500000</v>
      </c>
      <c r="AT215" s="2"/>
      <c r="AU215" s="2"/>
      <c r="AV215" s="2"/>
      <c r="AW215" s="2"/>
      <c r="AX215" s="2"/>
      <c r="AY215" s="2"/>
      <c r="AZ215" s="2"/>
      <c r="BA215" s="2"/>
      <c r="BB215" s="2"/>
      <c r="BC215" s="2"/>
      <c r="BD215" s="2"/>
      <c r="BE215" s="2"/>
      <c r="BK215" s="84"/>
      <c r="BL215" s="2"/>
      <c r="BM215" s="2"/>
      <c r="BN215" s="2"/>
      <c r="BO215" s="2"/>
      <c r="BS215" s="11"/>
      <c r="BT215" s="2"/>
      <c r="BU215" s="3"/>
      <c r="BV215" s="3"/>
      <c r="BW215" s="2"/>
      <c r="BX215" s="2"/>
      <c r="BY215" s="2"/>
      <c r="BZ215" s="2"/>
      <c r="CA215" s="2"/>
      <c r="CB215" s="2"/>
      <c r="CC215" s="2"/>
      <c r="CD215" s="1"/>
      <c r="CE215" s="1"/>
      <c r="CF215" s="1"/>
      <c r="CG215" s="1"/>
      <c r="CH215" s="1"/>
      <c r="CI215" s="2"/>
      <c r="CJ215" s="2"/>
      <c r="CK215" s="2"/>
      <c r="CL215" s="2"/>
      <c r="CM215" s="2"/>
      <c r="CN215" s="2"/>
      <c r="CO215" s="2"/>
      <c r="CP215" s="2"/>
      <c r="CQ215" s="2"/>
      <c r="CR215" s="2"/>
      <c r="CS215" s="2"/>
      <c r="CT215" s="2"/>
      <c r="CU215" s="2"/>
      <c r="CV215" s="2"/>
      <c r="CW215" s="2"/>
      <c r="CX215" s="2"/>
      <c r="CY215" s="2"/>
      <c r="CZ215" s="2"/>
    </row>
    <row r="216" spans="43:104" ht="15" hidden="1" customHeight="1" x14ac:dyDescent="0.2">
      <c r="AQ216" s="12"/>
      <c r="AR216" s="12">
        <v>1350000</v>
      </c>
      <c r="AS216" s="12">
        <v>1510000</v>
      </c>
      <c r="AT216" s="2"/>
      <c r="AU216" s="2"/>
      <c r="AV216" s="2"/>
      <c r="AW216" s="2"/>
      <c r="AX216" s="2"/>
      <c r="AY216" s="2"/>
      <c r="AZ216" s="2"/>
      <c r="BA216" s="2"/>
      <c r="BB216" s="2"/>
      <c r="BC216" s="2"/>
      <c r="BD216" s="2"/>
      <c r="BE216" s="2"/>
      <c r="BK216" s="84"/>
      <c r="BL216" s="2"/>
      <c r="BM216" s="2"/>
      <c r="BN216" s="2"/>
      <c r="BO216" s="2"/>
      <c r="BS216" s="11"/>
      <c r="BT216" s="2"/>
      <c r="BU216" s="3"/>
      <c r="BV216" s="3"/>
      <c r="BW216" s="2"/>
      <c r="BX216" s="2"/>
      <c r="BY216" s="2"/>
      <c r="BZ216" s="2"/>
      <c r="CA216" s="2"/>
      <c r="CB216" s="2"/>
      <c r="CC216" s="2"/>
      <c r="CD216" s="1"/>
      <c r="CE216" s="1"/>
      <c r="CF216" s="1"/>
      <c r="CG216" s="1"/>
      <c r="CH216" s="1"/>
      <c r="CI216" s="2"/>
      <c r="CJ216" s="2"/>
      <c r="CK216" s="2"/>
      <c r="CL216" s="2"/>
      <c r="CM216" s="2"/>
      <c r="CN216" s="2"/>
      <c r="CO216" s="2"/>
      <c r="CP216" s="2"/>
      <c r="CQ216" s="2"/>
      <c r="CR216" s="2"/>
      <c r="CS216" s="2"/>
      <c r="CT216" s="2"/>
      <c r="CU216" s="2"/>
      <c r="CV216" s="2"/>
      <c r="CW216" s="2"/>
      <c r="CX216" s="2"/>
      <c r="CY216" s="2"/>
      <c r="CZ216" s="2"/>
    </row>
    <row r="217" spans="43:104" ht="15" hidden="1" customHeight="1" x14ac:dyDescent="0.2">
      <c r="AQ217" s="13"/>
      <c r="AR217" s="12">
        <v>1355000</v>
      </c>
      <c r="AS217" s="12">
        <v>1520000</v>
      </c>
      <c r="AT217" s="2"/>
      <c r="AU217" s="2"/>
      <c r="AV217" s="2"/>
      <c r="AW217" s="2"/>
      <c r="AX217" s="2"/>
      <c r="AY217" s="2"/>
      <c r="AZ217" s="2"/>
      <c r="BA217" s="2"/>
      <c r="BB217" s="2"/>
      <c r="BC217" s="2"/>
      <c r="BD217" s="2"/>
      <c r="BE217" s="2"/>
      <c r="BK217" s="84"/>
      <c r="BL217" s="2"/>
      <c r="BM217" s="2"/>
      <c r="BN217" s="2"/>
      <c r="BO217" s="2"/>
      <c r="BS217" s="11"/>
      <c r="BT217" s="2"/>
      <c r="BU217" s="3"/>
      <c r="BV217" s="3"/>
      <c r="BW217" s="2"/>
      <c r="BX217" s="2"/>
      <c r="BY217" s="2"/>
      <c r="BZ217" s="2"/>
      <c r="CA217" s="2"/>
      <c r="CB217" s="2"/>
      <c r="CC217" s="2"/>
      <c r="CD217" s="1"/>
      <c r="CE217" s="1"/>
      <c r="CF217" s="1"/>
      <c r="CG217" s="1"/>
      <c r="CH217" s="1"/>
      <c r="CI217" s="2"/>
      <c r="CJ217" s="2"/>
      <c r="CK217" s="2"/>
      <c r="CL217" s="2"/>
      <c r="CM217" s="2"/>
      <c r="CN217" s="2"/>
      <c r="CO217" s="2"/>
      <c r="CP217" s="2"/>
      <c r="CQ217" s="2"/>
      <c r="CR217" s="2"/>
      <c r="CS217" s="2"/>
      <c r="CT217" s="2"/>
      <c r="CU217" s="2"/>
      <c r="CV217" s="2"/>
      <c r="CW217" s="2"/>
      <c r="CX217" s="2"/>
      <c r="CY217" s="2"/>
      <c r="CZ217" s="2"/>
    </row>
    <row r="218" spans="43:104" ht="15" hidden="1" customHeight="1" x14ac:dyDescent="0.2">
      <c r="AQ218" s="13"/>
      <c r="AR218" s="12">
        <v>1360000</v>
      </c>
      <c r="AS218" s="12">
        <v>1530000</v>
      </c>
      <c r="AT218" s="2"/>
      <c r="AU218" s="2"/>
      <c r="AV218" s="2"/>
      <c r="AW218" s="2"/>
      <c r="AX218" s="2"/>
      <c r="AY218" s="2"/>
      <c r="AZ218" s="2"/>
      <c r="BA218" s="2"/>
      <c r="BB218" s="2"/>
      <c r="BC218" s="2"/>
      <c r="BD218" s="2"/>
      <c r="BE218" s="2"/>
      <c r="BK218" s="84"/>
      <c r="BL218" s="2"/>
      <c r="BM218" s="2"/>
      <c r="BN218" s="2"/>
      <c r="BO218" s="2"/>
      <c r="BS218" s="11"/>
      <c r="BT218" s="2"/>
      <c r="BU218" s="3"/>
      <c r="BV218" s="3"/>
      <c r="BW218" s="2"/>
      <c r="BX218" s="2"/>
      <c r="BY218" s="2"/>
      <c r="BZ218" s="2"/>
      <c r="CA218" s="2"/>
      <c r="CB218" s="2"/>
      <c r="CC218" s="2"/>
      <c r="CD218" s="1"/>
      <c r="CE218" s="1"/>
      <c r="CF218" s="1"/>
      <c r="CG218" s="1"/>
      <c r="CH218" s="1"/>
      <c r="CI218" s="2"/>
      <c r="CJ218" s="2"/>
      <c r="CK218" s="2"/>
      <c r="CL218" s="2"/>
      <c r="CM218" s="2"/>
      <c r="CN218" s="2"/>
      <c r="CO218" s="2"/>
      <c r="CP218" s="2"/>
      <c r="CQ218" s="2"/>
      <c r="CR218" s="2"/>
      <c r="CS218" s="2"/>
      <c r="CT218" s="2"/>
      <c r="CU218" s="2"/>
      <c r="CV218" s="2"/>
      <c r="CW218" s="2"/>
      <c r="CX218" s="2"/>
      <c r="CY218" s="2"/>
      <c r="CZ218" s="2"/>
    </row>
    <row r="219" spans="43:104" ht="15" hidden="1" customHeight="1" x14ac:dyDescent="0.2">
      <c r="AQ219" s="85"/>
      <c r="AR219" s="12">
        <v>1365000</v>
      </c>
      <c r="AS219" s="12">
        <v>1540000</v>
      </c>
      <c r="AT219" s="2"/>
      <c r="AU219" s="2"/>
      <c r="AV219" s="2"/>
      <c r="AW219" s="2"/>
      <c r="AX219" s="2"/>
      <c r="AY219" s="2"/>
      <c r="AZ219" s="2"/>
      <c r="BA219" s="2"/>
      <c r="BB219" s="2"/>
      <c r="BC219" s="2"/>
      <c r="BD219" s="2"/>
      <c r="BE219" s="2"/>
      <c r="BK219" s="84"/>
      <c r="BL219" s="2"/>
      <c r="BM219" s="2"/>
      <c r="BN219" s="2"/>
      <c r="BO219" s="2"/>
      <c r="BS219" s="11"/>
      <c r="BT219" s="2"/>
      <c r="BU219" s="3"/>
      <c r="BV219" s="3"/>
      <c r="BW219" s="2"/>
      <c r="BX219" s="2"/>
      <c r="BY219" s="2"/>
      <c r="BZ219" s="2"/>
      <c r="CA219" s="46"/>
      <c r="CB219" s="1"/>
      <c r="CC219" s="1"/>
      <c r="CD219" s="1"/>
      <c r="CE219" s="1"/>
      <c r="CF219" s="1"/>
      <c r="CG219" s="1"/>
      <c r="CH219" s="1"/>
      <c r="CI219" s="2"/>
      <c r="CJ219" s="2"/>
      <c r="CK219" s="2"/>
      <c r="CL219" s="2"/>
      <c r="CM219" s="2"/>
      <c r="CN219" s="2"/>
      <c r="CO219" s="2"/>
      <c r="CP219" s="2"/>
      <c r="CQ219" s="2"/>
      <c r="CR219" s="2"/>
      <c r="CS219" s="2"/>
      <c r="CT219" s="2"/>
      <c r="CU219" s="2"/>
      <c r="CV219" s="2"/>
      <c r="CW219" s="2"/>
      <c r="CX219" s="2"/>
      <c r="CY219" s="2"/>
      <c r="CZ219" s="2"/>
    </row>
    <row r="220" spans="43:104" ht="15" hidden="1" customHeight="1" x14ac:dyDescent="0.2">
      <c r="AQ220" s="12"/>
      <c r="AR220" s="12">
        <v>1370000</v>
      </c>
      <c r="AS220" s="12">
        <v>1550000</v>
      </c>
      <c r="AT220" s="2"/>
      <c r="AU220" s="2"/>
      <c r="AV220" s="2"/>
      <c r="AW220" s="2"/>
      <c r="AX220" s="2"/>
      <c r="AY220" s="2"/>
      <c r="AZ220" s="2"/>
      <c r="BA220" s="2"/>
      <c r="BB220" s="2"/>
      <c r="BC220" s="2"/>
      <c r="BD220" s="2"/>
      <c r="BE220" s="2"/>
      <c r="BK220" s="84"/>
      <c r="BL220" s="2"/>
      <c r="BM220" s="2"/>
      <c r="BN220" s="2"/>
      <c r="BO220" s="2"/>
      <c r="BS220" s="11"/>
      <c r="BT220" s="2"/>
      <c r="BU220" s="3"/>
      <c r="BV220" s="3"/>
      <c r="BW220" s="2"/>
      <c r="BX220" s="2"/>
      <c r="BY220" s="2"/>
      <c r="BZ220" s="46"/>
      <c r="CA220" s="1"/>
      <c r="CB220" s="1"/>
      <c r="CC220" s="1"/>
      <c r="CD220" s="1"/>
      <c r="CE220" s="1"/>
      <c r="CF220" s="1"/>
      <c r="CG220" s="1"/>
      <c r="CH220" s="1"/>
      <c r="CI220" s="2"/>
      <c r="CJ220" s="2"/>
      <c r="CK220" s="2"/>
      <c r="CL220" s="2"/>
      <c r="CM220" s="2"/>
      <c r="CN220" s="2"/>
      <c r="CO220" s="2"/>
      <c r="CP220" s="2"/>
      <c r="CQ220" s="2"/>
      <c r="CR220" s="2"/>
      <c r="CS220" s="2"/>
      <c r="CT220" s="2"/>
      <c r="CU220" s="2"/>
      <c r="CV220" s="2"/>
      <c r="CW220" s="2"/>
      <c r="CX220" s="2"/>
      <c r="CY220" s="2"/>
      <c r="CZ220" s="2"/>
    </row>
    <row r="221" spans="43:104" ht="15" hidden="1" customHeight="1" x14ac:dyDescent="0.2">
      <c r="AQ221" s="12"/>
      <c r="AR221" s="12">
        <v>1375000</v>
      </c>
      <c r="AS221" s="12">
        <v>1560000</v>
      </c>
      <c r="AT221" s="2"/>
      <c r="AU221" s="2"/>
      <c r="AV221" s="2"/>
      <c r="AW221" s="2"/>
      <c r="AX221" s="2"/>
      <c r="AY221" s="2"/>
      <c r="AZ221" s="2"/>
      <c r="BA221" s="2"/>
      <c r="BB221" s="2"/>
      <c r="BC221" s="2"/>
      <c r="BD221" s="2"/>
      <c r="BE221" s="2"/>
      <c r="BK221" s="84"/>
      <c r="BL221" s="2"/>
      <c r="BM221" s="2"/>
      <c r="BN221" s="2"/>
      <c r="BO221" s="2"/>
      <c r="BS221" s="11"/>
      <c r="BT221" s="2"/>
      <c r="BU221" s="3"/>
      <c r="BV221" s="3"/>
      <c r="BW221" s="2"/>
      <c r="BX221" s="2"/>
      <c r="BY221" s="2"/>
      <c r="BZ221" s="2"/>
      <c r="CA221" s="46"/>
      <c r="CB221" s="1"/>
      <c r="CC221" s="7"/>
      <c r="CD221" s="1"/>
      <c r="CE221" s="1"/>
      <c r="CF221" s="1"/>
      <c r="CG221" s="1"/>
      <c r="CH221" s="1"/>
      <c r="CI221" s="2"/>
      <c r="CJ221" s="2"/>
      <c r="CK221" s="2"/>
      <c r="CL221" s="2"/>
      <c r="CM221" s="2"/>
      <c r="CN221" s="2"/>
      <c r="CO221" s="2"/>
      <c r="CP221" s="2"/>
      <c r="CQ221" s="2"/>
      <c r="CR221" s="2"/>
      <c r="CS221" s="2"/>
      <c r="CT221" s="2"/>
      <c r="CU221" s="2"/>
      <c r="CV221" s="2"/>
      <c r="CW221" s="2"/>
      <c r="CX221" s="2"/>
      <c r="CY221" s="2"/>
      <c r="CZ221" s="2"/>
    </row>
    <row r="222" spans="43:104" ht="15" hidden="1" customHeight="1" x14ac:dyDescent="0.2">
      <c r="AQ222" s="13"/>
      <c r="AR222" s="12">
        <v>1380000</v>
      </c>
      <c r="AS222" s="12">
        <v>1570000</v>
      </c>
      <c r="AT222" s="2"/>
      <c r="AU222" s="2"/>
      <c r="AV222" s="2"/>
      <c r="AW222" s="2"/>
      <c r="AX222" s="2"/>
      <c r="AY222" s="2"/>
      <c r="AZ222" s="2"/>
      <c r="BA222" s="2"/>
      <c r="BB222" s="2"/>
      <c r="BC222" s="2"/>
      <c r="BD222" s="2"/>
      <c r="BE222" s="2"/>
      <c r="BK222" s="84"/>
      <c r="BL222" s="2"/>
      <c r="BM222" s="2"/>
      <c r="BN222" s="2"/>
      <c r="BO222" s="2"/>
      <c r="BS222" s="11"/>
      <c r="BT222" s="2"/>
      <c r="BU222" s="3"/>
      <c r="BV222" s="3"/>
      <c r="BW222" s="2"/>
      <c r="BX222" s="2"/>
      <c r="BY222" s="2"/>
      <c r="BZ222" s="2"/>
      <c r="CA222" s="2"/>
      <c r="CB222" s="2"/>
      <c r="CC222" s="2"/>
      <c r="CD222" s="1"/>
      <c r="CE222" s="1"/>
      <c r="CF222" s="1"/>
      <c r="CG222" s="1"/>
      <c r="CH222" s="1"/>
      <c r="CI222" s="2"/>
      <c r="CJ222" s="2"/>
      <c r="CK222" s="2"/>
      <c r="CL222" s="2"/>
      <c r="CM222" s="2"/>
      <c r="CN222" s="2"/>
      <c r="CO222" s="2"/>
      <c r="CP222" s="2"/>
      <c r="CQ222" s="2"/>
      <c r="CR222" s="2"/>
      <c r="CS222" s="2"/>
      <c r="CT222" s="2"/>
      <c r="CU222" s="2"/>
      <c r="CV222" s="2"/>
      <c r="CW222" s="2"/>
      <c r="CX222" s="2"/>
      <c r="CY222" s="2"/>
      <c r="CZ222" s="2"/>
    </row>
    <row r="223" spans="43:104" ht="15" hidden="1" customHeight="1" x14ac:dyDescent="0.2">
      <c r="AQ223" s="13"/>
      <c r="AR223" s="12">
        <v>1385000</v>
      </c>
      <c r="AS223" s="12">
        <v>1580000</v>
      </c>
      <c r="AT223" s="2"/>
      <c r="AU223" s="2"/>
      <c r="AV223" s="2"/>
      <c r="AW223" s="2"/>
      <c r="AX223" s="2"/>
      <c r="AY223" s="2"/>
      <c r="AZ223" s="2"/>
      <c r="BA223" s="2"/>
      <c r="BB223" s="2"/>
      <c r="BC223" s="2"/>
      <c r="BD223" s="2"/>
      <c r="BE223" s="2"/>
      <c r="BK223" s="84"/>
      <c r="BL223" s="2"/>
      <c r="BM223" s="2"/>
      <c r="BN223" s="2"/>
      <c r="BO223" s="2"/>
      <c r="BS223" s="11"/>
      <c r="BT223" s="2"/>
      <c r="BU223" s="3"/>
      <c r="BV223" s="3"/>
      <c r="BW223" s="2"/>
      <c r="BX223" s="2"/>
      <c r="BY223" s="2"/>
      <c r="BZ223" s="2"/>
      <c r="CA223" s="2"/>
      <c r="CB223" s="2"/>
      <c r="CC223" s="2"/>
      <c r="CD223" s="1"/>
      <c r="CE223" s="1"/>
      <c r="CF223" s="1"/>
      <c r="CG223" s="1"/>
      <c r="CH223" s="1"/>
      <c r="CI223" s="2"/>
      <c r="CJ223" s="2"/>
      <c r="CK223" s="2"/>
      <c r="CL223" s="2"/>
      <c r="CM223" s="2"/>
      <c r="CN223" s="2"/>
      <c r="CO223" s="2"/>
      <c r="CP223" s="2"/>
      <c r="CQ223" s="2"/>
      <c r="CR223" s="2"/>
      <c r="CS223" s="2"/>
      <c r="CT223" s="2"/>
      <c r="CU223" s="2"/>
      <c r="CV223" s="2"/>
      <c r="CW223" s="2"/>
      <c r="CX223" s="2"/>
      <c r="CY223" s="2"/>
      <c r="CZ223" s="2"/>
    </row>
    <row r="224" spans="43:104" ht="15" hidden="1" customHeight="1" x14ac:dyDescent="0.2">
      <c r="AQ224" s="85"/>
      <c r="AR224" s="12">
        <v>1390000</v>
      </c>
      <c r="AS224" s="12">
        <v>1590000</v>
      </c>
      <c r="AT224" s="2"/>
      <c r="AU224" s="2"/>
      <c r="AV224" s="2"/>
      <c r="AW224" s="2"/>
      <c r="AX224" s="2"/>
      <c r="AY224" s="2"/>
      <c r="AZ224" s="2"/>
      <c r="BA224" s="2"/>
      <c r="BB224" s="2"/>
      <c r="BC224" s="2"/>
      <c r="BD224" s="2"/>
      <c r="BE224" s="2"/>
      <c r="BK224" s="84"/>
      <c r="BL224" s="2"/>
      <c r="BM224" s="2"/>
      <c r="BN224" s="2"/>
      <c r="BO224" s="2"/>
      <c r="BS224" s="11"/>
      <c r="BT224" s="2"/>
      <c r="BU224" s="3"/>
      <c r="BV224" s="3"/>
      <c r="BW224" s="2"/>
      <c r="BX224" s="2"/>
      <c r="BY224" s="2"/>
      <c r="BZ224" s="2"/>
      <c r="CA224" s="2"/>
      <c r="CB224" s="2"/>
      <c r="CC224" s="2"/>
      <c r="CD224" s="1"/>
      <c r="CE224" s="1"/>
      <c r="CF224" s="1"/>
      <c r="CG224" s="1"/>
      <c r="CH224" s="1"/>
      <c r="CI224" s="2"/>
      <c r="CJ224" s="2"/>
      <c r="CK224" s="2"/>
      <c r="CL224" s="2"/>
      <c r="CM224" s="2"/>
      <c r="CN224" s="2"/>
      <c r="CO224" s="2"/>
      <c r="CP224" s="2"/>
      <c r="CQ224" s="2"/>
      <c r="CR224" s="2"/>
      <c r="CS224" s="2"/>
      <c r="CT224" s="2"/>
      <c r="CU224" s="2"/>
      <c r="CV224" s="2"/>
      <c r="CW224" s="2"/>
      <c r="CX224" s="2"/>
      <c r="CY224" s="2"/>
      <c r="CZ224" s="2"/>
    </row>
    <row r="225" spans="43:104" ht="15" hidden="1" customHeight="1" x14ac:dyDescent="0.2">
      <c r="AQ225" s="12"/>
      <c r="AR225" s="12">
        <v>1395000</v>
      </c>
      <c r="AS225" s="12">
        <v>1600000</v>
      </c>
      <c r="AT225" s="2"/>
      <c r="AU225" s="2"/>
      <c r="AV225" s="2"/>
      <c r="AW225" s="2"/>
      <c r="AX225" s="2"/>
      <c r="AY225" s="2"/>
      <c r="AZ225" s="2"/>
      <c r="BA225" s="2"/>
      <c r="BB225" s="2"/>
      <c r="BC225" s="2"/>
      <c r="BD225" s="2"/>
      <c r="BE225" s="2"/>
      <c r="BK225" s="84"/>
      <c r="BL225" s="2"/>
      <c r="BM225" s="2"/>
      <c r="BN225" s="2"/>
      <c r="BO225" s="2"/>
      <c r="BS225" s="11"/>
      <c r="BT225" s="2"/>
      <c r="BU225" s="3"/>
      <c r="BV225" s="3"/>
      <c r="BW225" s="2"/>
      <c r="BX225" s="2"/>
      <c r="BY225" s="2"/>
      <c r="BZ225" s="2"/>
      <c r="CA225" s="2"/>
      <c r="CB225" s="2"/>
      <c r="CC225" s="2"/>
      <c r="CD225" s="1"/>
      <c r="CE225" s="1"/>
      <c r="CF225" s="1"/>
      <c r="CG225" s="1"/>
      <c r="CH225" s="1"/>
      <c r="CI225" s="2"/>
      <c r="CJ225" s="2"/>
      <c r="CK225" s="2"/>
      <c r="CL225" s="2"/>
      <c r="CM225" s="2"/>
      <c r="CN225" s="2"/>
      <c r="CO225" s="2"/>
      <c r="CP225" s="2"/>
      <c r="CQ225" s="2"/>
      <c r="CR225" s="2"/>
      <c r="CS225" s="2"/>
      <c r="CT225" s="2"/>
      <c r="CU225" s="2"/>
      <c r="CV225" s="2"/>
      <c r="CW225" s="2"/>
      <c r="CX225" s="2"/>
      <c r="CY225" s="2"/>
      <c r="CZ225" s="2"/>
    </row>
    <row r="226" spans="43:104" ht="15" hidden="1" customHeight="1" x14ac:dyDescent="0.2">
      <c r="AQ226" s="12"/>
      <c r="AR226" s="12">
        <v>1400000</v>
      </c>
      <c r="AS226" s="12">
        <v>1610000</v>
      </c>
      <c r="AT226" s="2"/>
      <c r="AU226" s="2"/>
      <c r="AV226" s="2"/>
      <c r="AW226" s="2"/>
      <c r="AX226" s="2"/>
      <c r="AY226" s="2"/>
      <c r="AZ226" s="2"/>
      <c r="BA226" s="2"/>
      <c r="BB226" s="2"/>
      <c r="BC226" s="2"/>
      <c r="BD226" s="2"/>
      <c r="BE226" s="2"/>
      <c r="BK226" s="84"/>
      <c r="BL226" s="2"/>
      <c r="BM226" s="2"/>
      <c r="BN226" s="2"/>
      <c r="BO226" s="2"/>
      <c r="BS226" s="11"/>
      <c r="BT226" s="2"/>
      <c r="BU226" s="3"/>
      <c r="BV226" s="3"/>
      <c r="BW226" s="2"/>
      <c r="BX226" s="2"/>
      <c r="BY226" s="2"/>
      <c r="BZ226" s="2"/>
      <c r="CA226" s="2"/>
      <c r="CB226" s="2"/>
      <c r="CC226" s="2"/>
      <c r="CD226" s="1"/>
      <c r="CE226" s="1"/>
      <c r="CF226" s="1"/>
      <c r="CG226" s="1"/>
      <c r="CH226" s="1"/>
      <c r="CI226" s="2"/>
      <c r="CJ226" s="2"/>
      <c r="CK226" s="2"/>
      <c r="CL226" s="2"/>
      <c r="CM226" s="2"/>
      <c r="CN226" s="2"/>
      <c r="CO226" s="2"/>
      <c r="CP226" s="2"/>
      <c r="CQ226" s="2"/>
      <c r="CR226" s="2"/>
      <c r="CS226" s="2"/>
      <c r="CT226" s="2"/>
      <c r="CU226" s="2"/>
      <c r="CV226" s="2"/>
      <c r="CW226" s="2"/>
      <c r="CX226" s="2"/>
      <c r="CY226" s="2"/>
      <c r="CZ226" s="2"/>
    </row>
    <row r="227" spans="43:104" ht="15" hidden="1" customHeight="1" x14ac:dyDescent="0.2">
      <c r="AQ227" s="13"/>
      <c r="AR227" s="12">
        <v>1405000</v>
      </c>
      <c r="AS227" s="12">
        <v>1620000</v>
      </c>
      <c r="AT227" s="2"/>
      <c r="AU227" s="2"/>
      <c r="AV227" s="2"/>
      <c r="AW227" s="2"/>
      <c r="AX227" s="2"/>
      <c r="AY227" s="2"/>
      <c r="AZ227" s="2"/>
      <c r="BA227" s="2"/>
      <c r="BB227" s="2"/>
      <c r="BC227" s="2"/>
      <c r="BD227" s="2"/>
      <c r="BE227" s="2"/>
      <c r="BK227" s="84"/>
      <c r="BL227" s="2"/>
      <c r="BM227" s="2"/>
      <c r="BN227" s="2"/>
      <c r="BO227" s="2"/>
      <c r="BS227" s="11"/>
      <c r="BT227" s="2"/>
      <c r="BU227" s="3"/>
      <c r="BV227" s="3"/>
      <c r="BW227" s="2"/>
      <c r="BX227" s="2"/>
      <c r="BY227" s="2"/>
      <c r="BZ227" s="2"/>
      <c r="CA227" s="2"/>
      <c r="CB227" s="2"/>
      <c r="CC227" s="2"/>
      <c r="CD227" s="1"/>
      <c r="CE227" s="1"/>
      <c r="CF227" s="1"/>
      <c r="CG227" s="1"/>
      <c r="CH227" s="1"/>
      <c r="CI227" s="2"/>
      <c r="CJ227" s="2"/>
      <c r="CK227" s="2"/>
      <c r="CL227" s="2"/>
      <c r="CM227" s="2"/>
      <c r="CN227" s="2"/>
      <c r="CO227" s="2"/>
      <c r="CP227" s="2"/>
      <c r="CQ227" s="2"/>
      <c r="CR227" s="2"/>
      <c r="CS227" s="2"/>
      <c r="CT227" s="2"/>
      <c r="CU227" s="2"/>
      <c r="CV227" s="2"/>
      <c r="CW227" s="2"/>
      <c r="CX227" s="2"/>
      <c r="CY227" s="2"/>
      <c r="CZ227" s="2"/>
    </row>
    <row r="228" spans="43:104" ht="15" hidden="1" customHeight="1" x14ac:dyDescent="0.2">
      <c r="AQ228" s="13"/>
      <c r="AR228" s="12">
        <v>1410000</v>
      </c>
      <c r="AS228" s="12">
        <v>1630000</v>
      </c>
      <c r="AT228" s="2"/>
      <c r="AU228" s="2"/>
      <c r="AV228" s="2"/>
      <c r="AW228" s="2"/>
      <c r="AX228" s="2"/>
      <c r="AY228" s="2"/>
      <c r="AZ228" s="2"/>
      <c r="BA228" s="2"/>
      <c r="BB228" s="2"/>
      <c r="BC228" s="2"/>
      <c r="BD228" s="2"/>
      <c r="BE228" s="2"/>
      <c r="BK228" s="2"/>
      <c r="BM228" s="2"/>
      <c r="BN228" s="2"/>
      <c r="BO228" s="2"/>
      <c r="BS228" s="11"/>
      <c r="BT228" s="2"/>
      <c r="BU228" s="3"/>
      <c r="BV228" s="3"/>
      <c r="BW228" s="2"/>
      <c r="BX228" s="2"/>
      <c r="BY228" s="2"/>
      <c r="BZ228" s="2"/>
      <c r="CA228" s="2"/>
      <c r="CB228" s="2"/>
      <c r="CC228" s="2"/>
      <c r="CD228" s="1"/>
      <c r="CE228" s="1"/>
      <c r="CF228" s="1"/>
      <c r="CG228" s="1"/>
      <c r="CH228" s="1"/>
      <c r="CI228" s="2"/>
      <c r="CJ228" s="2"/>
      <c r="CK228" s="2"/>
      <c r="CL228" s="2"/>
      <c r="CM228" s="2"/>
      <c r="CN228" s="2"/>
      <c r="CO228" s="2"/>
      <c r="CP228" s="2"/>
      <c r="CQ228" s="2"/>
      <c r="CR228" s="2"/>
      <c r="CS228" s="2"/>
      <c r="CT228" s="2"/>
      <c r="CU228" s="2"/>
      <c r="CV228" s="2"/>
      <c r="CW228" s="2"/>
      <c r="CX228" s="2"/>
      <c r="CY228" s="2"/>
      <c r="CZ228" s="2"/>
    </row>
    <row r="229" spans="43:104" ht="15" hidden="1" customHeight="1" x14ac:dyDescent="0.2">
      <c r="AQ229" s="85"/>
      <c r="AR229" s="12">
        <v>1415000</v>
      </c>
      <c r="AS229" s="12">
        <v>1640000</v>
      </c>
      <c r="AT229" s="2"/>
      <c r="AU229" s="2"/>
      <c r="AV229" s="2"/>
      <c r="AW229" s="2"/>
      <c r="AX229" s="2"/>
      <c r="AY229" s="2"/>
      <c r="AZ229" s="2"/>
      <c r="BA229" s="2"/>
      <c r="BB229" s="2"/>
      <c r="BC229" s="2"/>
      <c r="BD229" s="2"/>
      <c r="BE229" s="2"/>
      <c r="BK229" s="2"/>
      <c r="BM229" s="2"/>
      <c r="BN229" s="2"/>
      <c r="BO229" s="2"/>
      <c r="BS229" s="11"/>
      <c r="BT229" s="2"/>
      <c r="BU229" s="3"/>
      <c r="BV229" s="3"/>
      <c r="BW229" s="2"/>
      <c r="BX229" s="2"/>
      <c r="BY229" s="2"/>
      <c r="BZ229" s="2"/>
      <c r="CA229" s="2"/>
      <c r="CB229" s="2"/>
      <c r="CC229" s="2"/>
      <c r="CD229" s="1"/>
      <c r="CE229" s="1"/>
      <c r="CF229" s="1"/>
      <c r="CG229" s="1"/>
      <c r="CH229" s="1"/>
      <c r="CI229" s="2"/>
      <c r="CJ229" s="2"/>
      <c r="CK229" s="2"/>
      <c r="CL229" s="2"/>
      <c r="CM229" s="2"/>
      <c r="CN229" s="2"/>
      <c r="CO229" s="2"/>
      <c r="CP229" s="2"/>
      <c r="CQ229" s="2"/>
      <c r="CR229" s="2"/>
      <c r="CS229" s="2"/>
      <c r="CT229" s="2"/>
      <c r="CU229" s="2"/>
      <c r="CV229" s="2"/>
      <c r="CW229" s="2"/>
      <c r="CX229" s="2"/>
      <c r="CY229" s="2"/>
      <c r="CZ229" s="2"/>
    </row>
    <row r="230" spans="43:104" ht="15" hidden="1" customHeight="1" x14ac:dyDescent="0.2">
      <c r="AQ230" s="12"/>
      <c r="AR230" s="12">
        <v>1420000</v>
      </c>
      <c r="AS230" s="12">
        <v>1650000</v>
      </c>
      <c r="AT230" s="2"/>
      <c r="AU230" s="2"/>
      <c r="AV230" s="2"/>
      <c r="AW230" s="2"/>
      <c r="AX230" s="2"/>
      <c r="AY230" s="2"/>
      <c r="AZ230" s="2"/>
      <c r="BA230" s="2"/>
      <c r="BB230" s="2"/>
      <c r="BC230" s="2"/>
      <c r="BD230" s="2"/>
      <c r="BE230" s="2"/>
      <c r="BK230" s="2"/>
      <c r="BM230" s="2"/>
      <c r="BN230" s="2"/>
      <c r="BO230" s="2"/>
      <c r="BS230" s="11"/>
      <c r="BT230" s="2"/>
      <c r="BU230" s="3"/>
      <c r="BV230" s="3"/>
      <c r="BW230" s="2"/>
      <c r="BX230" s="2"/>
      <c r="BY230" s="2"/>
      <c r="BZ230" s="2"/>
      <c r="CA230" s="46"/>
      <c r="CB230" s="1"/>
      <c r="CC230" s="1"/>
      <c r="CD230" s="1"/>
      <c r="CE230" s="1"/>
      <c r="CF230" s="1"/>
      <c r="CG230" s="1"/>
      <c r="CH230" s="1"/>
      <c r="CI230" s="2"/>
      <c r="CJ230" s="2"/>
      <c r="CK230" s="2"/>
      <c r="CL230" s="2"/>
      <c r="CM230" s="2"/>
      <c r="CN230" s="2"/>
      <c r="CO230" s="2"/>
      <c r="CP230" s="2"/>
      <c r="CQ230" s="2"/>
      <c r="CR230" s="2"/>
      <c r="CS230" s="2"/>
      <c r="CT230" s="2"/>
      <c r="CU230" s="2"/>
      <c r="CV230" s="2"/>
      <c r="CW230" s="2"/>
      <c r="CX230" s="2"/>
      <c r="CY230" s="2"/>
      <c r="CZ230" s="2"/>
    </row>
    <row r="231" spans="43:104" ht="15" hidden="1" customHeight="1" x14ac:dyDescent="0.2">
      <c r="AQ231" s="12"/>
      <c r="AR231" s="12">
        <v>1425000</v>
      </c>
      <c r="AS231" s="12">
        <v>1660000</v>
      </c>
      <c r="AT231" s="2"/>
      <c r="AU231" s="2"/>
      <c r="AV231" s="2"/>
      <c r="AW231" s="2"/>
      <c r="AX231" s="2"/>
      <c r="AY231" s="2"/>
      <c r="AZ231" s="2"/>
      <c r="BA231" s="2"/>
      <c r="BB231" s="2"/>
      <c r="BC231" s="2"/>
      <c r="BD231" s="2"/>
      <c r="BE231" s="2"/>
      <c r="BK231" s="2"/>
      <c r="BM231" s="2"/>
      <c r="BN231" s="2"/>
      <c r="BO231" s="2"/>
      <c r="BS231" s="11"/>
      <c r="BT231" s="2"/>
      <c r="BU231" s="3"/>
      <c r="BV231" s="3"/>
      <c r="BW231" s="2"/>
      <c r="BX231" s="2"/>
      <c r="BY231" s="2"/>
      <c r="BZ231" s="2"/>
      <c r="CA231" s="46"/>
      <c r="CB231" s="1"/>
      <c r="CC231" s="1"/>
      <c r="CD231" s="1"/>
      <c r="CE231" s="1"/>
      <c r="CF231" s="1"/>
      <c r="CG231" s="1"/>
      <c r="CH231" s="1"/>
      <c r="CI231" s="2"/>
      <c r="CJ231" s="2"/>
      <c r="CK231" s="2"/>
      <c r="CL231" s="2"/>
      <c r="CM231" s="2"/>
      <c r="CN231" s="2"/>
      <c r="CO231" s="2"/>
      <c r="CP231" s="2"/>
      <c r="CQ231" s="2"/>
      <c r="CR231" s="2"/>
      <c r="CS231" s="2"/>
      <c r="CT231" s="2"/>
      <c r="CU231" s="2"/>
      <c r="CV231" s="2"/>
      <c r="CW231" s="2"/>
      <c r="CX231" s="2"/>
      <c r="CY231" s="2"/>
      <c r="CZ231" s="2"/>
    </row>
    <row r="232" spans="43:104" ht="15" hidden="1" customHeight="1" x14ac:dyDescent="0.2">
      <c r="AQ232" s="13"/>
      <c r="AR232" s="12">
        <v>1430000</v>
      </c>
      <c r="AS232" s="12">
        <v>1670000</v>
      </c>
      <c r="AT232" s="2"/>
      <c r="AU232" s="2"/>
      <c r="AV232" s="2"/>
      <c r="AW232" s="2"/>
      <c r="AX232" s="2"/>
      <c r="AY232" s="2"/>
      <c r="AZ232" s="2"/>
      <c r="BA232" s="2"/>
      <c r="BB232" s="2"/>
      <c r="BC232" s="2"/>
      <c r="BD232" s="2"/>
      <c r="BE232" s="2"/>
      <c r="BK232" s="2"/>
      <c r="BM232" s="2"/>
      <c r="BN232" s="2"/>
      <c r="BO232" s="2"/>
      <c r="BS232" s="11"/>
      <c r="BT232" s="2"/>
      <c r="BU232" s="3"/>
      <c r="BV232" s="3"/>
      <c r="BW232" s="2"/>
      <c r="BX232" s="2"/>
      <c r="BY232" s="2"/>
      <c r="BZ232" s="2"/>
      <c r="CA232" s="46"/>
      <c r="CB232" s="1"/>
      <c r="CC232" s="1"/>
      <c r="CD232" s="1"/>
      <c r="CE232" s="1"/>
      <c r="CF232" s="1"/>
      <c r="CG232" s="1"/>
      <c r="CH232" s="1"/>
      <c r="CI232" s="2"/>
      <c r="CJ232" s="2"/>
      <c r="CK232" s="2"/>
      <c r="CL232" s="2"/>
      <c r="CM232" s="2"/>
      <c r="CN232" s="2"/>
      <c r="CO232" s="2"/>
      <c r="CP232" s="2"/>
      <c r="CQ232" s="2"/>
      <c r="CR232" s="2"/>
      <c r="CS232" s="2"/>
      <c r="CT232" s="2"/>
      <c r="CU232" s="2"/>
      <c r="CV232" s="2"/>
      <c r="CW232" s="2"/>
      <c r="CX232" s="2"/>
      <c r="CY232" s="2"/>
      <c r="CZ232" s="2"/>
    </row>
    <row r="233" spans="43:104" ht="15" hidden="1" customHeight="1" x14ac:dyDescent="0.2">
      <c r="AQ233" s="13"/>
      <c r="AR233" s="12">
        <v>1435000</v>
      </c>
      <c r="AS233" s="12">
        <v>1680000</v>
      </c>
      <c r="AT233" s="2"/>
      <c r="AU233" s="2"/>
      <c r="AV233" s="2"/>
      <c r="AW233" s="2"/>
      <c r="AX233" s="2"/>
      <c r="AY233" s="2"/>
      <c r="AZ233" s="2"/>
      <c r="BA233" s="2"/>
      <c r="BB233" s="2"/>
      <c r="BC233" s="2"/>
      <c r="BD233" s="2"/>
      <c r="BE233" s="2"/>
      <c r="BK233" s="2"/>
      <c r="BM233" s="2"/>
      <c r="BN233" s="2"/>
      <c r="BO233" s="2"/>
      <c r="BS233" s="11"/>
      <c r="BT233" s="2"/>
      <c r="BU233" s="3"/>
      <c r="BV233" s="3"/>
      <c r="BW233" s="2"/>
      <c r="BX233" s="2"/>
      <c r="BY233" s="2"/>
      <c r="BZ233" s="2"/>
      <c r="CA233" s="46"/>
      <c r="CB233" s="1"/>
      <c r="CC233" s="1"/>
      <c r="CD233" s="1"/>
      <c r="CE233" s="1"/>
      <c r="CF233" s="1"/>
      <c r="CG233" s="1"/>
      <c r="CH233" s="1"/>
      <c r="CI233" s="2"/>
      <c r="CJ233" s="2"/>
      <c r="CK233" s="2"/>
      <c r="CL233" s="2"/>
      <c r="CM233" s="2"/>
      <c r="CN233" s="2"/>
      <c r="CO233" s="2"/>
      <c r="CP233" s="2"/>
      <c r="CQ233" s="2"/>
      <c r="CR233" s="2"/>
      <c r="CS233" s="2"/>
      <c r="CT233" s="2"/>
      <c r="CU233" s="2"/>
      <c r="CV233" s="2"/>
      <c r="CW233" s="2"/>
      <c r="CX233" s="2"/>
      <c r="CY233" s="2"/>
      <c r="CZ233" s="2"/>
    </row>
    <row r="234" spans="43:104" ht="15" hidden="1" customHeight="1" x14ac:dyDescent="0.2">
      <c r="AQ234" s="85"/>
      <c r="AR234" s="12">
        <v>1440000</v>
      </c>
      <c r="AS234" s="12">
        <v>1690000</v>
      </c>
      <c r="AT234" s="2"/>
      <c r="AU234" s="2"/>
      <c r="AV234" s="2"/>
      <c r="AW234" s="2"/>
      <c r="AX234" s="2"/>
      <c r="AY234" s="2"/>
      <c r="AZ234" s="2"/>
      <c r="BA234" s="2"/>
      <c r="BB234" s="2"/>
      <c r="BC234" s="2"/>
      <c r="BD234" s="2"/>
      <c r="BE234" s="2"/>
      <c r="BK234" s="2"/>
      <c r="BM234" s="2"/>
      <c r="BN234" s="2"/>
      <c r="BO234" s="2"/>
      <c r="BS234" s="11"/>
      <c r="BT234" s="2"/>
      <c r="BU234" s="3"/>
      <c r="BV234" s="3"/>
      <c r="BW234" s="2"/>
      <c r="BX234" s="2"/>
      <c r="BY234" s="2"/>
      <c r="BZ234" s="46"/>
      <c r="CA234" s="1"/>
      <c r="CB234" s="1"/>
      <c r="CC234" s="1"/>
      <c r="CD234" s="1"/>
      <c r="CE234" s="1"/>
      <c r="CF234" s="1"/>
      <c r="CG234" s="1"/>
      <c r="CH234" s="1"/>
      <c r="CI234" s="2"/>
      <c r="CJ234" s="2"/>
      <c r="CK234" s="2"/>
      <c r="CL234" s="2"/>
      <c r="CM234" s="2"/>
      <c r="CN234" s="2"/>
      <c r="CO234" s="2"/>
      <c r="CP234" s="2"/>
      <c r="CQ234" s="2"/>
      <c r="CR234" s="2"/>
      <c r="CS234" s="2"/>
      <c r="CT234" s="2"/>
      <c r="CU234" s="2"/>
      <c r="CV234" s="2"/>
      <c r="CW234" s="2"/>
      <c r="CX234" s="2"/>
      <c r="CY234" s="2"/>
      <c r="CZ234" s="2"/>
    </row>
    <row r="235" spans="43:104" ht="15" hidden="1" customHeight="1" x14ac:dyDescent="0.2">
      <c r="AQ235" s="12"/>
      <c r="AR235" s="12">
        <v>1445000</v>
      </c>
      <c r="AS235" s="12">
        <v>1700000</v>
      </c>
      <c r="AT235" s="2"/>
      <c r="AU235" s="2"/>
      <c r="AV235" s="2"/>
      <c r="AW235" s="2"/>
      <c r="AX235" s="2"/>
      <c r="AY235" s="2"/>
      <c r="AZ235" s="2"/>
      <c r="BA235" s="2"/>
      <c r="BB235" s="2"/>
      <c r="BC235" s="2"/>
      <c r="BD235" s="2"/>
      <c r="BE235" s="2"/>
      <c r="BK235" s="2"/>
      <c r="BM235" s="2"/>
      <c r="BN235" s="2"/>
      <c r="BO235" s="2"/>
      <c r="BS235" s="11"/>
      <c r="BT235" s="2"/>
      <c r="BU235" s="3"/>
      <c r="BV235" s="3"/>
      <c r="BW235" s="2"/>
      <c r="BX235" s="2"/>
      <c r="BY235" s="2"/>
      <c r="BZ235" s="2"/>
      <c r="CA235" s="46"/>
      <c r="CB235" s="1"/>
      <c r="CC235" s="7"/>
      <c r="CD235" s="1"/>
      <c r="CE235" s="1"/>
      <c r="CF235" s="1"/>
      <c r="CG235" s="1"/>
      <c r="CH235" s="1"/>
      <c r="CI235" s="2"/>
      <c r="CJ235" s="2"/>
      <c r="CK235" s="2"/>
      <c r="CL235" s="2"/>
      <c r="CM235" s="2"/>
      <c r="CN235" s="2"/>
      <c r="CO235" s="2"/>
      <c r="CP235" s="2"/>
      <c r="CQ235" s="2"/>
      <c r="CR235" s="2"/>
      <c r="CS235" s="2"/>
      <c r="CT235" s="2"/>
      <c r="CU235" s="2"/>
      <c r="CV235" s="2"/>
      <c r="CW235" s="2"/>
      <c r="CX235" s="2"/>
      <c r="CY235" s="2"/>
      <c r="CZ235" s="2"/>
    </row>
    <row r="236" spans="43:104" ht="15" hidden="1" customHeight="1" x14ac:dyDescent="0.2">
      <c r="AQ236" s="12"/>
      <c r="AR236" s="12">
        <v>1450000</v>
      </c>
      <c r="AS236" s="12">
        <v>1710000</v>
      </c>
      <c r="AT236" s="2"/>
      <c r="AU236" s="2"/>
      <c r="AV236" s="2"/>
      <c r="AW236" s="2"/>
      <c r="AX236" s="2"/>
      <c r="AY236" s="2"/>
      <c r="AZ236" s="2"/>
      <c r="BA236" s="2"/>
      <c r="BB236" s="2"/>
      <c r="BC236" s="2"/>
      <c r="BD236" s="2"/>
      <c r="BE236" s="2"/>
      <c r="BK236" s="2"/>
      <c r="BM236" s="2"/>
      <c r="BN236" s="2"/>
      <c r="BO236" s="2"/>
      <c r="BS236" s="11"/>
      <c r="BT236" s="2"/>
      <c r="BU236" s="3"/>
      <c r="BV236" s="3"/>
      <c r="BW236" s="2"/>
      <c r="BX236" s="2"/>
      <c r="BY236" s="2"/>
      <c r="BZ236" s="2"/>
      <c r="CA236" s="2"/>
      <c r="CB236" s="2"/>
      <c r="CC236" s="2"/>
      <c r="CD236" s="1"/>
      <c r="CE236" s="1"/>
      <c r="CF236" s="1"/>
      <c r="CG236" s="1"/>
      <c r="CH236" s="1"/>
      <c r="CI236" s="2"/>
      <c r="CJ236" s="2"/>
      <c r="CK236" s="2"/>
      <c r="CL236" s="2"/>
      <c r="CM236" s="2"/>
      <c r="CN236" s="2"/>
      <c r="CO236" s="2"/>
      <c r="CP236" s="2"/>
      <c r="CQ236" s="2"/>
      <c r="CR236" s="2"/>
      <c r="CS236" s="2"/>
      <c r="CT236" s="2"/>
      <c r="CU236" s="2"/>
      <c r="CV236" s="2"/>
      <c r="CW236" s="2"/>
      <c r="CX236" s="2"/>
      <c r="CY236" s="2"/>
      <c r="CZ236" s="2"/>
    </row>
    <row r="237" spans="43:104" ht="15" hidden="1" customHeight="1" x14ac:dyDescent="0.2">
      <c r="AQ237" s="13"/>
      <c r="AR237" s="12">
        <v>1455000</v>
      </c>
      <c r="AS237" s="12">
        <v>1720000</v>
      </c>
      <c r="AT237" s="2"/>
      <c r="AU237" s="2"/>
      <c r="AV237" s="2"/>
      <c r="AW237" s="2"/>
      <c r="AX237" s="2"/>
      <c r="AY237" s="2"/>
      <c r="AZ237" s="2"/>
      <c r="BA237" s="2"/>
      <c r="BB237" s="2"/>
      <c r="BC237" s="2"/>
      <c r="BD237" s="2"/>
      <c r="BE237" s="2"/>
      <c r="BK237" s="2"/>
      <c r="BM237" s="2"/>
      <c r="BN237" s="2"/>
      <c r="BO237" s="2"/>
      <c r="BS237" s="11"/>
      <c r="BT237" s="2"/>
      <c r="BU237" s="3"/>
      <c r="BV237" s="3"/>
      <c r="BW237" s="2"/>
      <c r="BX237" s="2"/>
      <c r="BY237" s="2"/>
      <c r="BZ237" s="2"/>
      <c r="CA237" s="2"/>
      <c r="CB237" s="2"/>
      <c r="CC237" s="2"/>
      <c r="CD237" s="1"/>
      <c r="CE237" s="1"/>
      <c r="CF237" s="1"/>
      <c r="CG237" s="1"/>
      <c r="CH237" s="1"/>
      <c r="CI237" s="2"/>
      <c r="CJ237" s="2"/>
      <c r="CK237" s="2"/>
      <c r="CL237" s="2"/>
      <c r="CM237" s="2"/>
      <c r="CN237" s="2"/>
      <c r="CO237" s="2"/>
      <c r="CP237" s="2"/>
      <c r="CQ237" s="2"/>
      <c r="CR237" s="2"/>
      <c r="CS237" s="2"/>
      <c r="CT237" s="2"/>
      <c r="CU237" s="2"/>
      <c r="CV237" s="2"/>
      <c r="CW237" s="2"/>
      <c r="CX237" s="2"/>
      <c r="CY237" s="2"/>
      <c r="CZ237" s="2"/>
    </row>
    <row r="238" spans="43:104" ht="15" hidden="1" customHeight="1" x14ac:dyDescent="0.2">
      <c r="AQ238" s="13"/>
      <c r="AR238" s="12">
        <v>1460000</v>
      </c>
      <c r="AS238" s="12">
        <v>1730000</v>
      </c>
      <c r="AT238" s="2"/>
      <c r="AU238" s="2"/>
      <c r="AV238" s="2"/>
      <c r="AW238" s="2"/>
      <c r="AX238" s="2"/>
      <c r="AY238" s="2"/>
      <c r="AZ238" s="2"/>
      <c r="BA238" s="2"/>
      <c r="BB238" s="2"/>
      <c r="BC238" s="2"/>
      <c r="BD238" s="2"/>
      <c r="BE238" s="2"/>
      <c r="BK238" s="2"/>
      <c r="BM238" s="2"/>
      <c r="BN238" s="2"/>
      <c r="BO238" s="2"/>
      <c r="BS238" s="11"/>
      <c r="BT238" s="2"/>
      <c r="BU238" s="3"/>
      <c r="BV238" s="3"/>
      <c r="BW238" s="2"/>
      <c r="BX238" s="2"/>
      <c r="BY238" s="2"/>
      <c r="BZ238" s="2"/>
      <c r="CA238" s="2"/>
      <c r="CB238" s="2"/>
      <c r="CC238" s="2"/>
      <c r="CD238" s="1"/>
      <c r="CE238" s="1"/>
      <c r="CF238" s="1"/>
      <c r="CG238" s="1"/>
      <c r="CH238" s="1"/>
      <c r="CI238" s="2"/>
      <c r="CJ238" s="2"/>
      <c r="CK238" s="2"/>
      <c r="CL238" s="2"/>
      <c r="CM238" s="2"/>
      <c r="CN238" s="2"/>
      <c r="CO238" s="2"/>
      <c r="CP238" s="2"/>
      <c r="CQ238" s="2"/>
      <c r="CR238" s="2"/>
      <c r="CS238" s="2"/>
      <c r="CT238" s="2"/>
      <c r="CU238" s="2"/>
      <c r="CV238" s="2"/>
      <c r="CW238" s="2"/>
      <c r="CX238" s="2"/>
      <c r="CY238" s="2"/>
      <c r="CZ238" s="2"/>
    </row>
    <row r="239" spans="43:104" ht="15" hidden="1" customHeight="1" x14ac:dyDescent="0.2">
      <c r="AQ239" s="85"/>
      <c r="AR239" s="12">
        <v>1465000</v>
      </c>
      <c r="AS239" s="12">
        <v>1740000</v>
      </c>
      <c r="AT239" s="2"/>
      <c r="AU239" s="2"/>
      <c r="AV239" s="2"/>
      <c r="AW239" s="2"/>
      <c r="AX239" s="2"/>
      <c r="AY239" s="2"/>
      <c r="AZ239" s="2"/>
      <c r="BA239" s="2"/>
      <c r="BB239" s="2"/>
      <c r="BC239" s="2"/>
      <c r="BD239" s="2"/>
      <c r="BE239" s="2"/>
      <c r="BK239" s="2"/>
      <c r="BM239" s="2"/>
      <c r="BN239" s="2"/>
      <c r="BO239" s="2"/>
      <c r="BS239" s="11"/>
      <c r="BT239" s="2"/>
      <c r="BU239" s="3"/>
      <c r="BV239" s="3"/>
      <c r="BW239" s="2"/>
      <c r="BX239" s="2"/>
      <c r="BY239" s="2"/>
      <c r="BZ239" s="2"/>
      <c r="CA239" s="2"/>
      <c r="CB239" s="2"/>
      <c r="CC239" s="2"/>
      <c r="CD239" s="1"/>
      <c r="CE239" s="1"/>
      <c r="CF239" s="1"/>
      <c r="CG239" s="1"/>
      <c r="CH239" s="1"/>
      <c r="CI239" s="2"/>
      <c r="CJ239" s="2"/>
      <c r="CK239" s="2"/>
      <c r="CL239" s="2"/>
      <c r="CM239" s="2"/>
      <c r="CN239" s="2"/>
      <c r="CO239" s="2"/>
      <c r="CP239" s="2"/>
      <c r="CQ239" s="2"/>
      <c r="CR239" s="2"/>
      <c r="CS239" s="2"/>
      <c r="CT239" s="2"/>
      <c r="CU239" s="2"/>
      <c r="CV239" s="2"/>
      <c r="CW239" s="2"/>
      <c r="CX239" s="2"/>
      <c r="CY239" s="2"/>
      <c r="CZ239" s="2"/>
    </row>
    <row r="240" spans="43:104" ht="15" hidden="1" customHeight="1" x14ac:dyDescent="0.2">
      <c r="AQ240" s="12"/>
      <c r="AR240" s="12">
        <v>1470000</v>
      </c>
      <c r="AS240" s="12">
        <v>1750000</v>
      </c>
      <c r="AT240" s="2"/>
      <c r="AU240" s="2"/>
      <c r="AV240" s="2"/>
      <c r="AW240" s="2"/>
      <c r="AX240" s="2"/>
      <c r="AY240" s="2"/>
      <c r="AZ240" s="2"/>
      <c r="BA240" s="2"/>
      <c r="BB240" s="2"/>
      <c r="BC240" s="2"/>
      <c r="BD240" s="2"/>
      <c r="BE240" s="2"/>
      <c r="BK240" s="2"/>
      <c r="BM240" s="2"/>
      <c r="BN240" s="2"/>
      <c r="BO240" s="2"/>
      <c r="BS240" s="11"/>
      <c r="BT240" s="2"/>
      <c r="BU240" s="3"/>
      <c r="BV240" s="3"/>
      <c r="BW240" s="2"/>
      <c r="BX240" s="2"/>
      <c r="BY240" s="2"/>
      <c r="BZ240" s="2"/>
      <c r="CA240" s="2"/>
      <c r="CB240" s="2"/>
      <c r="CC240" s="2"/>
      <c r="CD240" s="1"/>
      <c r="CE240" s="1"/>
      <c r="CF240" s="1"/>
      <c r="CG240" s="1"/>
      <c r="CH240" s="1"/>
      <c r="CI240" s="2"/>
      <c r="CJ240" s="2"/>
      <c r="CK240" s="2"/>
      <c r="CL240" s="2"/>
      <c r="CM240" s="2"/>
      <c r="CN240" s="2"/>
      <c r="CO240" s="2"/>
      <c r="CP240" s="2"/>
      <c r="CQ240" s="2"/>
      <c r="CR240" s="2"/>
      <c r="CS240" s="2"/>
      <c r="CT240" s="2"/>
      <c r="CU240" s="2"/>
      <c r="CV240" s="2"/>
      <c r="CW240" s="2"/>
      <c r="CX240" s="2"/>
      <c r="CY240" s="2"/>
      <c r="CZ240" s="2"/>
    </row>
    <row r="241" spans="43:104" ht="15" hidden="1" customHeight="1" x14ac:dyDescent="0.2">
      <c r="AQ241" s="12"/>
      <c r="AR241" s="12">
        <v>1475000</v>
      </c>
      <c r="AS241" s="12">
        <v>1760000</v>
      </c>
      <c r="AT241" s="2"/>
      <c r="AU241" s="2"/>
      <c r="AV241" s="2"/>
      <c r="AW241" s="2"/>
      <c r="AX241" s="2"/>
      <c r="AY241" s="2"/>
      <c r="AZ241" s="2"/>
      <c r="BA241" s="2"/>
      <c r="BB241" s="2"/>
      <c r="BC241" s="2"/>
      <c r="BD241" s="2"/>
      <c r="BE241" s="2"/>
      <c r="BK241" s="2"/>
      <c r="BM241" s="2"/>
      <c r="BN241" s="2"/>
      <c r="BO241" s="2"/>
      <c r="BS241" s="11"/>
      <c r="BT241" s="2"/>
      <c r="BU241" s="3"/>
      <c r="BV241" s="3"/>
      <c r="BW241" s="2"/>
      <c r="BX241" s="2"/>
      <c r="BY241" s="2"/>
      <c r="BZ241" s="2"/>
      <c r="CA241" s="46"/>
      <c r="CB241" s="1"/>
      <c r="CC241" s="1"/>
      <c r="CD241" s="1"/>
      <c r="CE241" s="1"/>
      <c r="CF241" s="1"/>
      <c r="CG241" s="1"/>
      <c r="CH241" s="1"/>
      <c r="CI241" s="2"/>
      <c r="CJ241" s="2"/>
      <c r="CK241" s="2"/>
      <c r="CL241" s="2"/>
      <c r="CM241" s="2"/>
      <c r="CN241" s="2"/>
      <c r="CO241" s="2"/>
      <c r="CP241" s="2"/>
      <c r="CQ241" s="2"/>
      <c r="CR241" s="2"/>
      <c r="CS241" s="2"/>
      <c r="CT241" s="2"/>
      <c r="CU241" s="2"/>
      <c r="CV241" s="2"/>
      <c r="CW241" s="2"/>
      <c r="CX241" s="2"/>
      <c r="CY241" s="2"/>
      <c r="CZ241" s="2"/>
    </row>
    <row r="242" spans="43:104" ht="15" hidden="1" customHeight="1" x14ac:dyDescent="0.2">
      <c r="AQ242" s="13"/>
      <c r="AR242" s="12">
        <v>1480000</v>
      </c>
      <c r="AS242" s="12">
        <v>1770000</v>
      </c>
      <c r="AT242" s="2"/>
      <c r="AU242" s="2"/>
      <c r="AV242" s="2"/>
      <c r="AW242" s="2"/>
      <c r="AX242" s="2"/>
      <c r="AY242" s="2"/>
      <c r="AZ242" s="2"/>
      <c r="BA242" s="2"/>
      <c r="BB242" s="2"/>
      <c r="BC242" s="2"/>
      <c r="BD242" s="2"/>
      <c r="BE242" s="2"/>
      <c r="BK242" s="2"/>
      <c r="BM242" s="2"/>
      <c r="BN242" s="2"/>
      <c r="BO242" s="2"/>
      <c r="BS242" s="11"/>
      <c r="BT242" s="2"/>
      <c r="BU242" s="3"/>
      <c r="BV242" s="3"/>
      <c r="BW242" s="2"/>
      <c r="BX242" s="2"/>
      <c r="BY242" s="2"/>
      <c r="BZ242" s="2"/>
      <c r="CA242" s="46"/>
      <c r="CB242" s="1"/>
      <c r="CC242" s="1"/>
      <c r="CD242" s="1"/>
      <c r="CE242" s="1"/>
      <c r="CF242" s="1"/>
      <c r="CG242" s="1"/>
      <c r="CH242" s="1"/>
      <c r="CI242" s="2"/>
      <c r="CJ242" s="2"/>
      <c r="CK242" s="2"/>
      <c r="CL242" s="2"/>
      <c r="CM242" s="2"/>
      <c r="CN242" s="2"/>
      <c r="CO242" s="2"/>
      <c r="CP242" s="2"/>
      <c r="CQ242" s="2"/>
      <c r="CR242" s="2"/>
      <c r="CS242" s="2"/>
      <c r="CT242" s="2"/>
      <c r="CU242" s="2"/>
      <c r="CV242" s="2"/>
      <c r="CW242" s="2"/>
      <c r="CX242" s="2"/>
      <c r="CY242" s="2"/>
      <c r="CZ242" s="2"/>
    </row>
    <row r="243" spans="43:104" ht="15" hidden="1" customHeight="1" x14ac:dyDescent="0.2">
      <c r="AQ243" s="13"/>
      <c r="AR243" s="12">
        <v>1485000</v>
      </c>
      <c r="AS243" s="12">
        <v>1780000</v>
      </c>
      <c r="AT243" s="2"/>
      <c r="AU243" s="2"/>
      <c r="AV243" s="2"/>
      <c r="AW243" s="2"/>
      <c r="AX243" s="2"/>
      <c r="AY243" s="2"/>
      <c r="AZ243" s="2"/>
      <c r="BA243" s="2"/>
      <c r="BB243" s="2"/>
      <c r="BC243" s="2"/>
      <c r="BD243" s="2"/>
      <c r="BE243" s="2"/>
      <c r="BK243" s="2"/>
      <c r="BM243" s="2"/>
      <c r="BN243" s="2"/>
      <c r="BO243" s="2"/>
      <c r="BS243" s="11"/>
      <c r="BT243" s="2"/>
      <c r="BU243" s="3"/>
      <c r="BV243" s="3"/>
      <c r="BW243" s="2"/>
      <c r="BX243" s="2"/>
      <c r="BY243" s="2"/>
      <c r="BZ243" s="2"/>
      <c r="CA243" s="46"/>
      <c r="CB243" s="1"/>
      <c r="CC243" s="1"/>
      <c r="CD243" s="1"/>
      <c r="CE243" s="1"/>
      <c r="CF243" s="1"/>
      <c r="CG243" s="1"/>
      <c r="CH243" s="1"/>
      <c r="CI243" s="2"/>
      <c r="CJ243" s="2"/>
      <c r="CK243" s="2"/>
      <c r="CL243" s="2"/>
      <c r="CM243" s="2"/>
      <c r="CN243" s="2"/>
      <c r="CO243" s="2"/>
      <c r="CP243" s="2"/>
      <c r="CQ243" s="2"/>
      <c r="CR243" s="2"/>
      <c r="CS243" s="2"/>
      <c r="CT243" s="2"/>
      <c r="CU243" s="2"/>
      <c r="CV243" s="2"/>
      <c r="CW243" s="2"/>
      <c r="CX243" s="2"/>
      <c r="CY243" s="2"/>
      <c r="CZ243" s="2"/>
    </row>
    <row r="244" spans="43:104" ht="15" hidden="1" customHeight="1" x14ac:dyDescent="0.2">
      <c r="AQ244" s="85"/>
      <c r="AR244" s="12">
        <v>1490000</v>
      </c>
      <c r="AS244" s="12">
        <v>1790000</v>
      </c>
      <c r="AT244" s="2"/>
      <c r="AU244" s="2"/>
      <c r="AV244" s="2"/>
      <c r="AW244" s="2"/>
      <c r="AX244" s="2"/>
      <c r="AY244" s="2"/>
      <c r="AZ244" s="2"/>
      <c r="BA244" s="2"/>
      <c r="BB244" s="2"/>
      <c r="BC244" s="2"/>
      <c r="BD244" s="2"/>
      <c r="BE244" s="2"/>
      <c r="BK244" s="2"/>
      <c r="BM244" s="2"/>
      <c r="BN244" s="2"/>
      <c r="BO244" s="2"/>
      <c r="BS244" s="11"/>
      <c r="BT244" s="2"/>
      <c r="BU244" s="3"/>
      <c r="BV244" s="3"/>
      <c r="BW244" s="2"/>
      <c r="BX244" s="2"/>
      <c r="BY244" s="2"/>
      <c r="BZ244" s="2"/>
      <c r="CA244" s="46"/>
      <c r="CB244" s="1"/>
      <c r="CC244" s="1"/>
      <c r="CD244" s="1"/>
      <c r="CE244" s="1"/>
      <c r="CF244" s="1"/>
      <c r="CG244" s="1"/>
      <c r="CH244" s="1"/>
      <c r="CI244" s="2"/>
      <c r="CJ244" s="2"/>
      <c r="CK244" s="2"/>
      <c r="CL244" s="2"/>
      <c r="CM244" s="2"/>
      <c r="CN244" s="2"/>
      <c r="CO244" s="2"/>
      <c r="CP244" s="2"/>
      <c r="CQ244" s="2"/>
      <c r="CR244" s="2"/>
      <c r="CS244" s="2"/>
      <c r="CT244" s="2"/>
      <c r="CU244" s="2"/>
      <c r="CV244" s="2"/>
      <c r="CW244" s="2"/>
      <c r="CX244" s="2"/>
      <c r="CY244" s="2"/>
      <c r="CZ244" s="2"/>
    </row>
    <row r="245" spans="43:104" ht="15" hidden="1" customHeight="1" x14ac:dyDescent="0.2">
      <c r="AQ245" s="12"/>
      <c r="AR245" s="12">
        <v>1495000</v>
      </c>
      <c r="AS245" s="12">
        <v>1800000</v>
      </c>
      <c r="AT245" s="2"/>
      <c r="AU245" s="2"/>
      <c r="AV245" s="2"/>
      <c r="AW245" s="2"/>
      <c r="AX245" s="2"/>
      <c r="AY245" s="2"/>
      <c r="AZ245" s="2"/>
      <c r="BA245" s="2"/>
      <c r="BB245" s="2"/>
      <c r="BC245" s="2"/>
      <c r="BD245" s="2"/>
      <c r="BE245" s="2"/>
      <c r="BK245" s="2"/>
      <c r="BM245" s="2"/>
      <c r="BN245" s="2"/>
      <c r="BO245" s="2"/>
      <c r="BS245" s="11"/>
      <c r="BT245" s="2"/>
      <c r="BU245" s="3"/>
      <c r="BV245" s="3"/>
      <c r="BW245" s="2"/>
      <c r="BX245" s="2"/>
      <c r="BY245" s="2"/>
      <c r="BZ245" s="2"/>
      <c r="CA245" s="46"/>
      <c r="CB245" s="1"/>
      <c r="CC245" s="1"/>
      <c r="CD245" s="1"/>
      <c r="CE245" s="1"/>
      <c r="CF245" s="1"/>
      <c r="CG245" s="1"/>
      <c r="CH245" s="1"/>
      <c r="CI245" s="2"/>
      <c r="CJ245" s="2"/>
      <c r="CK245" s="2"/>
      <c r="CL245" s="2"/>
      <c r="CM245" s="2"/>
      <c r="CN245" s="2"/>
      <c r="CO245" s="2"/>
      <c r="CP245" s="2"/>
      <c r="CQ245" s="2"/>
      <c r="CR245" s="2"/>
      <c r="CS245" s="2"/>
      <c r="CT245" s="2"/>
      <c r="CU245" s="2"/>
      <c r="CV245" s="2"/>
      <c r="CW245" s="2"/>
      <c r="CX245" s="2"/>
      <c r="CY245" s="2"/>
      <c r="CZ245" s="2"/>
    </row>
    <row r="246" spans="43:104" ht="15" hidden="1" customHeight="1" x14ac:dyDescent="0.2">
      <c r="AQ246" s="12"/>
      <c r="AR246" s="12">
        <v>1500000</v>
      </c>
      <c r="AS246" s="12">
        <v>1810000</v>
      </c>
      <c r="AT246" s="2"/>
      <c r="AU246" s="2"/>
      <c r="AV246" s="2"/>
      <c r="AW246" s="2"/>
      <c r="AX246" s="2"/>
      <c r="AY246" s="2"/>
      <c r="AZ246" s="2"/>
      <c r="BA246" s="2"/>
      <c r="BB246" s="2"/>
      <c r="BC246" s="2"/>
      <c r="BD246" s="2"/>
      <c r="BE246" s="2"/>
      <c r="BK246" s="2"/>
      <c r="BM246" s="2"/>
      <c r="BN246" s="2"/>
      <c r="BO246" s="2"/>
      <c r="BS246" s="11"/>
      <c r="BT246" s="2"/>
      <c r="BU246" s="3"/>
      <c r="BV246" s="3"/>
      <c r="BW246" s="2"/>
      <c r="BX246" s="2"/>
      <c r="BY246" s="2"/>
      <c r="BZ246" s="2"/>
      <c r="CA246" s="46"/>
      <c r="CB246" s="1"/>
      <c r="CC246" s="1"/>
      <c r="CD246" s="1"/>
      <c r="CE246" s="1"/>
      <c r="CF246" s="1"/>
      <c r="CG246" s="1"/>
      <c r="CH246" s="1"/>
      <c r="CI246" s="2"/>
      <c r="CJ246" s="2"/>
      <c r="CK246" s="2"/>
      <c r="CL246" s="2"/>
      <c r="CM246" s="2"/>
      <c r="CN246" s="2"/>
      <c r="CO246" s="2"/>
      <c r="CP246" s="2"/>
      <c r="CQ246" s="2"/>
      <c r="CR246" s="2"/>
      <c r="CS246" s="2"/>
      <c r="CT246" s="2"/>
      <c r="CU246" s="2"/>
      <c r="CV246" s="2"/>
      <c r="CW246" s="2"/>
      <c r="CX246" s="2"/>
      <c r="CY246" s="2"/>
      <c r="CZ246" s="2"/>
    </row>
    <row r="247" spans="43:104" ht="15" hidden="1" customHeight="1" x14ac:dyDescent="0.2">
      <c r="AQ247" s="13"/>
      <c r="AR247" s="12">
        <v>1505000</v>
      </c>
      <c r="AS247" s="12">
        <v>1820000</v>
      </c>
      <c r="AT247" s="2"/>
      <c r="AU247" s="2"/>
      <c r="AV247" s="2"/>
      <c r="AW247" s="2"/>
      <c r="AX247" s="2"/>
      <c r="AY247" s="2"/>
      <c r="AZ247" s="2"/>
      <c r="BA247" s="2"/>
      <c r="BB247" s="2"/>
      <c r="BC247" s="2"/>
      <c r="BD247" s="2"/>
      <c r="BE247" s="2"/>
      <c r="BK247" s="2"/>
      <c r="BM247" s="2"/>
      <c r="BN247" s="2"/>
      <c r="BO247" s="2"/>
      <c r="BS247" s="11"/>
      <c r="BT247" s="2"/>
      <c r="BU247" s="3"/>
      <c r="BV247" s="3"/>
      <c r="BW247" s="2"/>
      <c r="BX247" s="2"/>
      <c r="BY247" s="2"/>
      <c r="BZ247" s="2"/>
      <c r="CA247" s="46"/>
      <c r="CB247" s="1"/>
      <c r="CC247" s="1"/>
      <c r="CD247" s="1"/>
      <c r="CE247" s="1"/>
      <c r="CF247" s="1"/>
      <c r="CG247" s="1"/>
      <c r="CH247" s="1"/>
      <c r="CI247" s="2"/>
      <c r="CJ247" s="2"/>
      <c r="CK247" s="2"/>
      <c r="CL247" s="2"/>
      <c r="CM247" s="2"/>
      <c r="CN247" s="2"/>
      <c r="CO247" s="2"/>
      <c r="CP247" s="2"/>
      <c r="CQ247" s="2"/>
      <c r="CR247" s="2"/>
      <c r="CS247" s="2"/>
      <c r="CT247" s="2"/>
      <c r="CU247" s="2"/>
      <c r="CV247" s="2"/>
      <c r="CW247" s="2"/>
      <c r="CX247" s="2"/>
      <c r="CY247" s="2"/>
      <c r="CZ247" s="2"/>
    </row>
    <row r="248" spans="43:104" ht="15" hidden="1" customHeight="1" x14ac:dyDescent="0.2">
      <c r="AQ248" s="13"/>
      <c r="AR248" s="12">
        <v>1510000</v>
      </c>
      <c r="AS248" s="12">
        <v>1830000</v>
      </c>
      <c r="AT248" s="2"/>
      <c r="AU248" s="2"/>
      <c r="AV248" s="2"/>
      <c r="AW248" s="2"/>
      <c r="AX248" s="2"/>
      <c r="AY248" s="2"/>
      <c r="AZ248" s="2"/>
      <c r="BA248" s="2"/>
      <c r="BB248" s="2"/>
      <c r="BC248" s="2"/>
      <c r="BD248" s="2"/>
      <c r="BE248" s="2"/>
      <c r="BK248" s="2"/>
      <c r="BM248" s="2"/>
      <c r="BN248" s="2"/>
      <c r="BO248" s="2"/>
      <c r="BS248" s="11"/>
      <c r="BT248" s="2"/>
      <c r="BU248" s="3"/>
      <c r="BV248" s="3"/>
      <c r="BW248" s="2"/>
      <c r="BX248" s="2"/>
      <c r="BY248" s="2"/>
      <c r="BZ248" s="2"/>
      <c r="CA248" s="46"/>
      <c r="CB248" s="1"/>
      <c r="CC248" s="1"/>
      <c r="CD248" s="1"/>
      <c r="CE248" s="1"/>
      <c r="CF248" s="1"/>
      <c r="CG248" s="1"/>
      <c r="CH248" s="1"/>
      <c r="CI248" s="2"/>
      <c r="CJ248" s="2"/>
      <c r="CK248" s="2"/>
      <c r="CL248" s="2"/>
      <c r="CM248" s="2"/>
      <c r="CN248" s="2"/>
      <c r="CO248" s="2"/>
      <c r="CP248" s="2"/>
      <c r="CQ248" s="2"/>
      <c r="CR248" s="2"/>
      <c r="CS248" s="2"/>
      <c r="CT248" s="2"/>
      <c r="CU248" s="2"/>
      <c r="CV248" s="2"/>
      <c r="CW248" s="2"/>
      <c r="CX248" s="2"/>
      <c r="CY248" s="2"/>
      <c r="CZ248" s="2"/>
    </row>
    <row r="249" spans="43:104" ht="15" hidden="1" customHeight="1" x14ac:dyDescent="0.2">
      <c r="AQ249" s="85"/>
      <c r="AR249" s="12">
        <v>1515000</v>
      </c>
      <c r="AS249" s="12">
        <v>1840000</v>
      </c>
      <c r="AT249" s="2"/>
      <c r="AU249" s="2"/>
      <c r="AV249" s="2"/>
      <c r="AW249" s="2"/>
      <c r="AX249" s="2"/>
      <c r="AY249" s="2"/>
      <c r="AZ249" s="2"/>
      <c r="BA249" s="2"/>
      <c r="BB249" s="2"/>
      <c r="BC249" s="2"/>
      <c r="BD249" s="2"/>
      <c r="BE249" s="2"/>
      <c r="BK249" s="2"/>
      <c r="BM249" s="2"/>
      <c r="BN249" s="2"/>
      <c r="BO249" s="2"/>
      <c r="BS249" s="11"/>
      <c r="BT249" s="2"/>
      <c r="BU249" s="3"/>
      <c r="BV249" s="3"/>
      <c r="BW249" s="2"/>
      <c r="BX249" s="2"/>
      <c r="BY249" s="2"/>
      <c r="BZ249" s="2"/>
      <c r="CA249" s="46"/>
      <c r="CB249" s="1"/>
      <c r="CC249" s="1"/>
      <c r="CD249" s="1"/>
      <c r="CE249" s="1"/>
      <c r="CF249" s="1"/>
      <c r="CG249" s="1"/>
      <c r="CH249" s="1"/>
      <c r="CI249" s="2"/>
      <c r="CJ249" s="2"/>
      <c r="CK249" s="2"/>
      <c r="CL249" s="2"/>
      <c r="CM249" s="2"/>
      <c r="CN249" s="2"/>
      <c r="CO249" s="2"/>
      <c r="CP249" s="2"/>
      <c r="CQ249" s="2"/>
      <c r="CR249" s="2"/>
      <c r="CS249" s="2"/>
      <c r="CT249" s="2"/>
      <c r="CU249" s="2"/>
      <c r="CV249" s="2"/>
      <c r="CW249" s="2"/>
      <c r="CX249" s="2"/>
      <c r="CY249" s="2"/>
      <c r="CZ249" s="2"/>
    </row>
    <row r="250" spans="43:104" ht="15" hidden="1" customHeight="1" x14ac:dyDescent="0.2">
      <c r="AQ250" s="12"/>
      <c r="AR250" s="12">
        <v>1520000</v>
      </c>
      <c r="AS250" s="12">
        <v>1850000</v>
      </c>
      <c r="AT250" s="2"/>
      <c r="AU250" s="2"/>
      <c r="AV250" s="2"/>
      <c r="AW250" s="2"/>
      <c r="AX250" s="2"/>
      <c r="AY250" s="2"/>
      <c r="AZ250" s="2"/>
      <c r="BA250" s="2"/>
      <c r="BB250" s="2"/>
      <c r="BC250" s="2"/>
      <c r="BD250" s="2"/>
      <c r="BE250" s="2"/>
      <c r="BK250" s="2"/>
      <c r="BM250" s="2"/>
      <c r="BN250" s="2"/>
      <c r="BO250" s="2"/>
      <c r="BS250" s="11"/>
      <c r="BT250" s="2"/>
      <c r="BU250" s="3"/>
      <c r="BV250" s="3"/>
      <c r="BW250" s="2"/>
      <c r="BX250" s="2"/>
      <c r="BY250" s="2"/>
      <c r="BZ250" s="46"/>
      <c r="CA250" s="1"/>
      <c r="CB250" s="1"/>
      <c r="CC250" s="1"/>
      <c r="CD250" s="1"/>
      <c r="CE250" s="1"/>
      <c r="CF250" s="1"/>
      <c r="CG250" s="1"/>
      <c r="CH250" s="1"/>
      <c r="CI250" s="2"/>
      <c r="CJ250" s="2"/>
      <c r="CK250" s="2"/>
      <c r="CL250" s="2"/>
      <c r="CM250" s="2"/>
      <c r="CN250" s="2"/>
      <c r="CO250" s="2"/>
      <c r="CP250" s="2"/>
      <c r="CQ250" s="2"/>
      <c r="CR250" s="2"/>
      <c r="CS250" s="2"/>
      <c r="CT250" s="2"/>
      <c r="CU250" s="2"/>
      <c r="CV250" s="2"/>
      <c r="CW250" s="2"/>
      <c r="CX250" s="2"/>
      <c r="CY250" s="2"/>
      <c r="CZ250" s="2"/>
    </row>
    <row r="251" spans="43:104" ht="15" hidden="1" customHeight="1" x14ac:dyDescent="0.2">
      <c r="AQ251" s="12"/>
      <c r="AR251" s="12">
        <v>1525000</v>
      </c>
      <c r="AS251" s="12">
        <v>1860000</v>
      </c>
      <c r="AT251" s="2"/>
      <c r="AU251" s="2"/>
      <c r="AV251" s="2"/>
      <c r="AW251" s="2"/>
      <c r="AX251" s="2"/>
      <c r="AY251" s="2"/>
      <c r="AZ251" s="2"/>
      <c r="BA251" s="2"/>
      <c r="BB251" s="2"/>
      <c r="BC251" s="2"/>
      <c r="BD251" s="2"/>
      <c r="BE251" s="2"/>
      <c r="BK251" s="2"/>
      <c r="BM251" s="2"/>
      <c r="BN251" s="2"/>
      <c r="BO251" s="2"/>
      <c r="BS251" s="11"/>
      <c r="BT251" s="2"/>
      <c r="BU251" s="3"/>
      <c r="BV251" s="3"/>
      <c r="BW251" s="2"/>
      <c r="BX251" s="2"/>
      <c r="BY251" s="2"/>
      <c r="BZ251" s="2"/>
      <c r="CA251" s="2"/>
      <c r="CB251" s="2"/>
      <c r="CC251" s="2"/>
      <c r="CD251" s="1"/>
      <c r="CE251" s="1"/>
      <c r="CF251" s="1"/>
      <c r="CG251" s="1"/>
      <c r="CH251" s="1"/>
      <c r="CI251" s="2"/>
      <c r="CJ251" s="2"/>
      <c r="CK251" s="2"/>
      <c r="CL251" s="2"/>
      <c r="CM251" s="2"/>
      <c r="CN251" s="2"/>
      <c r="CO251" s="2"/>
      <c r="CP251" s="2"/>
      <c r="CQ251" s="2"/>
      <c r="CR251" s="2"/>
      <c r="CS251" s="2"/>
      <c r="CT251" s="2"/>
      <c r="CU251" s="2"/>
      <c r="CV251" s="2"/>
      <c r="CW251" s="2"/>
      <c r="CX251" s="2"/>
      <c r="CY251" s="2"/>
      <c r="CZ251" s="2"/>
    </row>
    <row r="252" spans="43:104" ht="15" hidden="1" customHeight="1" x14ac:dyDescent="0.2">
      <c r="AQ252" s="13"/>
      <c r="AR252" s="12">
        <v>1530000</v>
      </c>
      <c r="AS252" s="12">
        <v>1870000</v>
      </c>
      <c r="AT252" s="2"/>
      <c r="AU252" s="2"/>
      <c r="AV252" s="2"/>
      <c r="AW252" s="2"/>
      <c r="AX252" s="2"/>
      <c r="AY252" s="2"/>
      <c r="AZ252" s="2"/>
      <c r="BA252" s="2"/>
      <c r="BB252" s="2"/>
      <c r="BC252" s="2"/>
      <c r="BD252" s="2"/>
      <c r="BE252" s="2"/>
      <c r="BK252" s="2"/>
      <c r="BM252" s="2"/>
      <c r="BN252" s="2"/>
      <c r="BO252" s="2"/>
      <c r="BS252" s="11"/>
      <c r="BT252" s="2"/>
      <c r="BU252" s="3"/>
      <c r="BV252" s="3"/>
      <c r="BW252" s="2"/>
      <c r="BX252" s="2"/>
      <c r="BY252" s="2"/>
      <c r="BZ252" s="2"/>
      <c r="CA252" s="46"/>
      <c r="CB252" s="1"/>
      <c r="CC252" s="1"/>
      <c r="CD252" s="1"/>
      <c r="CE252" s="1"/>
      <c r="CF252" s="1"/>
      <c r="CG252" s="1"/>
      <c r="CH252" s="1"/>
      <c r="CI252" s="2"/>
      <c r="CJ252" s="2"/>
      <c r="CK252" s="2"/>
      <c r="CL252" s="2"/>
      <c r="CM252" s="2"/>
      <c r="CN252" s="2"/>
      <c r="CO252" s="2"/>
      <c r="CP252" s="2"/>
      <c r="CQ252" s="2"/>
      <c r="CR252" s="2"/>
      <c r="CS252" s="2"/>
      <c r="CT252" s="2"/>
      <c r="CU252" s="2"/>
      <c r="CV252" s="2"/>
      <c r="CW252" s="2"/>
      <c r="CX252" s="2"/>
      <c r="CY252" s="2"/>
      <c r="CZ252" s="2"/>
    </row>
    <row r="253" spans="43:104" ht="15" hidden="1" customHeight="1" x14ac:dyDescent="0.2">
      <c r="AQ253" s="13"/>
      <c r="AR253" s="12">
        <v>1535000</v>
      </c>
      <c r="AS253" s="12">
        <v>1880000</v>
      </c>
      <c r="AT253" s="2"/>
      <c r="AU253" s="2"/>
      <c r="AV253" s="2"/>
      <c r="AW253" s="2"/>
      <c r="AX253" s="2"/>
      <c r="AY253" s="2"/>
      <c r="AZ253" s="2"/>
      <c r="BA253" s="2"/>
      <c r="BB253" s="2"/>
      <c r="BC253" s="2"/>
      <c r="BD253" s="2"/>
      <c r="BE253" s="2"/>
      <c r="BK253" s="2"/>
      <c r="BM253" s="2"/>
      <c r="BN253" s="2"/>
      <c r="BO253" s="2"/>
      <c r="BS253" s="11"/>
      <c r="BT253" s="2"/>
      <c r="BU253" s="3"/>
      <c r="BV253" s="3"/>
      <c r="BW253" s="2"/>
      <c r="BX253" s="2"/>
      <c r="BY253" s="2"/>
      <c r="BZ253" s="2"/>
      <c r="CA253" s="46"/>
      <c r="CB253" s="1"/>
      <c r="CC253" s="1"/>
      <c r="CD253" s="1"/>
      <c r="CE253" s="1"/>
      <c r="CF253" s="1"/>
      <c r="CG253" s="1"/>
      <c r="CH253" s="1"/>
      <c r="CI253" s="2"/>
      <c r="CJ253" s="2"/>
      <c r="CK253" s="2"/>
      <c r="CL253" s="2"/>
      <c r="CM253" s="2"/>
      <c r="CN253" s="2"/>
      <c r="CO253" s="2"/>
      <c r="CP253" s="2"/>
      <c r="CQ253" s="2"/>
      <c r="CR253" s="2"/>
      <c r="CS253" s="2"/>
      <c r="CT253" s="2"/>
      <c r="CU253" s="2"/>
      <c r="CV253" s="2"/>
      <c r="CW253" s="2"/>
      <c r="CX253" s="2"/>
      <c r="CY253" s="2"/>
      <c r="CZ253" s="2"/>
    </row>
    <row r="254" spans="43:104" ht="15" hidden="1" customHeight="1" x14ac:dyDescent="0.2">
      <c r="AQ254" s="85"/>
      <c r="AR254" s="12">
        <v>1540000</v>
      </c>
      <c r="AS254" s="12">
        <v>1890000</v>
      </c>
      <c r="AT254" s="2"/>
      <c r="AU254" s="2"/>
      <c r="AV254" s="2"/>
      <c r="AW254" s="2"/>
      <c r="AX254" s="2"/>
      <c r="AY254" s="2"/>
      <c r="AZ254" s="2"/>
      <c r="BA254" s="2"/>
      <c r="BB254" s="2"/>
      <c r="BC254" s="2"/>
      <c r="BD254" s="2"/>
      <c r="BE254" s="2"/>
      <c r="BK254" s="2"/>
      <c r="BM254" s="2"/>
      <c r="BN254" s="2"/>
      <c r="BO254" s="2"/>
      <c r="BS254" s="11"/>
      <c r="BT254" s="2"/>
      <c r="BU254" s="3"/>
      <c r="BV254" s="3"/>
      <c r="BW254" s="2"/>
      <c r="BX254" s="2"/>
      <c r="BY254" s="2"/>
      <c r="BZ254" s="2"/>
      <c r="CA254" s="46"/>
      <c r="CB254" s="1"/>
      <c r="CC254" s="1"/>
      <c r="CD254" s="1"/>
      <c r="CE254" s="1"/>
      <c r="CF254" s="1"/>
      <c r="CG254" s="1"/>
      <c r="CH254" s="1"/>
      <c r="CI254" s="2"/>
      <c r="CJ254" s="2"/>
      <c r="CK254" s="2"/>
      <c r="CL254" s="2"/>
      <c r="CM254" s="2"/>
      <c r="CN254" s="2"/>
      <c r="CO254" s="2"/>
      <c r="CP254" s="2"/>
      <c r="CQ254" s="2"/>
      <c r="CR254" s="2"/>
      <c r="CS254" s="2"/>
      <c r="CT254" s="2"/>
      <c r="CU254" s="2"/>
      <c r="CV254" s="2"/>
      <c r="CW254" s="2"/>
      <c r="CX254" s="2"/>
      <c r="CY254" s="2"/>
      <c r="CZ254" s="2"/>
    </row>
    <row r="255" spans="43:104" ht="15" hidden="1" customHeight="1" x14ac:dyDescent="0.2">
      <c r="AQ255" s="12"/>
      <c r="AR255" s="12">
        <v>1545000</v>
      </c>
      <c r="AS255" s="12">
        <v>1900000</v>
      </c>
      <c r="AT255" s="2"/>
      <c r="AU255" s="2"/>
      <c r="AV255" s="2"/>
      <c r="AW255" s="2"/>
      <c r="AX255" s="2"/>
      <c r="AY255" s="2"/>
      <c r="AZ255" s="2"/>
      <c r="BA255" s="2"/>
      <c r="BB255" s="2"/>
      <c r="BC255" s="2"/>
      <c r="BD255" s="2"/>
      <c r="BE255" s="2"/>
      <c r="BK255" s="2"/>
      <c r="BM255" s="2"/>
      <c r="BN255" s="2"/>
      <c r="BO255" s="2"/>
      <c r="BS255" s="11"/>
      <c r="BT255" s="2"/>
      <c r="BU255" s="3"/>
      <c r="BV255" s="3"/>
      <c r="BW255" s="2"/>
      <c r="BX255" s="2"/>
      <c r="BY255" s="2"/>
      <c r="BZ255" s="2"/>
      <c r="CA255" s="46"/>
      <c r="CB255" s="1"/>
      <c r="CC255" s="1"/>
      <c r="CD255" s="1"/>
      <c r="CE255" s="1"/>
      <c r="CF255" s="1"/>
      <c r="CG255" s="1"/>
      <c r="CH255" s="1"/>
      <c r="CI255" s="2"/>
      <c r="CJ255" s="2"/>
      <c r="CK255" s="2"/>
      <c r="CL255" s="2"/>
      <c r="CM255" s="2"/>
      <c r="CN255" s="2"/>
      <c r="CO255" s="2"/>
      <c r="CP255" s="2"/>
      <c r="CQ255" s="2"/>
      <c r="CR255" s="2"/>
      <c r="CS255" s="2"/>
      <c r="CT255" s="2"/>
      <c r="CU255" s="2"/>
      <c r="CV255" s="2"/>
      <c r="CW255" s="2"/>
      <c r="CX255" s="2"/>
      <c r="CY255" s="2"/>
      <c r="CZ255" s="2"/>
    </row>
    <row r="256" spans="43:104" ht="15" hidden="1" customHeight="1" x14ac:dyDescent="0.2">
      <c r="AQ256" s="12"/>
      <c r="AR256" s="12">
        <v>1550000</v>
      </c>
      <c r="AS256" s="12">
        <v>1910000</v>
      </c>
      <c r="AT256" s="2"/>
      <c r="AU256" s="2"/>
      <c r="AV256" s="2"/>
      <c r="AW256" s="2"/>
      <c r="AX256" s="2"/>
      <c r="AY256" s="2"/>
      <c r="AZ256" s="2"/>
      <c r="BA256" s="2"/>
      <c r="BB256" s="2"/>
      <c r="BC256" s="2"/>
      <c r="BD256" s="2"/>
      <c r="BE256" s="2"/>
      <c r="BK256" s="2"/>
      <c r="BM256" s="2"/>
      <c r="BN256" s="2"/>
      <c r="BO256" s="2"/>
      <c r="BS256" s="11"/>
      <c r="BT256" s="2"/>
      <c r="BU256" s="3"/>
      <c r="BV256" s="3"/>
      <c r="BW256" s="2"/>
      <c r="BX256" s="2"/>
      <c r="BY256" s="2"/>
      <c r="BZ256" s="2"/>
      <c r="CA256" s="46"/>
      <c r="CB256" s="1"/>
      <c r="CC256" s="1"/>
      <c r="CD256" s="1"/>
      <c r="CE256" s="1"/>
      <c r="CF256" s="1"/>
      <c r="CG256" s="1"/>
      <c r="CH256" s="1"/>
      <c r="CI256" s="2"/>
      <c r="CJ256" s="2"/>
      <c r="CK256" s="2"/>
      <c r="CL256" s="2"/>
      <c r="CM256" s="2"/>
      <c r="CN256" s="2"/>
      <c r="CO256" s="2"/>
      <c r="CP256" s="2"/>
      <c r="CQ256" s="2"/>
      <c r="CR256" s="2"/>
      <c r="CS256" s="2"/>
      <c r="CT256" s="2"/>
      <c r="CU256" s="2"/>
      <c r="CV256" s="2"/>
      <c r="CW256" s="2"/>
      <c r="CX256" s="2"/>
      <c r="CY256" s="2"/>
      <c r="CZ256" s="2"/>
    </row>
    <row r="257" spans="43:104" ht="15" hidden="1" customHeight="1" x14ac:dyDescent="0.2">
      <c r="AQ257" s="13"/>
      <c r="AR257" s="12">
        <v>1555000</v>
      </c>
      <c r="AS257" s="12">
        <v>1920000</v>
      </c>
      <c r="AT257" s="2"/>
      <c r="AU257" s="2"/>
      <c r="AV257" s="2"/>
      <c r="AW257" s="2"/>
      <c r="AX257" s="2"/>
      <c r="AY257" s="2"/>
      <c r="AZ257" s="2"/>
      <c r="BA257" s="2"/>
      <c r="BB257" s="2"/>
      <c r="BC257" s="2"/>
      <c r="BD257" s="2"/>
      <c r="BE257" s="2"/>
      <c r="BK257" s="2"/>
      <c r="BM257" s="2"/>
      <c r="BN257" s="2"/>
      <c r="BO257" s="2"/>
      <c r="BS257" s="11"/>
      <c r="BT257" s="2"/>
      <c r="BU257" s="3"/>
      <c r="BV257" s="3"/>
      <c r="BW257" s="2"/>
      <c r="BX257" s="2"/>
      <c r="BY257" s="2"/>
      <c r="BZ257" s="2"/>
      <c r="CA257" s="2"/>
      <c r="CB257" s="2"/>
      <c r="CC257" s="2"/>
      <c r="CD257" s="1"/>
      <c r="CE257" s="1"/>
      <c r="CF257" s="1"/>
      <c r="CG257" s="1"/>
      <c r="CH257" s="1"/>
      <c r="CI257" s="2"/>
      <c r="CJ257" s="2"/>
      <c r="CK257" s="2"/>
      <c r="CL257" s="2"/>
      <c r="CM257" s="2"/>
      <c r="CN257" s="2"/>
      <c r="CO257" s="2"/>
      <c r="CP257" s="2"/>
      <c r="CQ257" s="2"/>
      <c r="CR257" s="2"/>
      <c r="CS257" s="2"/>
      <c r="CT257" s="2"/>
      <c r="CU257" s="2"/>
      <c r="CV257" s="2"/>
      <c r="CW257" s="2"/>
      <c r="CX257" s="2"/>
      <c r="CY257" s="2"/>
      <c r="CZ257" s="2"/>
    </row>
    <row r="258" spans="43:104" ht="15" hidden="1" customHeight="1" x14ac:dyDescent="0.2">
      <c r="AQ258" s="13"/>
      <c r="AR258" s="12">
        <v>1560000</v>
      </c>
      <c r="AS258" s="12">
        <v>1930000</v>
      </c>
      <c r="AT258" s="2"/>
      <c r="AU258" s="2"/>
      <c r="AV258" s="2"/>
      <c r="AW258" s="2"/>
      <c r="AX258" s="2"/>
      <c r="AY258" s="2"/>
      <c r="AZ258" s="2"/>
      <c r="BA258" s="2"/>
      <c r="BB258" s="2"/>
      <c r="BC258" s="2"/>
      <c r="BD258" s="2"/>
      <c r="BE258" s="2"/>
      <c r="BK258" s="2"/>
      <c r="BM258" s="2"/>
      <c r="BN258" s="2"/>
      <c r="BO258" s="2"/>
      <c r="BS258" s="11"/>
      <c r="BT258" s="2"/>
      <c r="BU258" s="3"/>
      <c r="BV258" s="3"/>
      <c r="BW258" s="2"/>
      <c r="BX258" s="2"/>
      <c r="BY258" s="2"/>
      <c r="BZ258" s="2"/>
      <c r="CA258" s="2"/>
      <c r="CB258" s="2"/>
      <c r="CC258" s="2"/>
      <c r="CD258" s="1"/>
      <c r="CE258" s="1"/>
      <c r="CF258" s="1"/>
      <c r="CG258" s="1"/>
      <c r="CH258" s="1"/>
      <c r="CI258" s="2"/>
      <c r="CJ258" s="2"/>
      <c r="CK258" s="2"/>
      <c r="CL258" s="2"/>
      <c r="CM258" s="2"/>
      <c r="CN258" s="2"/>
      <c r="CO258" s="2"/>
      <c r="CP258" s="2"/>
      <c r="CQ258" s="2"/>
      <c r="CR258" s="2"/>
      <c r="CS258" s="2"/>
      <c r="CT258" s="2"/>
      <c r="CU258" s="2"/>
      <c r="CV258" s="2"/>
      <c r="CW258" s="2"/>
      <c r="CX258" s="2"/>
      <c r="CY258" s="2"/>
      <c r="CZ258" s="2"/>
    </row>
    <row r="259" spans="43:104" ht="15" hidden="1" customHeight="1" x14ac:dyDescent="0.2">
      <c r="AQ259" s="85"/>
      <c r="AR259" s="12">
        <v>1565000</v>
      </c>
      <c r="AS259" s="12">
        <v>1940000</v>
      </c>
      <c r="AT259" s="2"/>
      <c r="AU259" s="2"/>
      <c r="AV259" s="2"/>
      <c r="AW259" s="2"/>
      <c r="AX259" s="2"/>
      <c r="AY259" s="2"/>
      <c r="AZ259" s="2"/>
      <c r="BA259" s="2"/>
      <c r="BB259" s="2"/>
      <c r="BC259" s="2"/>
      <c r="BD259" s="2"/>
      <c r="BE259" s="2"/>
      <c r="BK259" s="2"/>
      <c r="BM259" s="2"/>
      <c r="BN259" s="2"/>
      <c r="BO259" s="2"/>
      <c r="BS259" s="11"/>
      <c r="BT259" s="2"/>
      <c r="BU259" s="3"/>
      <c r="BV259" s="3"/>
      <c r="BW259" s="2"/>
      <c r="BX259" s="2"/>
      <c r="BY259" s="2"/>
      <c r="BZ259" s="2"/>
      <c r="CA259" s="2"/>
      <c r="CB259" s="2"/>
      <c r="CC259" s="2"/>
      <c r="CD259" s="1"/>
      <c r="CE259" s="1"/>
      <c r="CF259" s="1"/>
      <c r="CG259" s="1"/>
      <c r="CH259" s="1"/>
      <c r="CI259" s="2"/>
      <c r="CJ259" s="2"/>
      <c r="CK259" s="2"/>
      <c r="CL259" s="2"/>
      <c r="CM259" s="2"/>
      <c r="CN259" s="2"/>
      <c r="CO259" s="2"/>
      <c r="CP259" s="2"/>
      <c r="CQ259" s="2"/>
      <c r="CR259" s="2"/>
      <c r="CS259" s="2"/>
      <c r="CT259" s="2"/>
      <c r="CU259" s="2"/>
      <c r="CV259" s="2"/>
      <c r="CW259" s="2"/>
      <c r="CX259" s="2"/>
      <c r="CY259" s="2"/>
      <c r="CZ259" s="2"/>
    </row>
    <row r="260" spans="43:104" ht="15" hidden="1" customHeight="1" x14ac:dyDescent="0.2">
      <c r="AQ260" s="12"/>
      <c r="AR260" s="12">
        <v>1570000</v>
      </c>
      <c r="AS260" s="12">
        <v>1950000</v>
      </c>
      <c r="AT260" s="2"/>
      <c r="AU260" s="2"/>
      <c r="AV260" s="2"/>
      <c r="AW260" s="2"/>
      <c r="AX260" s="2"/>
      <c r="AY260" s="2"/>
      <c r="AZ260" s="2"/>
      <c r="BA260" s="2"/>
      <c r="BB260" s="2"/>
      <c r="BC260" s="2"/>
      <c r="BD260" s="2"/>
      <c r="BE260" s="2"/>
      <c r="BK260" s="2"/>
      <c r="BM260" s="2"/>
      <c r="BN260" s="2"/>
      <c r="BO260" s="2"/>
      <c r="BS260" s="11"/>
      <c r="BT260" s="2"/>
      <c r="BU260" s="3"/>
      <c r="BV260" s="3"/>
      <c r="BW260" s="2"/>
      <c r="BX260" s="2"/>
      <c r="BY260" s="2"/>
      <c r="BZ260" s="2"/>
      <c r="CA260" s="2"/>
      <c r="CB260" s="2"/>
      <c r="CC260" s="2"/>
      <c r="CD260" s="1"/>
      <c r="CE260" s="1"/>
      <c r="CF260" s="1"/>
      <c r="CG260" s="1"/>
      <c r="CH260" s="1"/>
      <c r="CI260" s="2"/>
      <c r="CJ260" s="2"/>
      <c r="CK260" s="2"/>
      <c r="CL260" s="2"/>
      <c r="CM260" s="2"/>
      <c r="CN260" s="2"/>
      <c r="CO260" s="2"/>
      <c r="CP260" s="2"/>
      <c r="CQ260" s="2"/>
      <c r="CR260" s="2"/>
      <c r="CS260" s="2"/>
      <c r="CT260" s="2"/>
      <c r="CU260" s="2"/>
      <c r="CV260" s="2"/>
      <c r="CW260" s="2"/>
      <c r="CX260" s="2"/>
      <c r="CY260" s="2"/>
      <c r="CZ260" s="2"/>
    </row>
    <row r="261" spans="43:104" ht="15" hidden="1" customHeight="1" x14ac:dyDescent="0.2">
      <c r="AQ261" s="12"/>
      <c r="AR261" s="12">
        <v>1575000</v>
      </c>
      <c r="AS261" s="12">
        <v>1960000</v>
      </c>
      <c r="AT261" s="2"/>
      <c r="AU261" s="2"/>
      <c r="AV261" s="2"/>
      <c r="AW261" s="2"/>
      <c r="AX261" s="2"/>
      <c r="AY261" s="2"/>
      <c r="AZ261" s="2"/>
      <c r="BA261" s="2"/>
      <c r="BB261" s="2"/>
      <c r="BC261" s="2"/>
      <c r="BD261" s="2"/>
      <c r="BE261" s="2"/>
      <c r="BK261" s="2"/>
      <c r="BM261" s="2"/>
      <c r="BN261" s="2"/>
      <c r="BO261" s="2"/>
      <c r="BS261" s="11"/>
      <c r="BT261" s="2"/>
      <c r="BU261" s="3"/>
      <c r="BV261" s="3"/>
      <c r="BW261" s="2"/>
      <c r="BX261" s="2"/>
      <c r="BY261" s="2"/>
      <c r="BZ261" s="2"/>
      <c r="CA261" s="2"/>
      <c r="CB261" s="2"/>
      <c r="CC261" s="2"/>
      <c r="CD261" s="1"/>
      <c r="CE261" s="1"/>
      <c r="CF261" s="1"/>
      <c r="CG261" s="1"/>
      <c r="CH261" s="1"/>
      <c r="CI261" s="2"/>
      <c r="CJ261" s="2"/>
      <c r="CK261" s="2"/>
      <c r="CL261" s="2"/>
      <c r="CM261" s="2"/>
      <c r="CN261" s="2"/>
      <c r="CO261" s="2"/>
      <c r="CP261" s="2"/>
      <c r="CQ261" s="2"/>
      <c r="CR261" s="2"/>
      <c r="CS261" s="2"/>
      <c r="CT261" s="2"/>
      <c r="CU261" s="2"/>
      <c r="CV261" s="2"/>
      <c r="CW261" s="2"/>
      <c r="CX261" s="2"/>
      <c r="CY261" s="2"/>
      <c r="CZ261" s="2"/>
    </row>
    <row r="262" spans="43:104" ht="15" hidden="1" customHeight="1" x14ac:dyDescent="0.2">
      <c r="AQ262" s="13"/>
      <c r="AR262" s="12">
        <v>1580000</v>
      </c>
      <c r="AS262" s="12">
        <v>1970000</v>
      </c>
      <c r="AT262" s="2"/>
      <c r="AU262" s="2"/>
      <c r="AV262" s="2"/>
      <c r="AW262" s="2"/>
      <c r="AX262" s="2"/>
      <c r="AY262" s="2"/>
      <c r="AZ262" s="2"/>
      <c r="BA262" s="2"/>
      <c r="BB262" s="2"/>
      <c r="BC262" s="2"/>
      <c r="BD262" s="2"/>
      <c r="BE262" s="2"/>
      <c r="BK262" s="2"/>
      <c r="BM262" s="2"/>
      <c r="BN262" s="2"/>
      <c r="BO262" s="2"/>
      <c r="BS262" s="11"/>
      <c r="BT262" s="2"/>
      <c r="BU262" s="3"/>
      <c r="BV262" s="3"/>
      <c r="BW262" s="2"/>
      <c r="BX262" s="2"/>
      <c r="BY262" s="2"/>
      <c r="BZ262" s="2"/>
      <c r="CA262" s="2"/>
      <c r="CB262" s="2"/>
      <c r="CC262" s="2"/>
      <c r="CD262" s="1"/>
      <c r="CE262" s="1"/>
      <c r="CF262" s="1"/>
      <c r="CG262" s="1"/>
      <c r="CH262" s="1"/>
      <c r="CI262" s="2"/>
      <c r="CJ262" s="2"/>
      <c r="CK262" s="2"/>
      <c r="CL262" s="2"/>
      <c r="CM262" s="2"/>
      <c r="CN262" s="2"/>
      <c r="CO262" s="2"/>
      <c r="CP262" s="2"/>
      <c r="CQ262" s="2"/>
      <c r="CR262" s="2"/>
      <c r="CS262" s="2"/>
      <c r="CT262" s="2"/>
      <c r="CU262" s="2"/>
      <c r="CV262" s="2"/>
      <c r="CW262" s="2"/>
      <c r="CX262" s="2"/>
      <c r="CY262" s="2"/>
      <c r="CZ262" s="2"/>
    </row>
    <row r="263" spans="43:104" ht="15" hidden="1" customHeight="1" x14ac:dyDescent="0.2">
      <c r="AQ263" s="13"/>
      <c r="AR263" s="12">
        <v>1585000</v>
      </c>
      <c r="AS263" s="12">
        <v>1980000</v>
      </c>
      <c r="AT263" s="2"/>
      <c r="AU263" s="2"/>
      <c r="AV263" s="2"/>
      <c r="AW263" s="2"/>
      <c r="AX263" s="2"/>
      <c r="AY263" s="2"/>
      <c r="AZ263" s="2"/>
      <c r="BA263" s="2"/>
      <c r="BB263" s="2"/>
      <c r="BC263" s="2"/>
      <c r="BD263" s="2"/>
      <c r="BE263" s="2"/>
      <c r="BK263" s="2"/>
      <c r="BM263" s="2"/>
      <c r="BN263" s="2"/>
      <c r="BO263" s="2"/>
      <c r="BS263" s="11"/>
      <c r="BT263" s="2"/>
      <c r="BU263" s="3"/>
      <c r="BV263" s="3"/>
      <c r="BW263" s="2"/>
      <c r="BX263" s="2"/>
      <c r="BY263" s="2"/>
      <c r="BZ263" s="2"/>
      <c r="CA263" s="46"/>
      <c r="CB263" s="1"/>
      <c r="CC263" s="1"/>
      <c r="CD263" s="1"/>
      <c r="CE263" s="1"/>
      <c r="CF263" s="1"/>
      <c r="CG263" s="1"/>
      <c r="CH263" s="1"/>
      <c r="CI263" s="2"/>
      <c r="CJ263" s="2"/>
      <c r="CK263" s="2"/>
      <c r="CL263" s="2"/>
      <c r="CM263" s="2"/>
      <c r="CN263" s="2"/>
      <c r="CO263" s="2"/>
      <c r="CP263" s="2"/>
      <c r="CQ263" s="2"/>
      <c r="CR263" s="2"/>
      <c r="CS263" s="2"/>
      <c r="CT263" s="2"/>
      <c r="CU263" s="2"/>
      <c r="CV263" s="2"/>
      <c r="CW263" s="2"/>
      <c r="CX263" s="2"/>
      <c r="CY263" s="2"/>
      <c r="CZ263" s="2"/>
    </row>
    <row r="264" spans="43:104" ht="15" hidden="1" customHeight="1" x14ac:dyDescent="0.2">
      <c r="AQ264" s="85"/>
      <c r="AR264" s="12">
        <v>1590000</v>
      </c>
      <c r="AS264" s="12">
        <v>1990000</v>
      </c>
      <c r="AT264" s="2"/>
      <c r="AU264" s="2"/>
      <c r="AV264" s="2"/>
      <c r="AW264" s="2"/>
      <c r="AX264" s="2"/>
      <c r="AY264" s="2"/>
      <c r="AZ264" s="2"/>
      <c r="BA264" s="2"/>
      <c r="BB264" s="2"/>
      <c r="BC264" s="2"/>
      <c r="BD264" s="2"/>
      <c r="BE264" s="2"/>
      <c r="BK264" s="2"/>
      <c r="BM264" s="2"/>
      <c r="BN264" s="2"/>
      <c r="BO264" s="2"/>
      <c r="BS264" s="11"/>
      <c r="BT264" s="2"/>
      <c r="BU264" s="3"/>
      <c r="BV264" s="3"/>
      <c r="BW264" s="2"/>
      <c r="BX264" s="2"/>
      <c r="BY264" s="2"/>
      <c r="BZ264" s="2"/>
      <c r="CA264" s="46"/>
      <c r="CB264" s="1"/>
      <c r="CC264" s="1"/>
      <c r="CD264" s="1"/>
      <c r="CE264" s="1"/>
      <c r="CF264" s="1"/>
      <c r="CG264" s="1"/>
      <c r="CH264" s="1"/>
      <c r="CI264" s="2"/>
      <c r="CJ264" s="2"/>
      <c r="CK264" s="2"/>
      <c r="CL264" s="2"/>
      <c r="CM264" s="2"/>
      <c r="CN264" s="2"/>
      <c r="CO264" s="2"/>
      <c r="CP264" s="2"/>
      <c r="CQ264" s="2"/>
      <c r="CR264" s="2"/>
      <c r="CS264" s="2"/>
      <c r="CT264" s="2"/>
      <c r="CU264" s="2"/>
      <c r="CV264" s="2"/>
      <c r="CW264" s="2"/>
      <c r="CX264" s="2"/>
      <c r="CY264" s="2"/>
      <c r="CZ264" s="2"/>
    </row>
    <row r="265" spans="43:104" ht="15" hidden="1" customHeight="1" x14ac:dyDescent="0.2">
      <c r="AQ265" s="12"/>
      <c r="AR265" s="12">
        <v>1595000</v>
      </c>
      <c r="AS265" s="12">
        <v>2000000</v>
      </c>
      <c r="AT265" s="2"/>
      <c r="AU265" s="2"/>
      <c r="AV265" s="2"/>
      <c r="AW265" s="2"/>
      <c r="AX265" s="2"/>
      <c r="AY265" s="2"/>
      <c r="AZ265" s="2"/>
      <c r="BA265" s="2"/>
      <c r="BB265" s="2"/>
      <c r="BC265" s="2"/>
      <c r="BD265" s="2"/>
      <c r="BE265" s="2"/>
      <c r="BK265" s="2"/>
      <c r="BM265" s="2"/>
      <c r="BN265" s="2"/>
      <c r="BO265" s="2"/>
      <c r="BS265" s="11"/>
      <c r="BT265" s="2"/>
      <c r="BU265" s="3"/>
      <c r="BV265" s="3"/>
      <c r="BW265" s="2"/>
      <c r="BX265" s="2"/>
      <c r="BY265" s="2"/>
      <c r="BZ265" s="2"/>
      <c r="CA265" s="46"/>
      <c r="CB265" s="1"/>
      <c r="CC265" s="1"/>
      <c r="CD265" s="1"/>
      <c r="CE265" s="1"/>
      <c r="CF265" s="1"/>
      <c r="CG265" s="1"/>
      <c r="CH265" s="1"/>
      <c r="CI265" s="2"/>
      <c r="CJ265" s="2"/>
      <c r="CK265" s="2"/>
      <c r="CL265" s="2"/>
      <c r="CM265" s="2"/>
      <c r="CN265" s="2"/>
      <c r="CO265" s="2"/>
      <c r="CP265" s="2"/>
      <c r="CQ265" s="2"/>
      <c r="CR265" s="2"/>
      <c r="CS265" s="2"/>
      <c r="CT265" s="2"/>
      <c r="CU265" s="2"/>
      <c r="CV265" s="2"/>
      <c r="CW265" s="2"/>
      <c r="CX265" s="2"/>
      <c r="CY265" s="2"/>
      <c r="CZ265" s="2"/>
    </row>
    <row r="266" spans="43:104" ht="15" hidden="1" customHeight="1" x14ac:dyDescent="0.2">
      <c r="AQ266" s="12"/>
      <c r="AR266" s="12">
        <v>1600000</v>
      </c>
      <c r="AS266" s="12">
        <v>2010000</v>
      </c>
      <c r="AT266" s="2"/>
      <c r="AU266" s="2"/>
      <c r="AV266" s="2"/>
      <c r="AW266" s="2"/>
      <c r="AX266" s="2"/>
      <c r="AY266" s="2"/>
      <c r="AZ266" s="2"/>
      <c r="BA266" s="2"/>
      <c r="BB266" s="2"/>
      <c r="BC266" s="2"/>
      <c r="BD266" s="2"/>
      <c r="BE266" s="2"/>
      <c r="BK266" s="2"/>
      <c r="BM266" s="2"/>
      <c r="BN266" s="2"/>
      <c r="BO266" s="2"/>
      <c r="BS266" s="11"/>
      <c r="BT266" s="2"/>
      <c r="BU266" s="3"/>
      <c r="BV266" s="3"/>
      <c r="BW266" s="2"/>
      <c r="BX266" s="2"/>
      <c r="BY266" s="2"/>
      <c r="BZ266" s="46"/>
      <c r="CA266" s="1"/>
      <c r="CB266" s="1"/>
      <c r="CC266" s="1"/>
      <c r="CD266" s="1"/>
      <c r="CE266" s="1"/>
      <c r="CF266" s="1"/>
      <c r="CG266" s="1"/>
      <c r="CH266" s="1"/>
      <c r="CI266" s="2"/>
      <c r="CJ266" s="2"/>
      <c r="CK266" s="2"/>
      <c r="CL266" s="2"/>
      <c r="CM266" s="2"/>
      <c r="CN266" s="2"/>
      <c r="CO266" s="2"/>
      <c r="CP266" s="2"/>
      <c r="CQ266" s="2"/>
      <c r="CR266" s="2"/>
      <c r="CS266" s="2"/>
      <c r="CT266" s="2"/>
      <c r="CU266" s="2"/>
      <c r="CV266" s="2"/>
      <c r="CW266" s="2"/>
      <c r="CX266" s="2"/>
      <c r="CY266" s="2"/>
      <c r="CZ266" s="2"/>
    </row>
    <row r="267" spans="43:104" ht="15" hidden="1" customHeight="1" x14ac:dyDescent="0.2">
      <c r="AQ267" s="13"/>
      <c r="AR267" s="12">
        <v>1605000</v>
      </c>
      <c r="AS267" s="12">
        <v>2020000</v>
      </c>
      <c r="AT267" s="2"/>
      <c r="AU267" s="2"/>
      <c r="AV267" s="2"/>
      <c r="AW267" s="2"/>
      <c r="AX267" s="2"/>
      <c r="AY267" s="2"/>
      <c r="AZ267" s="2"/>
      <c r="BA267" s="2"/>
      <c r="BB267" s="2"/>
      <c r="BC267" s="2"/>
      <c r="BD267" s="2"/>
      <c r="BE267" s="2"/>
      <c r="BK267" s="2"/>
      <c r="BM267" s="2"/>
      <c r="BN267" s="2"/>
      <c r="BO267" s="2"/>
      <c r="BS267" s="11"/>
      <c r="BT267" s="2"/>
      <c r="BU267" s="3"/>
      <c r="BV267" s="3"/>
      <c r="BW267" s="2"/>
      <c r="BX267" s="2"/>
      <c r="BY267" s="2"/>
      <c r="BZ267" s="2"/>
      <c r="CA267" s="46"/>
      <c r="CB267" s="1"/>
      <c r="CC267" s="1"/>
      <c r="CD267" s="1"/>
      <c r="CE267" s="1"/>
      <c r="CF267" s="1"/>
      <c r="CG267" s="1"/>
      <c r="CH267" s="1"/>
      <c r="CI267" s="2"/>
      <c r="CJ267" s="2"/>
      <c r="CK267" s="2"/>
      <c r="CL267" s="2"/>
      <c r="CM267" s="2"/>
      <c r="CN267" s="2"/>
      <c r="CO267" s="2"/>
      <c r="CP267" s="2"/>
      <c r="CQ267" s="2"/>
      <c r="CR267" s="2"/>
      <c r="CS267" s="2"/>
      <c r="CT267" s="2"/>
      <c r="CU267" s="2"/>
      <c r="CV267" s="2"/>
      <c r="CW267" s="2"/>
      <c r="CX267" s="2"/>
      <c r="CY267" s="2"/>
      <c r="CZ267" s="2"/>
    </row>
    <row r="268" spans="43:104" ht="15" hidden="1" customHeight="1" x14ac:dyDescent="0.2">
      <c r="AQ268" s="13"/>
      <c r="AR268" s="12">
        <v>1610000</v>
      </c>
      <c r="AS268" s="12">
        <v>2030000</v>
      </c>
      <c r="AT268" s="2"/>
      <c r="AU268" s="2"/>
      <c r="AV268" s="2"/>
      <c r="AW268" s="2"/>
      <c r="AX268" s="2"/>
      <c r="AY268" s="2"/>
      <c r="AZ268" s="2"/>
      <c r="BA268" s="2"/>
      <c r="BB268" s="2"/>
      <c r="BC268" s="2"/>
      <c r="BD268" s="2"/>
      <c r="BE268" s="2"/>
      <c r="BK268" s="2"/>
      <c r="BM268" s="2"/>
      <c r="BN268" s="2"/>
      <c r="BO268" s="2"/>
      <c r="BS268" s="11"/>
      <c r="BT268" s="2"/>
      <c r="BU268" s="3"/>
      <c r="BV268" s="3"/>
      <c r="BW268" s="2"/>
      <c r="BX268" s="2"/>
      <c r="BY268" s="2"/>
      <c r="BZ268" s="2"/>
      <c r="CA268" s="46"/>
      <c r="CB268" s="1"/>
      <c r="CC268" s="1"/>
      <c r="CD268" s="1"/>
      <c r="CE268" s="1"/>
      <c r="CF268" s="1"/>
      <c r="CG268" s="1"/>
      <c r="CH268" s="1"/>
      <c r="CI268" s="2"/>
      <c r="CJ268" s="2"/>
      <c r="CK268" s="2"/>
      <c r="CL268" s="2"/>
      <c r="CM268" s="2"/>
      <c r="CN268" s="2"/>
      <c r="CO268" s="2"/>
      <c r="CP268" s="2"/>
      <c r="CQ268" s="2"/>
      <c r="CR268" s="2"/>
      <c r="CS268" s="2"/>
      <c r="CT268" s="2"/>
      <c r="CU268" s="2"/>
      <c r="CV268" s="2"/>
      <c r="CW268" s="2"/>
      <c r="CX268" s="2"/>
      <c r="CY268" s="2"/>
      <c r="CZ268" s="2"/>
    </row>
    <row r="269" spans="43:104" ht="15" hidden="1" customHeight="1" x14ac:dyDescent="0.2">
      <c r="AQ269" s="85"/>
      <c r="AR269" s="12">
        <v>1615000</v>
      </c>
      <c r="AS269" s="12">
        <v>2040000</v>
      </c>
      <c r="AT269" s="2"/>
      <c r="AU269" s="2"/>
      <c r="AV269" s="2"/>
      <c r="AW269" s="2"/>
      <c r="AX269" s="2"/>
      <c r="AY269" s="2"/>
      <c r="AZ269" s="2"/>
      <c r="BA269" s="2"/>
      <c r="BB269" s="2"/>
      <c r="BC269" s="2"/>
      <c r="BD269" s="2"/>
      <c r="BE269" s="2"/>
      <c r="BK269" s="2"/>
      <c r="BM269" s="2"/>
      <c r="BN269" s="2"/>
      <c r="BO269" s="2"/>
      <c r="BS269" s="11"/>
      <c r="BT269" s="2"/>
      <c r="BU269" s="3"/>
      <c r="BV269" s="3"/>
      <c r="BW269" s="2"/>
      <c r="BX269" s="2"/>
      <c r="BY269" s="2"/>
      <c r="BZ269" s="2"/>
      <c r="CA269" s="2"/>
      <c r="CB269" s="2"/>
      <c r="CC269" s="2"/>
      <c r="CD269" s="1"/>
      <c r="CE269" s="1"/>
      <c r="CF269" s="1"/>
      <c r="CG269" s="1"/>
      <c r="CH269" s="1"/>
      <c r="CI269" s="2"/>
      <c r="CJ269" s="2"/>
      <c r="CK269" s="2"/>
      <c r="CL269" s="2"/>
      <c r="CM269" s="2"/>
      <c r="CN269" s="2"/>
      <c r="CO269" s="2"/>
      <c r="CP269" s="2"/>
      <c r="CQ269" s="2"/>
      <c r="CR269" s="2"/>
      <c r="CS269" s="2"/>
      <c r="CT269" s="2"/>
      <c r="CU269" s="2"/>
      <c r="CV269" s="2"/>
      <c r="CW269" s="2"/>
      <c r="CX269" s="2"/>
      <c r="CY269" s="2"/>
      <c r="CZ269" s="2"/>
    </row>
    <row r="270" spans="43:104" ht="15" hidden="1" customHeight="1" x14ac:dyDescent="0.2">
      <c r="AQ270" s="12"/>
      <c r="AR270" s="12">
        <v>1620000</v>
      </c>
      <c r="AS270" s="12">
        <v>2050000</v>
      </c>
      <c r="AT270" s="2"/>
      <c r="AU270" s="2"/>
      <c r="AV270" s="2"/>
      <c r="AW270" s="2"/>
      <c r="AX270" s="2"/>
      <c r="AY270" s="2"/>
      <c r="AZ270" s="2"/>
      <c r="BA270" s="2"/>
      <c r="BB270" s="2"/>
      <c r="BC270" s="2"/>
      <c r="BD270" s="2"/>
      <c r="BE270" s="2"/>
      <c r="BK270" s="2"/>
      <c r="BM270" s="2"/>
      <c r="BN270" s="2"/>
      <c r="BO270" s="2"/>
      <c r="BS270" s="11"/>
      <c r="BT270" s="2"/>
      <c r="BU270" s="3"/>
      <c r="BV270" s="3"/>
      <c r="BW270" s="2"/>
      <c r="BX270" s="2"/>
      <c r="BY270" s="2"/>
      <c r="BZ270" s="2"/>
      <c r="CA270" s="2"/>
      <c r="CB270" s="2"/>
      <c r="CC270" s="2"/>
      <c r="CD270" s="1"/>
      <c r="CE270" s="1"/>
      <c r="CF270" s="1"/>
      <c r="CG270" s="1"/>
      <c r="CH270" s="1"/>
      <c r="CI270" s="2"/>
      <c r="CJ270" s="2"/>
      <c r="CK270" s="2"/>
      <c r="CL270" s="2"/>
      <c r="CM270" s="2"/>
      <c r="CN270" s="2"/>
      <c r="CO270" s="2"/>
      <c r="CP270" s="2"/>
      <c r="CQ270" s="2"/>
      <c r="CR270" s="2"/>
      <c r="CS270" s="2"/>
      <c r="CT270" s="2"/>
      <c r="CU270" s="2"/>
      <c r="CV270" s="2"/>
      <c r="CW270" s="2"/>
      <c r="CX270" s="2"/>
      <c r="CY270" s="2"/>
      <c r="CZ270" s="2"/>
    </row>
    <row r="271" spans="43:104" ht="15" hidden="1" customHeight="1" x14ac:dyDescent="0.2">
      <c r="AQ271" s="12"/>
      <c r="AR271" s="12">
        <v>1625000</v>
      </c>
      <c r="AS271" s="12">
        <v>2060000</v>
      </c>
      <c r="AT271" s="2"/>
      <c r="AU271" s="2"/>
      <c r="AV271" s="2"/>
      <c r="AW271" s="2"/>
      <c r="AX271" s="2"/>
      <c r="AY271" s="2"/>
      <c r="AZ271" s="2"/>
      <c r="BA271" s="2"/>
      <c r="BB271" s="2"/>
      <c r="BC271" s="2"/>
      <c r="BD271" s="2"/>
      <c r="BE271" s="2"/>
      <c r="BK271" s="2"/>
      <c r="BM271" s="2"/>
      <c r="BN271" s="2"/>
      <c r="BO271" s="2"/>
      <c r="BS271" s="11"/>
      <c r="BT271" s="2"/>
      <c r="BU271" s="3"/>
      <c r="BV271" s="3"/>
      <c r="BW271" s="2"/>
      <c r="BX271" s="2"/>
      <c r="BY271" s="2"/>
      <c r="BZ271" s="2"/>
      <c r="CA271" s="2"/>
      <c r="CB271" s="2"/>
      <c r="CC271" s="2"/>
      <c r="CD271" s="1"/>
      <c r="CE271" s="1"/>
      <c r="CF271" s="1"/>
      <c r="CG271" s="1"/>
      <c r="CH271" s="1"/>
      <c r="CI271" s="2"/>
      <c r="CJ271" s="2"/>
      <c r="CK271" s="2"/>
      <c r="CL271" s="2"/>
      <c r="CM271" s="2"/>
      <c r="CN271" s="2"/>
      <c r="CO271" s="2"/>
      <c r="CP271" s="2"/>
      <c r="CQ271" s="2"/>
      <c r="CR271" s="2"/>
      <c r="CS271" s="2"/>
      <c r="CT271" s="2"/>
      <c r="CU271" s="2"/>
      <c r="CV271" s="2"/>
      <c r="CW271" s="2"/>
      <c r="CX271" s="2"/>
      <c r="CY271" s="2"/>
      <c r="CZ271" s="2"/>
    </row>
    <row r="272" spans="43:104" ht="15" hidden="1" customHeight="1" x14ac:dyDescent="0.2">
      <c r="AQ272" s="13"/>
      <c r="AR272" s="12">
        <v>1630000</v>
      </c>
      <c r="AS272" s="12">
        <v>2070000</v>
      </c>
      <c r="AT272" s="2"/>
      <c r="AU272" s="2"/>
      <c r="AV272" s="2"/>
      <c r="AW272" s="2"/>
      <c r="AX272" s="2"/>
      <c r="AY272" s="2"/>
      <c r="AZ272" s="2"/>
      <c r="BA272" s="2"/>
      <c r="BB272" s="2"/>
      <c r="BC272" s="2"/>
      <c r="BD272" s="2"/>
      <c r="BE272" s="2"/>
      <c r="BK272" s="2"/>
      <c r="BM272" s="2"/>
      <c r="BN272" s="2"/>
      <c r="BO272" s="2"/>
      <c r="BS272" s="11"/>
      <c r="BT272" s="2"/>
      <c r="BU272" s="3"/>
      <c r="BV272" s="3"/>
      <c r="BW272" s="2"/>
      <c r="BX272" s="2"/>
      <c r="BY272" s="2"/>
      <c r="BZ272" s="2"/>
      <c r="CA272" s="2"/>
      <c r="CB272" s="2"/>
      <c r="CC272" s="2"/>
      <c r="CD272" s="1"/>
      <c r="CE272" s="1"/>
      <c r="CF272" s="1"/>
      <c r="CG272" s="1"/>
      <c r="CH272" s="1"/>
      <c r="CI272" s="2"/>
      <c r="CJ272" s="2"/>
      <c r="CK272" s="2"/>
      <c r="CL272" s="2"/>
      <c r="CM272" s="2"/>
      <c r="CN272" s="2"/>
      <c r="CO272" s="2"/>
      <c r="CP272" s="2"/>
      <c r="CQ272" s="2"/>
      <c r="CR272" s="2"/>
      <c r="CS272" s="2"/>
      <c r="CT272" s="2"/>
      <c r="CU272" s="2"/>
      <c r="CV272" s="2"/>
      <c r="CW272" s="2"/>
      <c r="CX272" s="2"/>
      <c r="CY272" s="2"/>
      <c r="CZ272" s="2"/>
    </row>
    <row r="273" spans="43:104" ht="15" hidden="1" customHeight="1" x14ac:dyDescent="0.2">
      <c r="AQ273" s="13"/>
      <c r="AR273" s="12">
        <v>1635000</v>
      </c>
      <c r="AS273" s="12">
        <v>2080000</v>
      </c>
      <c r="AT273" s="2"/>
      <c r="AU273" s="2"/>
      <c r="AV273" s="2"/>
      <c r="AW273" s="2"/>
      <c r="AX273" s="2"/>
      <c r="AY273" s="2"/>
      <c r="AZ273" s="2"/>
      <c r="BA273" s="2"/>
      <c r="BB273" s="2"/>
      <c r="BC273" s="2"/>
      <c r="BD273" s="2"/>
      <c r="BE273" s="2"/>
      <c r="BK273" s="2"/>
      <c r="BM273" s="2"/>
      <c r="BN273" s="2"/>
      <c r="BO273" s="2"/>
      <c r="BS273" s="11"/>
      <c r="BT273" s="2"/>
      <c r="BU273" s="3"/>
      <c r="BV273" s="3"/>
      <c r="BW273" s="2"/>
      <c r="BX273" s="2"/>
      <c r="BY273" s="2"/>
      <c r="BZ273" s="2"/>
      <c r="CA273" s="2"/>
      <c r="CB273" s="2"/>
      <c r="CC273" s="2"/>
      <c r="CD273" s="1"/>
      <c r="CE273" s="1"/>
      <c r="CF273" s="1"/>
      <c r="CG273" s="1"/>
      <c r="CH273" s="1"/>
      <c r="CI273" s="2"/>
      <c r="CJ273" s="2"/>
      <c r="CK273" s="2"/>
      <c r="CL273" s="2"/>
      <c r="CM273" s="2"/>
      <c r="CN273" s="2"/>
      <c r="CO273" s="2"/>
      <c r="CP273" s="2"/>
      <c r="CQ273" s="2"/>
      <c r="CR273" s="2"/>
      <c r="CS273" s="2"/>
      <c r="CT273" s="2"/>
      <c r="CU273" s="2"/>
      <c r="CV273" s="2"/>
      <c r="CW273" s="2"/>
      <c r="CX273" s="2"/>
      <c r="CY273" s="2"/>
      <c r="CZ273" s="2"/>
    </row>
    <row r="274" spans="43:104" ht="15" hidden="1" customHeight="1" x14ac:dyDescent="0.2">
      <c r="AQ274" s="85"/>
      <c r="AR274" s="12">
        <v>1640000</v>
      </c>
      <c r="AS274" s="12">
        <v>2090000</v>
      </c>
      <c r="AT274" s="2"/>
      <c r="AU274" s="2"/>
      <c r="AV274" s="2"/>
      <c r="AW274" s="2"/>
      <c r="AX274" s="2"/>
      <c r="AY274" s="2"/>
      <c r="AZ274" s="2"/>
      <c r="BA274" s="2"/>
      <c r="BB274" s="2"/>
      <c r="BC274" s="2"/>
      <c r="BD274" s="2"/>
      <c r="BE274" s="2"/>
      <c r="BK274" s="2"/>
      <c r="BM274" s="2"/>
      <c r="BN274" s="2"/>
      <c r="BO274" s="2"/>
      <c r="BS274" s="11"/>
      <c r="BT274" s="2"/>
      <c r="BU274" s="3"/>
      <c r="BV274" s="3"/>
      <c r="BW274" s="2"/>
      <c r="BX274" s="2"/>
      <c r="BY274" s="2"/>
      <c r="BZ274" s="2"/>
      <c r="CA274" s="46"/>
      <c r="CB274" s="1"/>
      <c r="CC274" s="1"/>
      <c r="CD274" s="1"/>
      <c r="CE274" s="1"/>
      <c r="CF274" s="1"/>
      <c r="CG274" s="1"/>
      <c r="CH274" s="1"/>
      <c r="CI274" s="2"/>
      <c r="CJ274" s="2"/>
      <c r="CK274" s="2"/>
      <c r="CL274" s="2"/>
      <c r="CM274" s="2"/>
      <c r="CN274" s="2"/>
      <c r="CO274" s="2"/>
      <c r="CP274" s="2"/>
      <c r="CQ274" s="2"/>
      <c r="CR274" s="2"/>
      <c r="CS274" s="2"/>
      <c r="CT274" s="2"/>
      <c r="CU274" s="2"/>
      <c r="CV274" s="2"/>
      <c r="CW274" s="2"/>
      <c r="CX274" s="2"/>
      <c r="CY274" s="2"/>
      <c r="CZ274" s="2"/>
    </row>
    <row r="275" spans="43:104" ht="15" hidden="1" customHeight="1" x14ac:dyDescent="0.2">
      <c r="AQ275" s="12"/>
      <c r="AR275" s="12">
        <v>1645000</v>
      </c>
      <c r="AS275" s="12">
        <v>2100000</v>
      </c>
      <c r="AT275" s="2"/>
      <c r="AU275" s="2"/>
      <c r="AV275" s="2"/>
      <c r="AW275" s="2"/>
      <c r="AX275" s="2"/>
      <c r="AY275" s="2"/>
      <c r="AZ275" s="2"/>
      <c r="BA275" s="2"/>
      <c r="BB275" s="2"/>
      <c r="BC275" s="2"/>
      <c r="BD275" s="2"/>
      <c r="BE275" s="2"/>
      <c r="BK275" s="2"/>
      <c r="BM275" s="2"/>
      <c r="BN275" s="2"/>
      <c r="BO275" s="2"/>
      <c r="BS275" s="11"/>
      <c r="BT275" s="2"/>
      <c r="BU275" s="3"/>
      <c r="BV275" s="3"/>
      <c r="BW275" s="2"/>
      <c r="BX275" s="2"/>
      <c r="BY275" s="2"/>
      <c r="BZ275" s="2"/>
      <c r="CA275" s="46"/>
      <c r="CB275" s="1"/>
      <c r="CC275" s="1"/>
      <c r="CD275" s="1"/>
      <c r="CE275" s="1"/>
      <c r="CF275" s="1"/>
      <c r="CG275" s="1"/>
      <c r="CH275" s="1"/>
      <c r="CI275" s="2"/>
      <c r="CJ275" s="2"/>
      <c r="CK275" s="2"/>
      <c r="CL275" s="2"/>
      <c r="CM275" s="2"/>
      <c r="CN275" s="2"/>
      <c r="CO275" s="2"/>
      <c r="CP275" s="2"/>
      <c r="CQ275" s="2"/>
      <c r="CR275" s="2"/>
      <c r="CS275" s="2"/>
      <c r="CT275" s="2"/>
      <c r="CU275" s="2"/>
      <c r="CV275" s="2"/>
      <c r="CW275" s="2"/>
      <c r="CX275" s="2"/>
      <c r="CY275" s="2"/>
      <c r="CZ275" s="2"/>
    </row>
    <row r="276" spans="43:104" ht="15" hidden="1" customHeight="1" x14ac:dyDescent="0.2">
      <c r="AQ276" s="12"/>
      <c r="AR276" s="12">
        <v>1650000</v>
      </c>
      <c r="AS276" s="12">
        <v>2110000</v>
      </c>
      <c r="AT276" s="2"/>
      <c r="AU276" s="2"/>
      <c r="AV276" s="2"/>
      <c r="AW276" s="2"/>
      <c r="AX276" s="2"/>
      <c r="AY276" s="2"/>
      <c r="AZ276" s="2"/>
      <c r="BA276" s="2"/>
      <c r="BB276" s="2"/>
      <c r="BC276" s="2"/>
      <c r="BD276" s="2"/>
      <c r="BE276" s="2"/>
      <c r="BK276" s="2"/>
      <c r="BM276" s="2"/>
      <c r="BN276" s="2"/>
      <c r="BO276" s="2"/>
      <c r="BS276" s="11"/>
      <c r="BT276" s="2"/>
      <c r="BU276" s="3"/>
      <c r="BV276" s="3"/>
      <c r="BW276" s="2"/>
      <c r="BX276" s="2"/>
      <c r="BY276" s="2"/>
      <c r="BZ276" s="2"/>
      <c r="CA276" s="46"/>
      <c r="CB276" s="1"/>
      <c r="CC276" s="1"/>
      <c r="CD276" s="1"/>
      <c r="CE276" s="1"/>
      <c r="CF276" s="1"/>
      <c r="CG276" s="1"/>
      <c r="CH276" s="1"/>
      <c r="CI276" s="2"/>
      <c r="CJ276" s="2"/>
      <c r="CK276" s="2"/>
      <c r="CL276" s="2"/>
      <c r="CM276" s="2"/>
      <c r="CN276" s="2"/>
      <c r="CO276" s="2"/>
      <c r="CP276" s="2"/>
      <c r="CQ276" s="2"/>
      <c r="CR276" s="2"/>
      <c r="CS276" s="2"/>
      <c r="CT276" s="2"/>
      <c r="CU276" s="2"/>
      <c r="CV276" s="2"/>
      <c r="CW276" s="2"/>
      <c r="CX276" s="2"/>
      <c r="CY276" s="2"/>
      <c r="CZ276" s="2"/>
    </row>
    <row r="277" spans="43:104" ht="15" hidden="1" customHeight="1" x14ac:dyDescent="0.2">
      <c r="AQ277" s="13"/>
      <c r="AR277" s="12">
        <v>1655000</v>
      </c>
      <c r="AS277" s="12">
        <v>2120000</v>
      </c>
      <c r="AT277" s="2"/>
      <c r="AU277" s="2"/>
      <c r="AV277" s="2"/>
      <c r="AW277" s="2"/>
      <c r="AX277" s="2"/>
      <c r="AY277" s="2"/>
      <c r="AZ277" s="2"/>
      <c r="BA277" s="2"/>
      <c r="BB277" s="2"/>
      <c r="BC277" s="2"/>
      <c r="BD277" s="2"/>
      <c r="BE277" s="2"/>
      <c r="BK277" s="2"/>
      <c r="BM277" s="2"/>
      <c r="BN277" s="2"/>
      <c r="BO277" s="2"/>
      <c r="BS277" s="11"/>
      <c r="BT277" s="2"/>
      <c r="BU277" s="3"/>
      <c r="BV277" s="3"/>
      <c r="BW277" s="2"/>
      <c r="BX277" s="2"/>
      <c r="BY277" s="2"/>
      <c r="BZ277" s="46"/>
      <c r="CA277" s="1"/>
      <c r="CB277" s="1"/>
      <c r="CC277" s="1"/>
      <c r="CD277" s="1"/>
      <c r="CE277" s="1"/>
      <c r="CF277" s="1"/>
      <c r="CG277" s="1"/>
      <c r="CH277" s="1"/>
      <c r="CI277" s="2"/>
      <c r="CJ277" s="2"/>
      <c r="CK277" s="2"/>
      <c r="CL277" s="2"/>
      <c r="CM277" s="2"/>
      <c r="CN277" s="2"/>
      <c r="CO277" s="2"/>
      <c r="CP277" s="2"/>
      <c r="CQ277" s="2"/>
      <c r="CR277" s="2"/>
      <c r="CS277" s="2"/>
      <c r="CT277" s="2"/>
      <c r="CU277" s="2"/>
      <c r="CV277" s="2"/>
      <c r="CW277" s="2"/>
      <c r="CX277" s="2"/>
      <c r="CY277" s="2"/>
      <c r="CZ277" s="2"/>
    </row>
    <row r="278" spans="43:104" ht="15" hidden="1" customHeight="1" x14ac:dyDescent="0.2">
      <c r="AQ278" s="13"/>
      <c r="AR278" s="12">
        <v>1660000</v>
      </c>
      <c r="AS278" s="12">
        <v>2130000</v>
      </c>
      <c r="AT278" s="2"/>
      <c r="AU278" s="2"/>
      <c r="AV278" s="2"/>
      <c r="AW278" s="2"/>
      <c r="AX278" s="2"/>
      <c r="AY278" s="2"/>
      <c r="AZ278" s="2"/>
      <c r="BA278" s="2"/>
      <c r="BB278" s="2"/>
      <c r="BC278" s="2"/>
      <c r="BD278" s="2"/>
      <c r="BE278" s="2"/>
      <c r="BK278" s="2"/>
      <c r="BM278" s="2"/>
      <c r="BN278" s="2"/>
      <c r="BO278" s="2"/>
      <c r="BS278" s="11"/>
      <c r="BT278" s="2"/>
      <c r="BU278" s="3"/>
      <c r="BV278" s="3"/>
      <c r="BW278" s="2"/>
      <c r="BX278" s="2"/>
      <c r="BY278" s="2"/>
      <c r="BZ278" s="2"/>
      <c r="CA278" s="46"/>
      <c r="CB278" s="1"/>
      <c r="CC278" s="1"/>
      <c r="CD278" s="1"/>
      <c r="CE278" s="1"/>
      <c r="CF278" s="1"/>
      <c r="CG278" s="1"/>
      <c r="CH278" s="1"/>
      <c r="CI278" s="2"/>
      <c r="CJ278" s="2"/>
      <c r="CK278" s="2"/>
      <c r="CL278" s="2"/>
      <c r="CM278" s="2"/>
      <c r="CN278" s="2"/>
      <c r="CO278" s="2"/>
      <c r="CP278" s="2"/>
      <c r="CQ278" s="2"/>
      <c r="CR278" s="2"/>
      <c r="CS278" s="2"/>
      <c r="CT278" s="2"/>
      <c r="CU278" s="2"/>
      <c r="CV278" s="2"/>
      <c r="CW278" s="2"/>
      <c r="CX278" s="2"/>
      <c r="CY278" s="2"/>
      <c r="CZ278" s="2"/>
    </row>
    <row r="279" spans="43:104" ht="15" hidden="1" customHeight="1" x14ac:dyDescent="0.2">
      <c r="AQ279" s="85"/>
      <c r="AR279" s="12">
        <v>1665000</v>
      </c>
      <c r="AS279" s="12">
        <v>2140000</v>
      </c>
      <c r="AT279" s="2"/>
      <c r="AU279" s="2"/>
      <c r="AV279" s="2"/>
      <c r="AW279" s="2"/>
      <c r="AX279" s="2"/>
      <c r="AY279" s="2"/>
      <c r="AZ279" s="2"/>
      <c r="BA279" s="2"/>
      <c r="BB279" s="2"/>
      <c r="BC279" s="2"/>
      <c r="BD279" s="2"/>
      <c r="BE279" s="2"/>
      <c r="BK279" s="2"/>
      <c r="BM279" s="2"/>
      <c r="BN279" s="2"/>
      <c r="BO279" s="2"/>
      <c r="BS279" s="11"/>
      <c r="BT279" s="2"/>
      <c r="BU279" s="3"/>
      <c r="BV279" s="3"/>
      <c r="BW279" s="2"/>
      <c r="BX279" s="2"/>
      <c r="BY279" s="2"/>
      <c r="BZ279" s="2"/>
      <c r="CA279" s="2"/>
      <c r="CB279" s="2"/>
      <c r="CC279" s="2"/>
      <c r="CD279" s="1"/>
      <c r="CE279" s="1"/>
      <c r="CF279" s="1"/>
      <c r="CG279" s="1"/>
      <c r="CH279" s="1"/>
      <c r="CI279" s="2"/>
      <c r="CJ279" s="2"/>
      <c r="CK279" s="2"/>
      <c r="CL279" s="2"/>
      <c r="CM279" s="2"/>
      <c r="CN279" s="2"/>
      <c r="CO279" s="2"/>
      <c r="CP279" s="2"/>
      <c r="CQ279" s="2"/>
      <c r="CR279" s="2"/>
      <c r="CS279" s="2"/>
      <c r="CT279" s="2"/>
      <c r="CU279" s="2"/>
      <c r="CV279" s="2"/>
      <c r="CW279" s="2"/>
      <c r="CX279" s="2"/>
      <c r="CY279" s="2"/>
      <c r="CZ279" s="2"/>
    </row>
    <row r="280" spans="43:104" ht="15" hidden="1" customHeight="1" x14ac:dyDescent="0.2">
      <c r="AQ280" s="12"/>
      <c r="AR280" s="12">
        <v>1670000</v>
      </c>
      <c r="AS280" s="12">
        <v>2150000</v>
      </c>
      <c r="AT280" s="2"/>
      <c r="AU280" s="2"/>
      <c r="AV280" s="2"/>
      <c r="AW280" s="2"/>
      <c r="AX280" s="2"/>
      <c r="AY280" s="2"/>
      <c r="AZ280" s="2"/>
      <c r="BA280" s="2"/>
      <c r="BB280" s="2"/>
      <c r="BC280" s="2"/>
      <c r="BD280" s="2"/>
      <c r="BE280" s="2"/>
      <c r="BK280" s="2"/>
      <c r="BM280" s="2"/>
      <c r="BN280" s="2"/>
      <c r="BO280" s="2"/>
      <c r="BS280" s="11"/>
      <c r="BT280" s="2"/>
      <c r="BU280" s="3"/>
      <c r="BV280" s="3"/>
      <c r="BW280" s="2"/>
      <c r="BX280" s="2"/>
      <c r="BY280" s="2"/>
      <c r="BZ280" s="2"/>
      <c r="CA280" s="2"/>
      <c r="CB280" s="2"/>
      <c r="CC280" s="2"/>
      <c r="CD280" s="1"/>
      <c r="CE280" s="1"/>
      <c r="CF280" s="1"/>
      <c r="CG280" s="1"/>
      <c r="CH280" s="1"/>
      <c r="CI280" s="2"/>
      <c r="CJ280" s="2"/>
      <c r="CK280" s="2"/>
      <c r="CL280" s="2"/>
      <c r="CM280" s="2"/>
      <c r="CN280" s="2"/>
      <c r="CO280" s="2"/>
      <c r="CP280" s="2"/>
      <c r="CQ280" s="2"/>
      <c r="CR280" s="2"/>
      <c r="CS280" s="2"/>
      <c r="CT280" s="2"/>
      <c r="CU280" s="2"/>
      <c r="CV280" s="2"/>
      <c r="CW280" s="2"/>
      <c r="CX280" s="2"/>
      <c r="CY280" s="2"/>
      <c r="CZ280" s="2"/>
    </row>
    <row r="281" spans="43:104" ht="15" hidden="1" customHeight="1" x14ac:dyDescent="0.2">
      <c r="AQ281" s="12"/>
      <c r="AR281" s="12">
        <v>1675000</v>
      </c>
      <c r="AS281" s="12">
        <v>2160000</v>
      </c>
      <c r="AT281" s="2"/>
      <c r="AU281" s="2"/>
      <c r="AV281" s="2"/>
      <c r="AW281" s="2"/>
      <c r="AX281" s="2"/>
      <c r="AY281" s="2"/>
      <c r="AZ281" s="2"/>
      <c r="BA281" s="2"/>
      <c r="BB281" s="2"/>
      <c r="BC281" s="2"/>
      <c r="BD281" s="2"/>
      <c r="BE281" s="2"/>
      <c r="BK281" s="2"/>
      <c r="BM281" s="2"/>
      <c r="BN281" s="2"/>
      <c r="BO281" s="2"/>
      <c r="BS281" s="11"/>
      <c r="BT281" s="2"/>
      <c r="BU281" s="3"/>
      <c r="BV281" s="3"/>
      <c r="BW281" s="2"/>
      <c r="BX281" s="2"/>
      <c r="BY281" s="2"/>
      <c r="BZ281" s="2"/>
      <c r="CA281" s="2"/>
      <c r="CB281" s="2"/>
      <c r="CC281" s="2"/>
      <c r="CD281" s="1"/>
      <c r="CE281" s="1"/>
      <c r="CF281" s="1"/>
      <c r="CG281" s="1"/>
      <c r="CH281" s="1"/>
      <c r="CI281" s="2"/>
      <c r="CJ281" s="2"/>
      <c r="CK281" s="2"/>
      <c r="CL281" s="2"/>
      <c r="CM281" s="2"/>
      <c r="CN281" s="2"/>
      <c r="CO281" s="2"/>
      <c r="CP281" s="2"/>
      <c r="CQ281" s="2"/>
      <c r="CR281" s="2"/>
      <c r="CS281" s="2"/>
      <c r="CT281" s="2"/>
      <c r="CU281" s="2"/>
      <c r="CV281" s="2"/>
      <c r="CW281" s="2"/>
      <c r="CX281" s="2"/>
      <c r="CY281" s="2"/>
      <c r="CZ281" s="2"/>
    </row>
    <row r="282" spans="43:104" ht="15" hidden="1" customHeight="1" x14ac:dyDescent="0.2">
      <c r="AQ282" s="13"/>
      <c r="AR282" s="12">
        <v>1680000</v>
      </c>
      <c r="AS282" s="12">
        <v>2170000</v>
      </c>
      <c r="AT282" s="2"/>
      <c r="AU282" s="2"/>
      <c r="AV282" s="2"/>
      <c r="AW282" s="2"/>
      <c r="AX282" s="2"/>
      <c r="AY282" s="2"/>
      <c r="AZ282" s="2"/>
      <c r="BA282" s="2"/>
      <c r="BB282" s="2"/>
      <c r="BC282" s="2"/>
      <c r="BD282" s="2"/>
      <c r="BE282" s="2"/>
      <c r="BK282" s="2"/>
      <c r="BM282" s="2"/>
      <c r="BN282" s="2"/>
      <c r="BO282" s="2"/>
      <c r="BS282" s="11"/>
      <c r="BT282" s="2"/>
      <c r="BU282" s="3"/>
      <c r="BV282" s="3"/>
      <c r="BW282" s="2"/>
      <c r="BX282" s="2"/>
      <c r="BY282" s="2"/>
      <c r="BZ282" s="2"/>
      <c r="CA282" s="2"/>
      <c r="CB282" s="2"/>
      <c r="CC282" s="2"/>
      <c r="CD282" s="1"/>
      <c r="CE282" s="1"/>
      <c r="CF282" s="1"/>
      <c r="CG282" s="1"/>
      <c r="CH282" s="1"/>
      <c r="CI282" s="2"/>
      <c r="CJ282" s="2"/>
      <c r="CK282" s="2"/>
      <c r="CL282" s="2"/>
      <c r="CM282" s="2"/>
      <c r="CN282" s="2"/>
      <c r="CO282" s="2"/>
      <c r="CP282" s="2"/>
      <c r="CQ282" s="2"/>
      <c r="CR282" s="2"/>
      <c r="CS282" s="2"/>
      <c r="CT282" s="2"/>
      <c r="CU282" s="2"/>
      <c r="CV282" s="2"/>
      <c r="CW282" s="2"/>
      <c r="CX282" s="2"/>
      <c r="CY282" s="2"/>
      <c r="CZ282" s="2"/>
    </row>
    <row r="283" spans="43:104" ht="15" hidden="1" customHeight="1" x14ac:dyDescent="0.2">
      <c r="AQ283" s="13"/>
      <c r="AR283" s="12">
        <v>1685000</v>
      </c>
      <c r="AS283" s="12">
        <v>2180000</v>
      </c>
      <c r="AT283" s="2"/>
      <c r="AU283" s="2"/>
      <c r="AV283" s="2"/>
      <c r="AW283" s="2"/>
      <c r="AX283" s="2"/>
      <c r="AY283" s="2"/>
      <c r="AZ283" s="2"/>
      <c r="BA283" s="2"/>
      <c r="BB283" s="2"/>
      <c r="BC283" s="2"/>
      <c r="BD283" s="2"/>
      <c r="BE283" s="2"/>
      <c r="BK283" s="2"/>
      <c r="BM283" s="2"/>
      <c r="BN283" s="2"/>
      <c r="BO283" s="2"/>
      <c r="BS283" s="11"/>
      <c r="BT283" s="2"/>
      <c r="BU283" s="3"/>
      <c r="BV283" s="3"/>
      <c r="BW283" s="2"/>
      <c r="BX283" s="2"/>
      <c r="BY283" s="2"/>
      <c r="BZ283" s="2"/>
      <c r="CA283" s="2"/>
      <c r="CB283" s="2"/>
      <c r="CC283" s="2"/>
      <c r="CD283" s="1"/>
      <c r="CE283" s="1"/>
      <c r="CF283" s="1"/>
      <c r="CG283" s="1"/>
      <c r="CH283" s="1"/>
      <c r="CI283" s="2"/>
      <c r="CJ283" s="2"/>
      <c r="CK283" s="2"/>
      <c r="CL283" s="2"/>
      <c r="CM283" s="2"/>
      <c r="CN283" s="2"/>
      <c r="CO283" s="2"/>
      <c r="CP283" s="2"/>
      <c r="CQ283" s="2"/>
      <c r="CR283" s="2"/>
      <c r="CS283" s="2"/>
      <c r="CT283" s="2"/>
      <c r="CU283" s="2"/>
      <c r="CV283" s="2"/>
      <c r="CW283" s="2"/>
      <c r="CX283" s="2"/>
      <c r="CY283" s="2"/>
      <c r="CZ283" s="2"/>
    </row>
    <row r="284" spans="43:104" ht="15" hidden="1" customHeight="1" x14ac:dyDescent="0.2">
      <c r="AQ284" s="85"/>
      <c r="AR284" s="12">
        <v>1690000</v>
      </c>
      <c r="AS284" s="12">
        <v>2190000</v>
      </c>
      <c r="AT284" s="2"/>
      <c r="AU284" s="2"/>
      <c r="AV284" s="2"/>
      <c r="AW284" s="2"/>
      <c r="AX284" s="2"/>
      <c r="AY284" s="2"/>
      <c r="AZ284" s="2"/>
      <c r="BA284" s="2"/>
      <c r="BB284" s="2"/>
      <c r="BC284" s="2"/>
      <c r="BD284" s="2"/>
      <c r="BE284" s="2"/>
      <c r="BK284" s="2"/>
      <c r="BM284" s="2"/>
      <c r="BN284" s="2"/>
      <c r="BO284" s="2"/>
      <c r="BS284" s="11"/>
      <c r="BT284" s="2"/>
      <c r="BU284" s="3"/>
      <c r="BV284" s="3"/>
      <c r="BW284" s="2"/>
      <c r="BX284" s="2"/>
      <c r="BY284" s="2"/>
      <c r="BZ284" s="2"/>
      <c r="CA284" s="46"/>
      <c r="CB284" s="1"/>
      <c r="CC284" s="1"/>
      <c r="CD284" s="1"/>
      <c r="CE284" s="1"/>
      <c r="CF284" s="1"/>
      <c r="CG284" s="1"/>
      <c r="CH284" s="1"/>
      <c r="CI284" s="2"/>
      <c r="CJ284" s="2"/>
      <c r="CK284" s="2"/>
      <c r="CL284" s="2"/>
      <c r="CM284" s="2"/>
      <c r="CN284" s="2"/>
      <c r="CO284" s="2"/>
      <c r="CP284" s="2"/>
      <c r="CQ284" s="2"/>
      <c r="CR284" s="2"/>
      <c r="CS284" s="2"/>
      <c r="CT284" s="2"/>
      <c r="CU284" s="2"/>
      <c r="CV284" s="2"/>
      <c r="CW284" s="2"/>
      <c r="CX284" s="2"/>
      <c r="CY284" s="2"/>
      <c r="CZ284" s="2"/>
    </row>
    <row r="285" spans="43:104" ht="15" hidden="1" customHeight="1" x14ac:dyDescent="0.2">
      <c r="AQ285" s="12"/>
      <c r="AR285" s="12">
        <v>1695000</v>
      </c>
      <c r="AS285" s="12">
        <v>2200000</v>
      </c>
      <c r="AT285" s="2"/>
      <c r="AU285" s="2"/>
      <c r="AV285" s="2"/>
      <c r="AW285" s="2"/>
      <c r="AX285" s="2"/>
      <c r="AY285" s="2"/>
      <c r="AZ285" s="2"/>
      <c r="BA285" s="2"/>
      <c r="BB285" s="2"/>
      <c r="BC285" s="2"/>
      <c r="BD285" s="2"/>
      <c r="BE285" s="2"/>
      <c r="BK285" s="2"/>
      <c r="BM285" s="2"/>
      <c r="BN285" s="2"/>
      <c r="BO285" s="2"/>
      <c r="BS285" s="11"/>
      <c r="BT285" s="2"/>
      <c r="BU285" s="3"/>
      <c r="BV285" s="3"/>
      <c r="BW285" s="2"/>
      <c r="BX285" s="2"/>
      <c r="BY285" s="2"/>
      <c r="BZ285" s="2"/>
      <c r="CA285" s="46"/>
      <c r="CB285" s="1"/>
      <c r="CC285" s="1"/>
      <c r="CD285" s="1"/>
      <c r="CE285" s="1"/>
      <c r="CF285" s="1"/>
      <c r="CG285" s="1"/>
      <c r="CH285" s="1"/>
      <c r="CI285" s="2"/>
      <c r="CJ285" s="2"/>
      <c r="CK285" s="2"/>
      <c r="CL285" s="2"/>
      <c r="CM285" s="2"/>
      <c r="CN285" s="2"/>
      <c r="CO285" s="2"/>
      <c r="CP285" s="2"/>
      <c r="CQ285" s="2"/>
      <c r="CR285" s="2"/>
      <c r="CS285" s="2"/>
      <c r="CT285" s="2"/>
      <c r="CU285" s="2"/>
      <c r="CV285" s="2"/>
      <c r="CW285" s="2"/>
      <c r="CX285" s="2"/>
      <c r="CY285" s="2"/>
      <c r="CZ285" s="2"/>
    </row>
    <row r="286" spans="43:104" ht="15" hidden="1" customHeight="1" x14ac:dyDescent="0.2">
      <c r="AQ286" s="12"/>
      <c r="AR286" s="12">
        <v>1700000</v>
      </c>
      <c r="AS286" s="12">
        <v>2210000</v>
      </c>
      <c r="AT286" s="2"/>
      <c r="AU286" s="2"/>
      <c r="AV286" s="2"/>
      <c r="AW286" s="2"/>
      <c r="AX286" s="2"/>
      <c r="AY286" s="2"/>
      <c r="AZ286" s="2"/>
      <c r="BA286" s="2"/>
      <c r="BB286" s="2"/>
      <c r="BC286" s="2"/>
      <c r="BD286" s="2"/>
      <c r="BE286" s="2"/>
      <c r="BK286" s="2"/>
      <c r="BM286" s="2"/>
      <c r="BN286" s="2"/>
      <c r="BO286" s="2"/>
      <c r="BS286" s="11"/>
      <c r="BT286" s="2"/>
      <c r="BU286" s="3"/>
      <c r="BV286" s="3"/>
      <c r="BW286" s="2"/>
      <c r="BX286" s="2"/>
      <c r="BY286" s="2"/>
      <c r="BZ286" s="2"/>
      <c r="CA286" s="46"/>
      <c r="CB286" s="1"/>
      <c r="CC286" s="1"/>
      <c r="CD286" s="1"/>
      <c r="CE286" s="1"/>
      <c r="CF286" s="1"/>
      <c r="CG286" s="1"/>
      <c r="CH286" s="1"/>
      <c r="CI286" s="2"/>
      <c r="CJ286" s="2"/>
      <c r="CK286" s="2"/>
      <c r="CL286" s="2"/>
      <c r="CM286" s="2"/>
      <c r="CN286" s="2"/>
      <c r="CO286" s="2"/>
      <c r="CP286" s="2"/>
      <c r="CQ286" s="2"/>
      <c r="CR286" s="2"/>
      <c r="CS286" s="2"/>
      <c r="CT286" s="2"/>
      <c r="CU286" s="2"/>
      <c r="CV286" s="2"/>
      <c r="CW286" s="2"/>
      <c r="CX286" s="2"/>
      <c r="CY286" s="2"/>
      <c r="CZ286" s="2"/>
    </row>
    <row r="287" spans="43:104" ht="15" hidden="1" customHeight="1" x14ac:dyDescent="0.2">
      <c r="AQ287" s="13"/>
      <c r="AR287" s="12">
        <v>1705000</v>
      </c>
      <c r="AS287" s="12">
        <v>2220000</v>
      </c>
      <c r="AT287" s="2"/>
      <c r="AU287" s="2"/>
      <c r="AV287" s="2"/>
      <c r="AW287" s="2"/>
      <c r="AX287" s="2"/>
      <c r="AY287" s="2"/>
      <c r="AZ287" s="2"/>
      <c r="BA287" s="2"/>
      <c r="BB287" s="2"/>
      <c r="BC287" s="2"/>
      <c r="BD287" s="2"/>
      <c r="BE287" s="2"/>
      <c r="BK287" s="2"/>
      <c r="BM287" s="2"/>
      <c r="BN287" s="2"/>
      <c r="BO287" s="2"/>
      <c r="BS287" s="11"/>
      <c r="BT287" s="2"/>
      <c r="BU287" s="3"/>
      <c r="BV287" s="3"/>
      <c r="BW287" s="2"/>
      <c r="BX287" s="2"/>
      <c r="BY287" s="2"/>
      <c r="BZ287" s="2"/>
      <c r="CA287" s="46"/>
      <c r="CB287" s="1"/>
      <c r="CC287" s="1"/>
      <c r="CD287" s="1"/>
      <c r="CE287" s="1"/>
      <c r="CF287" s="1"/>
      <c r="CG287" s="1"/>
      <c r="CH287" s="1"/>
      <c r="CI287" s="2"/>
      <c r="CJ287" s="2"/>
      <c r="CK287" s="2"/>
      <c r="CL287" s="2"/>
      <c r="CM287" s="2"/>
      <c r="CN287" s="2"/>
      <c r="CO287" s="2"/>
      <c r="CP287" s="2"/>
      <c r="CQ287" s="2"/>
      <c r="CR287" s="2"/>
      <c r="CS287" s="2"/>
      <c r="CT287" s="2"/>
      <c r="CU287" s="2"/>
      <c r="CV287" s="2"/>
      <c r="CW287" s="2"/>
      <c r="CX287" s="2"/>
      <c r="CY287" s="2"/>
      <c r="CZ287" s="2"/>
    </row>
    <row r="288" spans="43:104" ht="15" hidden="1" customHeight="1" x14ac:dyDescent="0.2">
      <c r="AQ288" s="13"/>
      <c r="AR288" s="12">
        <v>1710000</v>
      </c>
      <c r="AS288" s="12">
        <v>2230000</v>
      </c>
      <c r="AT288" s="2"/>
      <c r="AU288" s="2"/>
      <c r="AV288" s="2"/>
      <c r="AW288" s="2"/>
      <c r="AX288" s="2"/>
      <c r="AY288" s="2"/>
      <c r="AZ288" s="2"/>
      <c r="BA288" s="2"/>
      <c r="BB288" s="2"/>
      <c r="BC288" s="2"/>
      <c r="BD288" s="2"/>
      <c r="BE288" s="2"/>
      <c r="BK288" s="2"/>
      <c r="BM288" s="2"/>
      <c r="BN288" s="2"/>
      <c r="BO288" s="2"/>
      <c r="BS288" s="11"/>
      <c r="BT288" s="2"/>
      <c r="BU288" s="3"/>
      <c r="BV288" s="3"/>
      <c r="BW288" s="2"/>
      <c r="BX288" s="2"/>
      <c r="BY288" s="2"/>
      <c r="BZ288" s="2"/>
      <c r="CA288" s="46"/>
      <c r="CB288" s="1"/>
      <c r="CC288" s="1"/>
      <c r="CD288" s="1"/>
      <c r="CE288" s="1"/>
      <c r="CF288" s="1"/>
      <c r="CG288" s="1"/>
      <c r="CH288" s="1"/>
      <c r="CI288" s="2"/>
      <c r="CJ288" s="2"/>
      <c r="CK288" s="2"/>
      <c r="CL288" s="2"/>
      <c r="CM288" s="2"/>
      <c r="CN288" s="2"/>
      <c r="CO288" s="2"/>
      <c r="CP288" s="2"/>
      <c r="CQ288" s="2"/>
      <c r="CR288" s="2"/>
      <c r="CS288" s="2"/>
      <c r="CT288" s="2"/>
      <c r="CU288" s="2"/>
      <c r="CV288" s="2"/>
      <c r="CW288" s="2"/>
      <c r="CX288" s="2"/>
      <c r="CY288" s="2"/>
      <c r="CZ288" s="2"/>
    </row>
    <row r="289" spans="43:104" ht="15" hidden="1" customHeight="1" x14ac:dyDescent="0.2">
      <c r="AQ289" s="85"/>
      <c r="AR289" s="12">
        <v>1715000</v>
      </c>
      <c r="AS289" s="12">
        <v>2240000</v>
      </c>
      <c r="AT289" s="2"/>
      <c r="AU289" s="2"/>
      <c r="AV289" s="2"/>
      <c r="AW289" s="2"/>
      <c r="AX289" s="2"/>
      <c r="AY289" s="2"/>
      <c r="AZ289" s="2"/>
      <c r="BA289" s="2"/>
      <c r="BB289" s="2"/>
      <c r="BC289" s="2"/>
      <c r="BD289" s="2"/>
      <c r="BE289" s="2"/>
      <c r="BK289" s="2"/>
      <c r="BM289" s="2"/>
      <c r="BN289" s="2"/>
      <c r="BO289" s="2"/>
      <c r="BS289" s="11"/>
      <c r="BT289" s="2"/>
      <c r="BU289" s="3"/>
      <c r="BV289" s="3"/>
      <c r="BW289" s="2"/>
      <c r="BX289" s="2"/>
      <c r="BY289" s="2"/>
      <c r="BZ289" s="2"/>
      <c r="CA289" s="46"/>
      <c r="CB289" s="1"/>
      <c r="CC289" s="1"/>
      <c r="CD289" s="1"/>
      <c r="CE289" s="1"/>
      <c r="CF289" s="1"/>
      <c r="CG289" s="1"/>
      <c r="CH289" s="1"/>
      <c r="CI289" s="2"/>
      <c r="CJ289" s="2"/>
      <c r="CK289" s="2"/>
      <c r="CL289" s="2"/>
      <c r="CM289" s="2"/>
      <c r="CN289" s="2"/>
      <c r="CO289" s="2"/>
      <c r="CP289" s="2"/>
      <c r="CQ289" s="2"/>
      <c r="CR289" s="2"/>
      <c r="CS289" s="2"/>
      <c r="CT289" s="2"/>
      <c r="CU289" s="2"/>
      <c r="CV289" s="2"/>
      <c r="CW289" s="2"/>
      <c r="CX289" s="2"/>
      <c r="CY289" s="2"/>
      <c r="CZ289" s="2"/>
    </row>
    <row r="290" spans="43:104" ht="15" hidden="1" customHeight="1" x14ac:dyDescent="0.2">
      <c r="AQ290" s="12"/>
      <c r="AR290" s="12">
        <v>1720000</v>
      </c>
      <c r="AS290" s="12">
        <v>2250000</v>
      </c>
      <c r="AT290" s="2"/>
      <c r="AU290" s="2"/>
      <c r="AV290" s="2"/>
      <c r="AW290" s="2"/>
      <c r="AX290" s="2"/>
      <c r="AY290" s="2"/>
      <c r="AZ290" s="2"/>
      <c r="BA290" s="2"/>
      <c r="BB290" s="2"/>
      <c r="BC290" s="2"/>
      <c r="BD290" s="2"/>
      <c r="BE290" s="2"/>
      <c r="BK290" s="2"/>
      <c r="BM290" s="2"/>
      <c r="BN290" s="2"/>
      <c r="BO290" s="2"/>
      <c r="BS290" s="11"/>
      <c r="BT290" s="2"/>
      <c r="BU290" s="3"/>
      <c r="BV290" s="3"/>
      <c r="BW290" s="2"/>
      <c r="BX290" s="2"/>
      <c r="BY290" s="2"/>
      <c r="BZ290" s="2"/>
      <c r="CA290" s="46"/>
      <c r="CB290" s="1"/>
      <c r="CC290" s="1"/>
      <c r="CD290" s="1"/>
      <c r="CE290" s="1"/>
      <c r="CF290" s="1"/>
      <c r="CG290" s="1"/>
      <c r="CH290" s="1"/>
      <c r="CI290" s="2"/>
      <c r="CJ290" s="2"/>
      <c r="CK290" s="2"/>
      <c r="CL290" s="2"/>
      <c r="CM290" s="2"/>
      <c r="CN290" s="2"/>
      <c r="CO290" s="2"/>
      <c r="CP290" s="2"/>
      <c r="CQ290" s="2"/>
      <c r="CR290" s="2"/>
      <c r="CS290" s="2"/>
      <c r="CT290" s="2"/>
      <c r="CU290" s="2"/>
      <c r="CV290" s="2"/>
      <c r="CW290" s="2"/>
      <c r="CX290" s="2"/>
      <c r="CY290" s="2"/>
      <c r="CZ290" s="2"/>
    </row>
    <row r="291" spans="43:104" ht="15" hidden="1" customHeight="1" x14ac:dyDescent="0.2">
      <c r="AQ291" s="12"/>
      <c r="AR291" s="12">
        <v>1725000</v>
      </c>
      <c r="AS291" s="12">
        <v>2260000</v>
      </c>
      <c r="AT291" s="2"/>
      <c r="AU291" s="2"/>
      <c r="AV291" s="2"/>
      <c r="AW291" s="2"/>
      <c r="AX291" s="2"/>
      <c r="AY291" s="2"/>
      <c r="AZ291" s="2"/>
      <c r="BA291" s="2"/>
      <c r="BB291" s="2"/>
      <c r="BC291" s="2"/>
      <c r="BD291" s="2"/>
      <c r="BE291" s="2"/>
      <c r="BK291" s="2"/>
      <c r="BM291" s="2"/>
      <c r="BN291" s="2"/>
      <c r="BO291" s="2"/>
      <c r="BS291" s="11"/>
      <c r="BT291" s="2"/>
      <c r="BU291" s="3"/>
      <c r="BV291" s="3"/>
      <c r="BW291" s="2"/>
      <c r="BX291" s="2"/>
      <c r="BY291" s="2"/>
      <c r="BZ291" s="46"/>
      <c r="CA291" s="1"/>
      <c r="CB291" s="1"/>
      <c r="CC291" s="1"/>
      <c r="CD291" s="1"/>
      <c r="CE291" s="1"/>
      <c r="CF291" s="1"/>
      <c r="CG291" s="1"/>
      <c r="CH291" s="1"/>
      <c r="CI291" s="2"/>
      <c r="CJ291" s="2"/>
      <c r="CK291" s="2"/>
      <c r="CL291" s="2"/>
      <c r="CM291" s="2"/>
      <c r="CN291" s="2"/>
      <c r="CO291" s="2"/>
      <c r="CP291" s="2"/>
      <c r="CQ291" s="2"/>
      <c r="CR291" s="2"/>
      <c r="CS291" s="2"/>
      <c r="CT291" s="2"/>
      <c r="CU291" s="2"/>
      <c r="CV291" s="2"/>
      <c r="CW291" s="2"/>
      <c r="CX291" s="2"/>
      <c r="CY291" s="2"/>
      <c r="CZ291" s="2"/>
    </row>
    <row r="292" spans="43:104" ht="15" hidden="1" customHeight="1" x14ac:dyDescent="0.2">
      <c r="AQ292" s="13"/>
      <c r="AR292" s="12">
        <v>1730000</v>
      </c>
      <c r="AS292" s="12">
        <v>2270000</v>
      </c>
      <c r="AT292" s="2"/>
      <c r="AU292" s="2"/>
      <c r="AV292" s="2"/>
      <c r="AW292" s="2"/>
      <c r="AX292" s="2"/>
      <c r="AY292" s="2"/>
      <c r="AZ292" s="2"/>
      <c r="BA292" s="2"/>
      <c r="BB292" s="2"/>
      <c r="BC292" s="2"/>
      <c r="BD292" s="2"/>
      <c r="BE292" s="2"/>
      <c r="BK292" s="2"/>
      <c r="BM292" s="2"/>
      <c r="BN292" s="2"/>
      <c r="BO292" s="2"/>
      <c r="BS292" s="11"/>
      <c r="BT292" s="2"/>
      <c r="BU292" s="3"/>
      <c r="BV292" s="3"/>
      <c r="BW292" s="2"/>
      <c r="BX292" s="2"/>
      <c r="BY292" s="2"/>
      <c r="BZ292" s="2"/>
      <c r="CA292" s="46"/>
      <c r="CB292" s="1"/>
      <c r="CC292" s="1"/>
      <c r="CD292" s="1"/>
      <c r="CE292" s="1"/>
      <c r="CF292" s="1"/>
      <c r="CG292" s="1"/>
      <c r="CH292" s="1"/>
      <c r="CI292" s="2"/>
      <c r="CJ292" s="2"/>
      <c r="CK292" s="2"/>
      <c r="CL292" s="2"/>
      <c r="CM292" s="2"/>
      <c r="CN292" s="2"/>
      <c r="CO292" s="2"/>
      <c r="CP292" s="2"/>
      <c r="CQ292" s="2"/>
      <c r="CR292" s="2"/>
      <c r="CS292" s="2"/>
      <c r="CT292" s="2"/>
      <c r="CU292" s="2"/>
      <c r="CV292" s="2"/>
      <c r="CW292" s="2"/>
      <c r="CX292" s="2"/>
      <c r="CY292" s="2"/>
      <c r="CZ292" s="2"/>
    </row>
    <row r="293" spans="43:104" ht="15" hidden="1" customHeight="1" x14ac:dyDescent="0.2">
      <c r="AQ293" s="13"/>
      <c r="AR293" s="12">
        <v>1735000</v>
      </c>
      <c r="AS293" s="12">
        <v>2280000</v>
      </c>
      <c r="AT293" s="2"/>
      <c r="AU293" s="2"/>
      <c r="AV293" s="2"/>
      <c r="AW293" s="2"/>
      <c r="AX293" s="2"/>
      <c r="AY293" s="2"/>
      <c r="AZ293" s="2"/>
      <c r="BA293" s="2"/>
      <c r="BB293" s="2"/>
      <c r="BC293" s="2"/>
      <c r="BD293" s="2"/>
      <c r="BE293" s="2"/>
      <c r="BK293" s="2"/>
      <c r="BM293" s="2"/>
      <c r="BN293" s="2"/>
      <c r="BO293" s="2"/>
      <c r="BS293" s="11"/>
      <c r="BT293" s="2"/>
      <c r="BU293" s="3"/>
      <c r="BV293" s="3"/>
      <c r="BW293" s="2"/>
      <c r="BX293" s="2"/>
      <c r="BY293" s="2"/>
      <c r="BZ293" s="2"/>
      <c r="CA293" s="2"/>
      <c r="CB293" s="2"/>
      <c r="CC293" s="2"/>
      <c r="CD293" s="1"/>
      <c r="CE293" s="1"/>
      <c r="CF293" s="1"/>
      <c r="CG293" s="1"/>
      <c r="CH293" s="1"/>
      <c r="CI293" s="2"/>
      <c r="CJ293" s="2"/>
      <c r="CK293" s="2"/>
      <c r="CL293" s="2"/>
      <c r="CM293" s="2"/>
      <c r="CN293" s="2"/>
      <c r="CO293" s="2"/>
      <c r="CP293" s="2"/>
      <c r="CQ293" s="2"/>
      <c r="CR293" s="2"/>
      <c r="CS293" s="2"/>
      <c r="CT293" s="2"/>
      <c r="CU293" s="2"/>
      <c r="CV293" s="2"/>
      <c r="CW293" s="2"/>
      <c r="CX293" s="2"/>
      <c r="CY293" s="2"/>
      <c r="CZ293" s="2"/>
    </row>
    <row r="294" spans="43:104" ht="15" hidden="1" customHeight="1" x14ac:dyDescent="0.2">
      <c r="AQ294" s="85"/>
      <c r="AR294" s="12">
        <v>1740000</v>
      </c>
      <c r="AS294" s="12">
        <v>2290000</v>
      </c>
      <c r="AT294" s="2"/>
      <c r="AU294" s="2"/>
      <c r="AV294" s="2"/>
      <c r="AW294" s="2"/>
      <c r="AX294" s="2"/>
      <c r="AY294" s="2"/>
      <c r="AZ294" s="2"/>
      <c r="BA294" s="2"/>
      <c r="BB294" s="2"/>
      <c r="BC294" s="2"/>
      <c r="BD294" s="2"/>
      <c r="BE294" s="2"/>
      <c r="BK294" s="2"/>
      <c r="BM294" s="2"/>
      <c r="BN294" s="2"/>
      <c r="BO294" s="2"/>
      <c r="BS294" s="11"/>
      <c r="BT294" s="2"/>
      <c r="BU294" s="3"/>
      <c r="BV294" s="3"/>
      <c r="BW294" s="2"/>
      <c r="BX294" s="2"/>
      <c r="BY294" s="2"/>
      <c r="BZ294" s="2"/>
      <c r="CA294" s="2"/>
      <c r="CB294" s="2"/>
      <c r="CC294" s="2"/>
      <c r="CD294" s="1"/>
      <c r="CE294" s="1"/>
      <c r="CF294" s="1"/>
      <c r="CG294" s="1"/>
      <c r="CH294" s="1"/>
      <c r="CI294" s="2"/>
      <c r="CJ294" s="2"/>
      <c r="CK294" s="2"/>
      <c r="CL294" s="2"/>
      <c r="CM294" s="2"/>
      <c r="CN294" s="2"/>
      <c r="CO294" s="2"/>
      <c r="CP294" s="2"/>
      <c r="CQ294" s="2"/>
      <c r="CR294" s="2"/>
      <c r="CS294" s="2"/>
      <c r="CT294" s="2"/>
      <c r="CU294" s="2"/>
      <c r="CV294" s="2"/>
      <c r="CW294" s="2"/>
      <c r="CX294" s="2"/>
      <c r="CY294" s="2"/>
      <c r="CZ294" s="2"/>
    </row>
    <row r="295" spans="43:104" ht="15" hidden="1" customHeight="1" x14ac:dyDescent="0.2">
      <c r="AQ295" s="12"/>
      <c r="AR295" s="12">
        <v>1745000</v>
      </c>
      <c r="AS295" s="12">
        <v>2300000</v>
      </c>
      <c r="AT295" s="2"/>
      <c r="AU295" s="2"/>
      <c r="AV295" s="2"/>
      <c r="AW295" s="2"/>
      <c r="AX295" s="2"/>
      <c r="AY295" s="2"/>
      <c r="AZ295" s="2"/>
      <c r="BA295" s="2"/>
      <c r="BB295" s="2"/>
      <c r="BC295" s="2"/>
      <c r="BD295" s="2"/>
      <c r="BE295" s="2"/>
      <c r="BK295" s="2"/>
      <c r="BM295" s="2"/>
      <c r="BN295" s="2"/>
      <c r="BO295" s="2"/>
      <c r="BS295" s="11"/>
      <c r="BT295" s="2"/>
      <c r="BU295" s="3"/>
      <c r="BV295" s="3"/>
      <c r="BW295" s="2"/>
      <c r="BX295" s="2"/>
      <c r="BY295" s="2"/>
      <c r="BZ295" s="2"/>
      <c r="CA295" s="2"/>
      <c r="CB295" s="2"/>
      <c r="CC295" s="2"/>
      <c r="CD295" s="1"/>
      <c r="CE295" s="1"/>
      <c r="CF295" s="1"/>
      <c r="CG295" s="1"/>
      <c r="CH295" s="1"/>
      <c r="CI295" s="2"/>
      <c r="CJ295" s="2"/>
      <c r="CK295" s="2"/>
      <c r="CL295" s="2"/>
      <c r="CM295" s="2"/>
      <c r="CN295" s="2"/>
      <c r="CO295" s="2"/>
      <c r="CP295" s="2"/>
      <c r="CQ295" s="2"/>
      <c r="CR295" s="2"/>
      <c r="CS295" s="2"/>
      <c r="CT295" s="2"/>
      <c r="CU295" s="2"/>
      <c r="CV295" s="2"/>
      <c r="CW295" s="2"/>
      <c r="CX295" s="2"/>
      <c r="CY295" s="2"/>
      <c r="CZ295" s="2"/>
    </row>
    <row r="296" spans="43:104" ht="15" hidden="1" customHeight="1" x14ac:dyDescent="0.2">
      <c r="AQ296" s="12"/>
      <c r="AR296" s="12">
        <v>1750000</v>
      </c>
      <c r="AS296" s="12">
        <v>2310000</v>
      </c>
      <c r="AT296" s="2"/>
      <c r="AU296" s="2"/>
      <c r="AV296" s="2"/>
      <c r="AW296" s="2"/>
      <c r="AX296" s="2"/>
      <c r="AY296" s="2"/>
      <c r="AZ296" s="2"/>
      <c r="BA296" s="2"/>
      <c r="BB296" s="2"/>
      <c r="BC296" s="2"/>
      <c r="BD296" s="2"/>
      <c r="BE296" s="2"/>
      <c r="BK296" s="2"/>
      <c r="BM296" s="2"/>
      <c r="BN296" s="2"/>
      <c r="BO296" s="2"/>
      <c r="BS296" s="11"/>
      <c r="BT296" s="2"/>
      <c r="BU296" s="3"/>
      <c r="BV296" s="3"/>
      <c r="BW296" s="2"/>
      <c r="BX296" s="2"/>
      <c r="BY296" s="2"/>
      <c r="BZ296" s="2"/>
      <c r="CA296" s="2"/>
      <c r="CB296" s="2"/>
      <c r="CC296" s="2"/>
      <c r="CD296" s="1"/>
      <c r="CE296" s="1"/>
      <c r="CF296" s="1"/>
      <c r="CG296" s="1"/>
      <c r="CH296" s="1"/>
      <c r="CI296" s="2"/>
      <c r="CJ296" s="2"/>
      <c r="CK296" s="2"/>
      <c r="CL296" s="2"/>
      <c r="CM296" s="2"/>
      <c r="CN296" s="2"/>
      <c r="CO296" s="2"/>
      <c r="CP296" s="2"/>
      <c r="CQ296" s="2"/>
      <c r="CR296" s="2"/>
      <c r="CS296" s="2"/>
      <c r="CT296" s="2"/>
      <c r="CU296" s="2"/>
      <c r="CV296" s="2"/>
      <c r="CW296" s="2"/>
      <c r="CX296" s="2"/>
      <c r="CY296" s="2"/>
      <c r="CZ296" s="2"/>
    </row>
    <row r="297" spans="43:104" ht="15" hidden="1" customHeight="1" x14ac:dyDescent="0.2">
      <c r="AQ297" s="13"/>
      <c r="AR297" s="12">
        <v>1755000</v>
      </c>
      <c r="AS297" s="12">
        <v>2320000</v>
      </c>
      <c r="AT297" s="2"/>
      <c r="AU297" s="2"/>
      <c r="AV297" s="2"/>
      <c r="AW297" s="2"/>
      <c r="AX297" s="2"/>
      <c r="AY297" s="2"/>
      <c r="AZ297" s="2"/>
      <c r="BA297" s="2"/>
      <c r="BB297" s="2"/>
      <c r="BC297" s="2"/>
      <c r="BD297" s="2"/>
      <c r="BE297" s="2"/>
      <c r="BK297" s="2"/>
      <c r="BM297" s="2"/>
      <c r="BN297" s="2"/>
      <c r="BO297" s="2"/>
      <c r="BS297" s="11"/>
      <c r="BT297" s="2"/>
      <c r="BU297" s="3"/>
      <c r="BV297" s="3"/>
      <c r="BW297" s="2"/>
      <c r="BX297" s="2"/>
      <c r="BY297" s="2"/>
      <c r="BZ297" s="2"/>
      <c r="CA297" s="2"/>
      <c r="CB297" s="2"/>
      <c r="CC297" s="2"/>
      <c r="CD297" s="1"/>
      <c r="CE297" s="1"/>
      <c r="CF297" s="1"/>
      <c r="CG297" s="1"/>
      <c r="CH297" s="1"/>
      <c r="CI297" s="2"/>
      <c r="CJ297" s="2"/>
      <c r="CK297" s="2"/>
      <c r="CL297" s="2"/>
      <c r="CM297" s="2"/>
      <c r="CN297" s="2"/>
      <c r="CO297" s="2"/>
      <c r="CP297" s="2"/>
      <c r="CQ297" s="2"/>
      <c r="CR297" s="2"/>
      <c r="CS297" s="2"/>
      <c r="CT297" s="2"/>
      <c r="CU297" s="2"/>
      <c r="CV297" s="2"/>
      <c r="CW297" s="2"/>
      <c r="CX297" s="2"/>
      <c r="CY297" s="2"/>
      <c r="CZ297" s="2"/>
    </row>
    <row r="298" spans="43:104" ht="15" hidden="1" customHeight="1" x14ac:dyDescent="0.2">
      <c r="AQ298" s="13"/>
      <c r="AR298" s="12">
        <v>1760000</v>
      </c>
      <c r="AS298" s="12">
        <v>2330000</v>
      </c>
      <c r="AT298" s="2"/>
      <c r="AU298" s="2"/>
      <c r="AV298" s="2"/>
      <c r="AW298" s="2"/>
      <c r="AX298" s="2"/>
      <c r="AY298" s="2"/>
      <c r="AZ298" s="2"/>
      <c r="BA298" s="2"/>
      <c r="BB298" s="2"/>
      <c r="BC298" s="2"/>
      <c r="BD298" s="2"/>
      <c r="BE298" s="2"/>
      <c r="BK298" s="2"/>
      <c r="BM298" s="2"/>
      <c r="BN298" s="2"/>
      <c r="BO298" s="2"/>
      <c r="BS298" s="11"/>
      <c r="BT298" s="2"/>
      <c r="BU298" s="3"/>
      <c r="BV298" s="3"/>
      <c r="BW298" s="2"/>
      <c r="BX298" s="2"/>
      <c r="BY298" s="2"/>
      <c r="BZ298" s="2"/>
      <c r="CA298" s="2"/>
      <c r="CB298" s="2"/>
      <c r="CC298" s="2"/>
      <c r="CD298" s="1"/>
      <c r="CE298" s="1"/>
      <c r="CF298" s="1"/>
      <c r="CG298" s="1"/>
      <c r="CH298" s="1"/>
      <c r="CI298" s="2"/>
      <c r="CJ298" s="2"/>
      <c r="CK298" s="2"/>
      <c r="CL298" s="2"/>
      <c r="CM298" s="2"/>
      <c r="CN298" s="2"/>
      <c r="CO298" s="2"/>
      <c r="CP298" s="2"/>
      <c r="CQ298" s="2"/>
      <c r="CR298" s="2"/>
      <c r="CS298" s="2"/>
      <c r="CT298" s="2"/>
      <c r="CU298" s="2"/>
      <c r="CV298" s="2"/>
      <c r="CW298" s="2"/>
      <c r="CX298" s="2"/>
      <c r="CY298" s="2"/>
      <c r="CZ298" s="2"/>
    </row>
    <row r="299" spans="43:104" ht="15" hidden="1" customHeight="1" x14ac:dyDescent="0.2">
      <c r="AQ299" s="85"/>
      <c r="AR299" s="12">
        <v>1765000</v>
      </c>
      <c r="AS299" s="12">
        <v>2340000</v>
      </c>
      <c r="AT299" s="2"/>
      <c r="AU299" s="2"/>
      <c r="AV299" s="2"/>
      <c r="AW299" s="2"/>
      <c r="AX299" s="2"/>
      <c r="AY299" s="2"/>
      <c r="AZ299" s="2"/>
      <c r="BA299" s="2"/>
      <c r="BB299" s="2"/>
      <c r="BC299" s="2"/>
      <c r="BD299" s="2"/>
      <c r="BE299" s="2"/>
      <c r="BK299" s="2"/>
      <c r="BM299" s="2"/>
      <c r="BN299" s="2"/>
      <c r="BO299" s="2"/>
      <c r="BS299" s="11"/>
      <c r="BT299" s="2"/>
      <c r="BU299" s="3"/>
      <c r="BV299" s="3"/>
      <c r="BW299" s="2"/>
      <c r="BX299" s="2"/>
      <c r="BY299" s="2"/>
      <c r="BZ299" s="2"/>
      <c r="CA299" s="2"/>
      <c r="CB299" s="2"/>
      <c r="CC299" s="2"/>
      <c r="CD299" s="1"/>
      <c r="CE299" s="1"/>
      <c r="CF299" s="1"/>
      <c r="CG299" s="1"/>
      <c r="CH299" s="1"/>
      <c r="CI299" s="2"/>
      <c r="CJ299" s="2"/>
      <c r="CK299" s="2"/>
      <c r="CL299" s="2"/>
      <c r="CM299" s="2"/>
      <c r="CN299" s="2"/>
      <c r="CO299" s="2"/>
      <c r="CP299" s="2"/>
      <c r="CQ299" s="2"/>
      <c r="CR299" s="2"/>
      <c r="CS299" s="2"/>
      <c r="CT299" s="2"/>
      <c r="CU299" s="2"/>
      <c r="CV299" s="2"/>
      <c r="CW299" s="2"/>
      <c r="CX299" s="2"/>
      <c r="CY299" s="2"/>
      <c r="CZ299" s="2"/>
    </row>
    <row r="300" spans="43:104" ht="15" hidden="1" customHeight="1" x14ac:dyDescent="0.2">
      <c r="AQ300" s="12"/>
      <c r="AR300" s="12">
        <v>1770000</v>
      </c>
      <c r="AS300" s="12">
        <v>2350000</v>
      </c>
      <c r="AT300" s="2"/>
      <c r="AU300" s="2"/>
      <c r="AV300" s="2"/>
      <c r="AW300" s="2"/>
      <c r="AX300" s="2"/>
      <c r="AY300" s="2"/>
      <c r="AZ300" s="2"/>
      <c r="BA300" s="2"/>
      <c r="BB300" s="2"/>
      <c r="BC300" s="2"/>
      <c r="BD300" s="2"/>
      <c r="BE300" s="2"/>
      <c r="BK300" s="2"/>
      <c r="BM300" s="2"/>
      <c r="BN300" s="2"/>
      <c r="BO300" s="2"/>
      <c r="BS300" s="11"/>
      <c r="BT300" s="2"/>
      <c r="BU300" s="3"/>
      <c r="BV300" s="3"/>
      <c r="BW300" s="2"/>
      <c r="BX300" s="2"/>
      <c r="BY300" s="2"/>
      <c r="BZ300" s="2"/>
      <c r="CA300" s="2"/>
      <c r="CB300" s="2"/>
      <c r="CC300" s="2"/>
      <c r="CD300" s="1"/>
      <c r="CE300" s="1"/>
      <c r="CF300" s="1"/>
      <c r="CG300" s="1"/>
      <c r="CH300" s="1"/>
      <c r="CI300" s="2"/>
      <c r="CJ300" s="2"/>
      <c r="CK300" s="2"/>
      <c r="CL300" s="2"/>
      <c r="CM300" s="2"/>
      <c r="CN300" s="2"/>
      <c r="CO300" s="2"/>
      <c r="CP300" s="2"/>
      <c r="CQ300" s="2"/>
      <c r="CR300" s="2"/>
      <c r="CS300" s="2"/>
      <c r="CT300" s="2"/>
      <c r="CU300" s="2"/>
      <c r="CV300" s="2"/>
      <c r="CW300" s="2"/>
      <c r="CX300" s="2"/>
      <c r="CY300" s="2"/>
      <c r="CZ300" s="2"/>
    </row>
    <row r="301" spans="43:104" ht="15" hidden="1" customHeight="1" x14ac:dyDescent="0.2">
      <c r="AQ301" s="12"/>
      <c r="AR301" s="12">
        <v>1775000</v>
      </c>
      <c r="AS301" s="12">
        <v>2360000</v>
      </c>
      <c r="AT301" s="2"/>
      <c r="AU301" s="2"/>
      <c r="AV301" s="2"/>
      <c r="AW301" s="2"/>
      <c r="AX301" s="2"/>
      <c r="AY301" s="2"/>
      <c r="AZ301" s="2"/>
      <c r="BA301" s="2"/>
      <c r="BB301" s="2"/>
      <c r="BC301" s="2"/>
      <c r="BD301" s="2"/>
      <c r="BE301" s="2"/>
      <c r="BK301" s="2"/>
      <c r="BM301" s="2"/>
      <c r="BN301" s="2"/>
      <c r="BO301" s="2"/>
      <c r="BS301" s="11"/>
      <c r="BT301" s="2"/>
      <c r="BU301" s="3"/>
      <c r="BV301" s="3"/>
      <c r="BW301" s="2"/>
      <c r="BX301" s="2"/>
      <c r="BY301" s="2"/>
      <c r="BZ301" s="2"/>
      <c r="CA301" s="2"/>
      <c r="CB301" s="2"/>
      <c r="CC301" s="2"/>
      <c r="CD301" s="1"/>
      <c r="CE301" s="1"/>
      <c r="CF301" s="1"/>
      <c r="CG301" s="1"/>
      <c r="CH301" s="1"/>
      <c r="CI301" s="2"/>
      <c r="CJ301" s="2"/>
      <c r="CK301" s="2"/>
      <c r="CL301" s="2"/>
      <c r="CM301" s="2"/>
      <c r="CN301" s="2"/>
      <c r="CO301" s="2"/>
      <c r="CP301" s="2"/>
      <c r="CQ301" s="2"/>
      <c r="CR301" s="2"/>
      <c r="CS301" s="2"/>
      <c r="CT301" s="2"/>
      <c r="CU301" s="2"/>
      <c r="CV301" s="2"/>
      <c r="CW301" s="2"/>
      <c r="CX301" s="2"/>
      <c r="CY301" s="2"/>
      <c r="CZ301" s="2"/>
    </row>
    <row r="302" spans="43:104" ht="15" hidden="1" customHeight="1" x14ac:dyDescent="0.2">
      <c r="AQ302" s="13"/>
      <c r="AR302" s="12">
        <v>1780000</v>
      </c>
      <c r="AS302" s="12">
        <v>2370000</v>
      </c>
      <c r="AT302" s="2"/>
      <c r="AU302" s="2"/>
      <c r="AV302" s="2"/>
      <c r="AW302" s="2"/>
      <c r="AX302" s="2"/>
      <c r="AY302" s="2"/>
      <c r="AZ302" s="2"/>
      <c r="BA302" s="2"/>
      <c r="BB302" s="2"/>
      <c r="BC302" s="2"/>
      <c r="BD302" s="2"/>
      <c r="BE302" s="2"/>
      <c r="BK302" s="2"/>
      <c r="BM302" s="2"/>
      <c r="BN302" s="2"/>
      <c r="BO302" s="2"/>
      <c r="BS302" s="11"/>
      <c r="BT302" s="2"/>
      <c r="BU302" s="3"/>
      <c r="BV302" s="3"/>
      <c r="BW302" s="2"/>
      <c r="BX302" s="2"/>
      <c r="BY302" s="2"/>
      <c r="BZ302" s="46"/>
      <c r="CA302" s="1"/>
      <c r="CB302" s="1"/>
      <c r="CC302" s="1"/>
      <c r="CD302" s="1"/>
      <c r="CE302" s="1"/>
      <c r="CF302" s="1"/>
      <c r="CG302" s="1"/>
      <c r="CH302" s="1"/>
      <c r="CI302" s="2"/>
      <c r="CJ302" s="2"/>
      <c r="CK302" s="2"/>
      <c r="CL302" s="2"/>
      <c r="CM302" s="2"/>
      <c r="CN302" s="2"/>
      <c r="CO302" s="2"/>
      <c r="CP302" s="2"/>
      <c r="CQ302" s="2"/>
      <c r="CR302" s="2"/>
      <c r="CS302" s="2"/>
      <c r="CT302" s="2"/>
      <c r="CU302" s="2"/>
      <c r="CV302" s="2"/>
      <c r="CW302" s="2"/>
      <c r="CX302" s="2"/>
      <c r="CY302" s="2"/>
      <c r="CZ302" s="2"/>
    </row>
    <row r="303" spans="43:104" ht="15" hidden="1" customHeight="1" x14ac:dyDescent="0.2">
      <c r="AQ303" s="13"/>
      <c r="AR303" s="12">
        <v>1785000</v>
      </c>
      <c r="AS303" s="12">
        <v>2380000</v>
      </c>
      <c r="AT303" s="2"/>
      <c r="AU303" s="2"/>
      <c r="AV303" s="2"/>
      <c r="AW303" s="2"/>
      <c r="AX303" s="2"/>
      <c r="AY303" s="2"/>
      <c r="AZ303" s="2"/>
      <c r="BA303" s="2"/>
      <c r="BB303" s="2"/>
      <c r="BC303" s="2"/>
      <c r="BD303" s="2"/>
      <c r="BE303" s="2"/>
      <c r="BK303" s="2"/>
      <c r="BM303" s="2"/>
      <c r="BN303" s="2"/>
      <c r="BO303" s="2"/>
      <c r="BS303" s="11"/>
      <c r="BT303" s="2"/>
      <c r="BU303" s="3"/>
      <c r="BV303" s="3"/>
      <c r="BW303" s="2"/>
      <c r="BX303" s="2"/>
      <c r="BY303" s="2"/>
      <c r="BZ303" s="2"/>
      <c r="CA303" s="2"/>
      <c r="CB303" s="2"/>
      <c r="CC303" s="2"/>
      <c r="CD303" s="1"/>
      <c r="CE303" s="1"/>
      <c r="CF303" s="1"/>
      <c r="CG303" s="1"/>
      <c r="CH303" s="1"/>
      <c r="CI303" s="2"/>
      <c r="CJ303" s="2"/>
      <c r="CK303" s="2"/>
      <c r="CL303" s="2"/>
      <c r="CM303" s="2"/>
      <c r="CN303" s="2"/>
      <c r="CO303" s="2"/>
      <c r="CP303" s="2"/>
      <c r="CQ303" s="2"/>
      <c r="CR303" s="2"/>
      <c r="CS303" s="2"/>
      <c r="CT303" s="2"/>
      <c r="CU303" s="2"/>
      <c r="CV303" s="2"/>
      <c r="CW303" s="2"/>
      <c r="CX303" s="2"/>
      <c r="CY303" s="2"/>
      <c r="CZ303" s="2"/>
    </row>
    <row r="304" spans="43:104" ht="15" hidden="1" customHeight="1" x14ac:dyDescent="0.2">
      <c r="AQ304" s="85"/>
      <c r="AR304" s="12">
        <v>1790000</v>
      </c>
      <c r="AS304" s="12">
        <v>2390000</v>
      </c>
      <c r="AT304" s="2"/>
      <c r="AU304" s="2"/>
      <c r="AV304" s="2"/>
      <c r="AW304" s="2"/>
      <c r="AX304" s="2"/>
      <c r="AY304" s="2"/>
      <c r="AZ304" s="2"/>
      <c r="BA304" s="2"/>
      <c r="BB304" s="2"/>
      <c r="BC304" s="2"/>
      <c r="BD304" s="2"/>
      <c r="BE304" s="2"/>
      <c r="BK304" s="2"/>
      <c r="BM304" s="2"/>
      <c r="BN304" s="2"/>
      <c r="BO304" s="2"/>
      <c r="BS304" s="11"/>
      <c r="BT304" s="2"/>
      <c r="BU304" s="3"/>
      <c r="BV304" s="3"/>
      <c r="BW304" s="2"/>
      <c r="BX304" s="2"/>
      <c r="BY304" s="2"/>
      <c r="BZ304" s="2"/>
      <c r="CA304" s="2"/>
      <c r="CB304" s="2"/>
      <c r="CC304" s="2"/>
      <c r="CD304" s="1"/>
      <c r="CE304" s="1"/>
      <c r="CF304" s="1"/>
      <c r="CG304" s="1"/>
      <c r="CH304" s="1"/>
      <c r="CI304" s="2"/>
      <c r="CJ304" s="2"/>
      <c r="CK304" s="2"/>
      <c r="CL304" s="2"/>
      <c r="CM304" s="2"/>
      <c r="CN304" s="2"/>
      <c r="CO304" s="2"/>
      <c r="CP304" s="2"/>
      <c r="CQ304" s="2"/>
      <c r="CR304" s="2"/>
      <c r="CS304" s="2"/>
      <c r="CT304" s="2"/>
      <c r="CU304" s="2"/>
      <c r="CV304" s="2"/>
      <c r="CW304" s="2"/>
      <c r="CX304" s="2"/>
      <c r="CY304" s="2"/>
      <c r="CZ304" s="2"/>
    </row>
    <row r="305" spans="43:104" ht="15" hidden="1" customHeight="1" x14ac:dyDescent="0.2">
      <c r="AQ305" s="12"/>
      <c r="AR305" s="12">
        <v>1795000</v>
      </c>
      <c r="AS305" s="12">
        <v>2400000</v>
      </c>
      <c r="AT305" s="2"/>
      <c r="AU305" s="2"/>
      <c r="AV305" s="2"/>
      <c r="AW305" s="2"/>
      <c r="AX305" s="2"/>
      <c r="AY305" s="2"/>
      <c r="AZ305" s="2"/>
      <c r="BA305" s="2"/>
      <c r="BB305" s="2"/>
      <c r="BC305" s="2"/>
      <c r="BD305" s="2"/>
      <c r="BE305" s="2"/>
      <c r="BK305" s="2"/>
      <c r="BM305" s="2"/>
      <c r="BN305" s="2"/>
      <c r="BO305" s="2"/>
      <c r="BS305" s="11"/>
      <c r="BT305" s="2"/>
      <c r="BU305" s="3"/>
      <c r="BV305" s="3"/>
      <c r="BW305" s="2"/>
      <c r="BX305" s="2"/>
      <c r="BY305" s="2"/>
      <c r="BZ305" s="2"/>
      <c r="CA305" s="2"/>
      <c r="CB305" s="2"/>
      <c r="CC305" s="2"/>
      <c r="CD305" s="1"/>
      <c r="CE305" s="1"/>
      <c r="CF305" s="1"/>
      <c r="CG305" s="1"/>
      <c r="CH305" s="1"/>
      <c r="CI305" s="2"/>
      <c r="CJ305" s="2"/>
      <c r="CK305" s="2"/>
      <c r="CL305" s="2"/>
      <c r="CM305" s="2"/>
      <c r="CN305" s="2"/>
      <c r="CO305" s="2"/>
      <c r="CP305" s="2"/>
      <c r="CQ305" s="2"/>
      <c r="CR305" s="2"/>
      <c r="CS305" s="2"/>
      <c r="CT305" s="2"/>
      <c r="CU305" s="2"/>
      <c r="CV305" s="2"/>
      <c r="CW305" s="2"/>
      <c r="CX305" s="2"/>
      <c r="CY305" s="2"/>
      <c r="CZ305" s="2"/>
    </row>
    <row r="306" spans="43:104" ht="15" hidden="1" customHeight="1" x14ac:dyDescent="0.2">
      <c r="AQ306" s="12"/>
      <c r="AR306" s="12">
        <v>1800000</v>
      </c>
      <c r="AS306" s="12">
        <v>2410000</v>
      </c>
      <c r="AT306" s="2"/>
      <c r="AU306" s="2"/>
      <c r="AV306" s="2"/>
      <c r="AW306" s="2"/>
      <c r="AX306" s="2"/>
      <c r="AY306" s="2"/>
      <c r="AZ306" s="2"/>
      <c r="BA306" s="2"/>
      <c r="BB306" s="2"/>
      <c r="BC306" s="2"/>
      <c r="BD306" s="2"/>
      <c r="BE306" s="2"/>
      <c r="BK306" s="2"/>
      <c r="BM306" s="2"/>
      <c r="BN306" s="2"/>
      <c r="BO306" s="2"/>
      <c r="BS306" s="11"/>
      <c r="BT306" s="2"/>
      <c r="BU306" s="3"/>
      <c r="BV306" s="3"/>
      <c r="BW306" s="2"/>
      <c r="BX306" s="2"/>
      <c r="BY306" s="2"/>
      <c r="BZ306" s="2"/>
      <c r="CA306" s="2"/>
      <c r="CB306" s="2"/>
      <c r="CC306" s="2"/>
      <c r="CD306" s="1"/>
      <c r="CE306" s="1"/>
      <c r="CF306" s="1"/>
      <c r="CG306" s="1"/>
      <c r="CH306" s="1"/>
      <c r="CI306" s="2"/>
      <c r="CJ306" s="2"/>
      <c r="CK306" s="2"/>
      <c r="CL306" s="2"/>
      <c r="CM306" s="2"/>
      <c r="CN306" s="2"/>
      <c r="CO306" s="2"/>
      <c r="CP306" s="2"/>
      <c r="CQ306" s="2"/>
      <c r="CR306" s="2"/>
      <c r="CS306" s="2"/>
      <c r="CT306" s="2"/>
      <c r="CU306" s="2"/>
      <c r="CV306" s="2"/>
      <c r="CW306" s="2"/>
      <c r="CX306" s="2"/>
      <c r="CY306" s="2"/>
      <c r="CZ306" s="2"/>
    </row>
    <row r="307" spans="43:104" ht="15" hidden="1" customHeight="1" x14ac:dyDescent="0.2">
      <c r="AQ307" s="13"/>
      <c r="AR307" s="12">
        <v>1805000</v>
      </c>
      <c r="AS307" s="12">
        <v>2420000</v>
      </c>
      <c r="AT307" s="2"/>
      <c r="AU307" s="2"/>
      <c r="AV307" s="2"/>
      <c r="AW307" s="2"/>
      <c r="AX307" s="2"/>
      <c r="AY307" s="2"/>
      <c r="AZ307" s="2"/>
      <c r="BA307" s="2"/>
      <c r="BB307" s="2"/>
      <c r="BC307" s="2"/>
      <c r="BD307" s="2"/>
      <c r="BE307" s="2"/>
      <c r="BK307" s="2"/>
      <c r="BM307" s="2"/>
      <c r="BN307" s="2"/>
      <c r="BO307" s="2"/>
      <c r="BS307" s="11"/>
      <c r="BT307" s="2"/>
      <c r="BU307" s="3"/>
      <c r="BV307" s="3"/>
      <c r="BW307" s="2"/>
      <c r="BX307" s="2"/>
      <c r="BY307" s="2"/>
      <c r="BZ307" s="2"/>
      <c r="CA307" s="2"/>
      <c r="CB307" s="2"/>
      <c r="CC307" s="2"/>
      <c r="CD307" s="1"/>
      <c r="CE307" s="1"/>
      <c r="CF307" s="1"/>
      <c r="CG307" s="1"/>
      <c r="CH307" s="1"/>
      <c r="CI307" s="2"/>
      <c r="CJ307" s="2"/>
      <c r="CK307" s="2"/>
      <c r="CL307" s="2"/>
      <c r="CM307" s="2"/>
      <c r="CN307" s="2"/>
      <c r="CO307" s="2"/>
      <c r="CP307" s="2"/>
      <c r="CQ307" s="2"/>
      <c r="CR307" s="2"/>
      <c r="CS307" s="2"/>
      <c r="CT307" s="2"/>
      <c r="CU307" s="2"/>
      <c r="CV307" s="2"/>
      <c r="CW307" s="2"/>
      <c r="CX307" s="2"/>
      <c r="CY307" s="2"/>
      <c r="CZ307" s="2"/>
    </row>
    <row r="308" spans="43:104" ht="15" hidden="1" customHeight="1" x14ac:dyDescent="0.2">
      <c r="AQ308" s="13"/>
      <c r="AR308" s="12">
        <v>1810000</v>
      </c>
      <c r="AS308" s="12">
        <v>2430000</v>
      </c>
      <c r="AT308" s="2"/>
      <c r="AU308" s="2"/>
      <c r="AV308" s="2"/>
      <c r="AW308" s="2"/>
      <c r="AX308" s="2"/>
      <c r="AY308" s="2"/>
      <c r="AZ308" s="2"/>
      <c r="BA308" s="2"/>
      <c r="BB308" s="2"/>
      <c r="BC308" s="2"/>
      <c r="BD308" s="2"/>
      <c r="BE308" s="2"/>
      <c r="BK308" s="2"/>
      <c r="BM308" s="2"/>
      <c r="BN308" s="2"/>
      <c r="BO308" s="2"/>
      <c r="BS308" s="11"/>
      <c r="BT308" s="2"/>
      <c r="BU308" s="3"/>
      <c r="BV308" s="3"/>
      <c r="BW308" s="2"/>
      <c r="BX308" s="2"/>
      <c r="BY308" s="2"/>
      <c r="BZ308" s="2"/>
      <c r="CA308" s="2"/>
      <c r="CB308" s="2"/>
      <c r="CC308" s="2"/>
      <c r="CD308" s="1"/>
      <c r="CE308" s="1"/>
      <c r="CF308" s="1"/>
      <c r="CG308" s="1"/>
      <c r="CH308" s="1"/>
      <c r="CI308" s="2"/>
      <c r="CJ308" s="2"/>
      <c r="CK308" s="2"/>
      <c r="CL308" s="2"/>
      <c r="CM308" s="2"/>
      <c r="CN308" s="2"/>
      <c r="CO308" s="2"/>
      <c r="CP308" s="2"/>
      <c r="CQ308" s="2"/>
      <c r="CR308" s="2"/>
      <c r="CS308" s="2"/>
      <c r="CT308" s="2"/>
      <c r="CU308" s="2"/>
      <c r="CV308" s="2"/>
      <c r="CW308" s="2"/>
      <c r="CX308" s="2"/>
      <c r="CY308" s="2"/>
      <c r="CZ308" s="2"/>
    </row>
    <row r="309" spans="43:104" ht="15" hidden="1" customHeight="1" x14ac:dyDescent="0.2">
      <c r="AQ309" s="85"/>
      <c r="AR309" s="12">
        <v>1815000</v>
      </c>
      <c r="AS309" s="12">
        <v>2440000</v>
      </c>
      <c r="AT309" s="2"/>
      <c r="AU309" s="2"/>
      <c r="AV309" s="2"/>
      <c r="AW309" s="2"/>
      <c r="AX309" s="2"/>
      <c r="AY309" s="2"/>
      <c r="AZ309" s="2"/>
      <c r="BA309" s="2"/>
      <c r="BB309" s="2"/>
      <c r="BC309" s="2"/>
      <c r="BD309" s="2"/>
      <c r="BE309" s="2"/>
      <c r="BK309" s="2"/>
      <c r="BM309" s="2"/>
      <c r="BN309" s="2"/>
      <c r="BO309" s="2"/>
      <c r="BS309" s="11"/>
      <c r="BT309" s="2"/>
      <c r="BU309" s="3"/>
      <c r="BV309" s="3"/>
      <c r="BW309" s="2"/>
      <c r="BX309" s="2"/>
      <c r="BY309" s="2"/>
      <c r="BZ309" s="2"/>
      <c r="CA309" s="2"/>
      <c r="CB309" s="2"/>
      <c r="CC309" s="2"/>
      <c r="CD309" s="1"/>
      <c r="CE309" s="1"/>
      <c r="CF309" s="1"/>
      <c r="CG309" s="1"/>
      <c r="CH309" s="1"/>
      <c r="CI309" s="2"/>
      <c r="CJ309" s="2"/>
      <c r="CK309" s="2"/>
      <c r="CL309" s="2"/>
      <c r="CM309" s="2"/>
      <c r="CN309" s="2"/>
      <c r="CO309" s="2"/>
      <c r="CP309" s="2"/>
      <c r="CQ309" s="2"/>
      <c r="CR309" s="2"/>
      <c r="CS309" s="2"/>
      <c r="CT309" s="2"/>
      <c r="CU309" s="2"/>
      <c r="CV309" s="2"/>
      <c r="CW309" s="2"/>
      <c r="CX309" s="2"/>
      <c r="CY309" s="2"/>
      <c r="CZ309" s="2"/>
    </row>
    <row r="310" spans="43:104" ht="15" hidden="1" customHeight="1" x14ac:dyDescent="0.2">
      <c r="AQ310" s="12"/>
      <c r="AR310" s="12">
        <v>1820000</v>
      </c>
      <c r="AS310" s="12">
        <v>2450000</v>
      </c>
      <c r="AT310" s="2"/>
      <c r="AU310" s="2"/>
      <c r="AV310" s="2"/>
      <c r="AW310" s="2"/>
      <c r="AX310" s="2"/>
      <c r="AY310" s="2"/>
      <c r="AZ310" s="2"/>
      <c r="BA310" s="2"/>
      <c r="BB310" s="2"/>
      <c r="BC310" s="2"/>
      <c r="BD310" s="2"/>
      <c r="BE310" s="2"/>
      <c r="BK310" s="2"/>
      <c r="BM310" s="2"/>
      <c r="BN310" s="2"/>
      <c r="BO310" s="2"/>
      <c r="BS310" s="11"/>
      <c r="BT310" s="2"/>
      <c r="BU310" s="3"/>
      <c r="BV310" s="3"/>
      <c r="BW310" s="2"/>
      <c r="BX310" s="2"/>
      <c r="BY310" s="2"/>
      <c r="BZ310" s="2"/>
      <c r="CA310" s="2"/>
      <c r="CB310" s="2"/>
      <c r="CC310" s="2"/>
      <c r="CD310" s="1"/>
      <c r="CE310" s="1"/>
      <c r="CF310" s="1"/>
      <c r="CG310" s="1"/>
      <c r="CH310" s="1"/>
      <c r="CI310" s="2"/>
      <c r="CJ310" s="2"/>
      <c r="CK310" s="2"/>
      <c r="CL310" s="2"/>
      <c r="CM310" s="2"/>
      <c r="CN310" s="2"/>
      <c r="CO310" s="2"/>
      <c r="CP310" s="2"/>
      <c r="CQ310" s="2"/>
      <c r="CR310" s="2"/>
      <c r="CS310" s="2"/>
      <c r="CT310" s="2"/>
      <c r="CU310" s="2"/>
      <c r="CV310" s="2"/>
      <c r="CW310" s="2"/>
      <c r="CX310" s="2"/>
      <c r="CY310" s="2"/>
      <c r="CZ310" s="2"/>
    </row>
    <row r="311" spans="43:104" ht="15" hidden="1" customHeight="1" x14ac:dyDescent="0.2">
      <c r="AQ311" s="12"/>
      <c r="AR311" s="12">
        <v>1825000</v>
      </c>
      <c r="AS311" s="12">
        <v>2460000</v>
      </c>
      <c r="AT311" s="2"/>
      <c r="AU311" s="2"/>
      <c r="AV311" s="2"/>
      <c r="AW311" s="2"/>
      <c r="AX311" s="2"/>
      <c r="AY311" s="2"/>
      <c r="AZ311" s="2"/>
      <c r="BA311" s="2"/>
      <c r="BB311" s="2"/>
      <c r="BC311" s="2"/>
      <c r="BD311" s="2"/>
      <c r="BE311" s="2"/>
      <c r="BK311" s="2"/>
      <c r="BM311" s="2"/>
      <c r="BN311" s="2"/>
      <c r="BO311" s="2"/>
      <c r="BS311" s="11"/>
      <c r="BT311" s="2"/>
      <c r="BU311" s="3"/>
      <c r="BV311" s="3"/>
      <c r="BW311" s="2"/>
      <c r="BX311" s="2"/>
      <c r="BY311" s="2"/>
      <c r="BZ311" s="2"/>
      <c r="CA311" s="2"/>
      <c r="CB311" s="2"/>
      <c r="CC311" s="2"/>
      <c r="CD311" s="1"/>
      <c r="CE311" s="1"/>
      <c r="CF311" s="1"/>
      <c r="CG311" s="1"/>
      <c r="CH311" s="1"/>
      <c r="CI311" s="2"/>
      <c r="CJ311" s="2"/>
      <c r="CK311" s="2"/>
      <c r="CL311" s="2"/>
      <c r="CM311" s="2"/>
      <c r="CN311" s="2"/>
      <c r="CO311" s="2"/>
      <c r="CP311" s="2"/>
      <c r="CQ311" s="2"/>
      <c r="CR311" s="2"/>
      <c r="CS311" s="2"/>
      <c r="CT311" s="2"/>
      <c r="CU311" s="2"/>
      <c r="CV311" s="2"/>
      <c r="CW311" s="2"/>
      <c r="CX311" s="2"/>
      <c r="CY311" s="2"/>
      <c r="CZ311" s="2"/>
    </row>
    <row r="312" spans="43:104" ht="15" hidden="1" customHeight="1" x14ac:dyDescent="0.2">
      <c r="AQ312" s="13"/>
      <c r="AR312" s="12">
        <v>1830000</v>
      </c>
      <c r="AS312" s="12">
        <v>2470000</v>
      </c>
      <c r="AT312" s="2"/>
      <c r="AU312" s="2"/>
      <c r="AV312" s="2"/>
      <c r="AW312" s="2"/>
      <c r="AX312" s="2"/>
      <c r="AY312" s="2"/>
      <c r="AZ312" s="2"/>
      <c r="BA312" s="2"/>
      <c r="BB312" s="2"/>
      <c r="BC312" s="2"/>
      <c r="BD312" s="2"/>
      <c r="BE312" s="2"/>
      <c r="BK312" s="2"/>
      <c r="BM312" s="2"/>
      <c r="BN312" s="2"/>
      <c r="BO312" s="2"/>
      <c r="BS312" s="11"/>
      <c r="BT312" s="2"/>
      <c r="BU312" s="3"/>
      <c r="BV312" s="3"/>
      <c r="BW312" s="2"/>
      <c r="BX312" s="2"/>
      <c r="BY312" s="2"/>
      <c r="BZ312" s="2"/>
      <c r="CA312" s="2"/>
      <c r="CB312" s="2"/>
      <c r="CC312" s="2"/>
      <c r="CD312" s="1"/>
      <c r="CE312" s="1"/>
      <c r="CF312" s="1"/>
      <c r="CG312" s="1"/>
      <c r="CH312" s="1"/>
      <c r="CI312" s="2"/>
      <c r="CJ312" s="2"/>
      <c r="CK312" s="2"/>
      <c r="CL312" s="2"/>
      <c r="CM312" s="2"/>
      <c r="CN312" s="2"/>
      <c r="CO312" s="2"/>
      <c r="CP312" s="2"/>
      <c r="CQ312" s="2"/>
      <c r="CR312" s="2"/>
      <c r="CS312" s="2"/>
      <c r="CT312" s="2"/>
      <c r="CU312" s="2"/>
      <c r="CV312" s="2"/>
      <c r="CW312" s="2"/>
      <c r="CX312" s="2"/>
      <c r="CY312" s="2"/>
      <c r="CZ312" s="2"/>
    </row>
    <row r="313" spans="43:104" ht="15" hidden="1" customHeight="1" x14ac:dyDescent="0.2">
      <c r="AQ313" s="13"/>
      <c r="AR313" s="12">
        <v>1835000</v>
      </c>
      <c r="AS313" s="12">
        <v>2480000</v>
      </c>
      <c r="AT313" s="2"/>
      <c r="AU313" s="2"/>
      <c r="AV313" s="2"/>
      <c r="AW313" s="2"/>
      <c r="AX313" s="2"/>
      <c r="AY313" s="2"/>
      <c r="AZ313" s="2"/>
      <c r="BA313" s="2"/>
      <c r="BB313" s="2"/>
      <c r="BC313" s="2"/>
      <c r="BD313" s="2"/>
      <c r="BE313" s="2"/>
      <c r="BK313" s="2"/>
      <c r="BM313" s="2"/>
      <c r="BN313" s="2"/>
      <c r="BO313" s="2"/>
      <c r="BS313" s="11"/>
      <c r="BT313" s="2"/>
      <c r="BU313" s="3"/>
      <c r="BV313" s="3"/>
      <c r="BW313" s="2"/>
      <c r="BX313" s="2"/>
      <c r="BY313" s="2"/>
      <c r="BZ313" s="2"/>
      <c r="CA313" s="2"/>
      <c r="CB313" s="2"/>
      <c r="CC313" s="2"/>
      <c r="CD313" s="1"/>
      <c r="CE313" s="1"/>
      <c r="CF313" s="1"/>
      <c r="CG313" s="1"/>
      <c r="CH313" s="1"/>
      <c r="CI313" s="2"/>
      <c r="CJ313" s="2"/>
      <c r="CK313" s="2"/>
      <c r="CL313" s="2"/>
      <c r="CM313" s="2"/>
      <c r="CN313" s="2"/>
      <c r="CO313" s="2"/>
      <c r="CP313" s="2"/>
      <c r="CQ313" s="2"/>
      <c r="CR313" s="2"/>
      <c r="CS313" s="2"/>
      <c r="CT313" s="2"/>
      <c r="CU313" s="2"/>
      <c r="CV313" s="2"/>
      <c r="CW313" s="2"/>
      <c r="CX313" s="2"/>
      <c r="CY313" s="2"/>
      <c r="CZ313" s="2"/>
    </row>
    <row r="314" spans="43:104" ht="15" hidden="1" customHeight="1" x14ac:dyDescent="0.2">
      <c r="AQ314" s="85"/>
      <c r="AR314" s="12">
        <v>1840000</v>
      </c>
      <c r="AS314" s="12">
        <v>2490000</v>
      </c>
      <c r="AT314" s="2"/>
      <c r="AU314" s="2"/>
      <c r="AV314" s="2"/>
      <c r="AW314" s="2"/>
      <c r="AX314" s="2"/>
      <c r="AY314" s="2"/>
      <c r="AZ314" s="2"/>
      <c r="BA314" s="2"/>
      <c r="BB314" s="2"/>
      <c r="BC314" s="2"/>
      <c r="BD314" s="2"/>
      <c r="BE314" s="2"/>
      <c r="BK314" s="2"/>
      <c r="BM314" s="2"/>
      <c r="BN314" s="2"/>
      <c r="BO314" s="2"/>
      <c r="BS314" s="11"/>
      <c r="BT314" s="2"/>
      <c r="BU314" s="3"/>
      <c r="BV314" s="3"/>
      <c r="BW314" s="2"/>
      <c r="BX314" s="2"/>
      <c r="BY314" s="2"/>
      <c r="BZ314" s="46"/>
      <c r="CA314" s="1"/>
      <c r="CB314" s="1"/>
      <c r="CC314" s="1"/>
      <c r="CD314" s="1"/>
      <c r="CE314" s="1"/>
      <c r="CF314" s="1"/>
      <c r="CG314" s="1"/>
      <c r="CH314" s="1"/>
      <c r="CI314" s="2"/>
      <c r="CJ314" s="2"/>
      <c r="CK314" s="2"/>
      <c r="CL314" s="2"/>
      <c r="CM314" s="2"/>
      <c r="CN314" s="2"/>
      <c r="CO314" s="2"/>
      <c r="CP314" s="2"/>
      <c r="CQ314" s="2"/>
      <c r="CR314" s="2"/>
      <c r="CS314" s="2"/>
      <c r="CT314" s="2"/>
      <c r="CU314" s="2"/>
      <c r="CV314" s="2"/>
      <c r="CW314" s="2"/>
      <c r="CX314" s="2"/>
      <c r="CY314" s="2"/>
      <c r="CZ314" s="2"/>
    </row>
    <row r="315" spans="43:104" ht="15" hidden="1" customHeight="1" x14ac:dyDescent="0.2">
      <c r="AQ315" s="12"/>
      <c r="AR315" s="12">
        <v>1845000</v>
      </c>
      <c r="AS315" s="12">
        <v>2500000</v>
      </c>
      <c r="AT315" s="2"/>
      <c r="AU315" s="2"/>
      <c r="AV315" s="2"/>
      <c r="AW315" s="2"/>
      <c r="AX315" s="2"/>
      <c r="AY315" s="2"/>
      <c r="AZ315" s="2"/>
      <c r="BA315" s="2"/>
      <c r="BB315" s="2"/>
      <c r="BC315" s="2"/>
      <c r="BD315" s="2"/>
      <c r="BE315" s="2"/>
      <c r="BK315" s="2"/>
      <c r="BM315" s="2"/>
      <c r="BN315" s="2"/>
      <c r="BO315" s="2"/>
      <c r="BS315" s="11"/>
      <c r="BT315" s="2"/>
      <c r="BU315" s="3"/>
      <c r="BV315" s="3"/>
      <c r="BW315" s="2"/>
      <c r="BX315" s="2"/>
      <c r="BY315" s="2"/>
      <c r="BZ315" s="2"/>
      <c r="CA315" s="2"/>
      <c r="CB315" s="2"/>
      <c r="CC315" s="2"/>
      <c r="CD315" s="1"/>
      <c r="CE315" s="1"/>
      <c r="CF315" s="1"/>
      <c r="CG315" s="1"/>
      <c r="CH315" s="1"/>
      <c r="CI315" s="2"/>
      <c r="CJ315" s="2"/>
      <c r="CK315" s="2"/>
      <c r="CL315" s="2"/>
      <c r="CM315" s="2"/>
      <c r="CN315" s="2"/>
      <c r="CO315" s="2"/>
      <c r="CP315" s="2"/>
      <c r="CQ315" s="2"/>
      <c r="CR315" s="2"/>
      <c r="CS315" s="2"/>
      <c r="CT315" s="2"/>
      <c r="CU315" s="2"/>
      <c r="CV315" s="2"/>
      <c r="CW315" s="2"/>
      <c r="CX315" s="2"/>
      <c r="CY315" s="2"/>
      <c r="CZ315" s="2"/>
    </row>
    <row r="316" spans="43:104" ht="15" hidden="1" customHeight="1" x14ac:dyDescent="0.2">
      <c r="AQ316" s="12"/>
      <c r="AR316" s="12">
        <v>1850000</v>
      </c>
      <c r="AS316" s="12">
        <v>2510000</v>
      </c>
      <c r="AT316" s="2"/>
      <c r="AU316" s="2"/>
      <c r="AV316" s="2"/>
      <c r="AW316" s="2"/>
      <c r="AX316" s="2"/>
      <c r="AY316" s="2"/>
      <c r="AZ316" s="2"/>
      <c r="BA316" s="2"/>
      <c r="BB316" s="2"/>
      <c r="BC316" s="2"/>
      <c r="BD316" s="2"/>
      <c r="BE316" s="2"/>
      <c r="BK316" s="2"/>
      <c r="BM316" s="2"/>
      <c r="BN316" s="2"/>
      <c r="BO316" s="2"/>
      <c r="BS316" s="11"/>
      <c r="BT316" s="2"/>
      <c r="BU316" s="3"/>
      <c r="BV316" s="3"/>
      <c r="BW316" s="2"/>
      <c r="BX316" s="2"/>
      <c r="BY316" s="2"/>
      <c r="BZ316" s="2"/>
      <c r="CA316" s="2"/>
      <c r="CB316" s="2"/>
      <c r="CC316" s="2"/>
      <c r="CD316" s="1"/>
      <c r="CE316" s="1"/>
      <c r="CF316" s="1"/>
      <c r="CG316" s="1"/>
      <c r="CH316" s="1"/>
      <c r="CI316" s="2"/>
      <c r="CJ316" s="2"/>
      <c r="CK316" s="2"/>
      <c r="CL316" s="2"/>
      <c r="CM316" s="2"/>
      <c r="CN316" s="2"/>
      <c r="CO316" s="2"/>
      <c r="CP316" s="2"/>
      <c r="CQ316" s="2"/>
      <c r="CR316" s="2"/>
      <c r="CS316" s="2"/>
      <c r="CT316" s="2"/>
      <c r="CU316" s="2"/>
      <c r="CV316" s="2"/>
      <c r="CW316" s="2"/>
      <c r="CX316" s="2"/>
      <c r="CY316" s="2"/>
      <c r="CZ316" s="2"/>
    </row>
    <row r="317" spans="43:104" ht="15" hidden="1" customHeight="1" x14ac:dyDescent="0.2">
      <c r="AQ317" s="13"/>
      <c r="AR317" s="12">
        <v>1855000</v>
      </c>
      <c r="AS317" s="12">
        <v>2520000</v>
      </c>
      <c r="AT317" s="2"/>
      <c r="AU317" s="2"/>
      <c r="AV317" s="2"/>
      <c r="AW317" s="2"/>
      <c r="AX317" s="2"/>
      <c r="AY317" s="2"/>
      <c r="AZ317" s="2"/>
      <c r="BA317" s="2"/>
      <c r="BB317" s="2"/>
      <c r="BC317" s="2"/>
      <c r="BD317" s="2"/>
      <c r="BE317" s="2"/>
      <c r="BK317" s="2"/>
      <c r="BM317" s="2"/>
      <c r="BN317" s="2"/>
      <c r="BO317" s="2"/>
      <c r="BS317" s="11"/>
      <c r="BT317" s="2"/>
      <c r="BU317" s="3"/>
      <c r="BV317" s="3"/>
      <c r="BW317" s="2"/>
      <c r="BX317" s="2"/>
      <c r="BY317" s="2"/>
      <c r="BZ317" s="2"/>
      <c r="CA317" s="2"/>
      <c r="CB317" s="2"/>
      <c r="CC317" s="2"/>
      <c r="CD317" s="1"/>
      <c r="CE317" s="1"/>
      <c r="CF317" s="1"/>
      <c r="CG317" s="1"/>
      <c r="CH317" s="1"/>
      <c r="CI317" s="2"/>
      <c r="CJ317" s="2"/>
      <c r="CK317" s="2"/>
      <c r="CL317" s="2"/>
      <c r="CM317" s="2"/>
      <c r="CN317" s="2"/>
      <c r="CO317" s="2"/>
      <c r="CP317" s="2"/>
      <c r="CQ317" s="2"/>
      <c r="CR317" s="2"/>
      <c r="CS317" s="2"/>
      <c r="CT317" s="2"/>
      <c r="CU317" s="2"/>
      <c r="CV317" s="2"/>
      <c r="CW317" s="2"/>
      <c r="CX317" s="2"/>
      <c r="CY317" s="2"/>
      <c r="CZ317" s="2"/>
    </row>
    <row r="318" spans="43:104" ht="15" hidden="1" customHeight="1" x14ac:dyDescent="0.2">
      <c r="AQ318" s="13"/>
      <c r="AR318" s="12">
        <v>1860000</v>
      </c>
      <c r="AS318" s="12">
        <v>2530000</v>
      </c>
      <c r="AT318" s="2"/>
      <c r="AU318" s="2"/>
      <c r="AV318" s="2"/>
      <c r="AW318" s="2"/>
      <c r="AX318" s="2"/>
      <c r="AY318" s="2"/>
      <c r="AZ318" s="2"/>
      <c r="BA318" s="2"/>
      <c r="BB318" s="2"/>
      <c r="BC318" s="2"/>
      <c r="BD318" s="2"/>
      <c r="BE318" s="2"/>
      <c r="BK318" s="2"/>
      <c r="BM318" s="2"/>
      <c r="BN318" s="2"/>
      <c r="BO318" s="2"/>
      <c r="BS318" s="11"/>
      <c r="BT318" s="2"/>
      <c r="BU318" s="3"/>
      <c r="BV318" s="3"/>
      <c r="BW318" s="2"/>
      <c r="BX318" s="2"/>
      <c r="BY318" s="2"/>
      <c r="BZ318" s="2"/>
      <c r="CA318" s="2"/>
      <c r="CB318" s="2"/>
      <c r="CC318" s="2"/>
      <c r="CD318" s="1"/>
      <c r="CE318" s="1"/>
      <c r="CF318" s="1"/>
      <c r="CG318" s="1"/>
      <c r="CH318" s="1"/>
      <c r="CI318" s="2"/>
      <c r="CJ318" s="2"/>
      <c r="CK318" s="2"/>
      <c r="CL318" s="2"/>
      <c r="CM318" s="2"/>
      <c r="CN318" s="2"/>
      <c r="CO318" s="2"/>
      <c r="CP318" s="2"/>
      <c r="CQ318" s="2"/>
      <c r="CR318" s="2"/>
      <c r="CS318" s="2"/>
      <c r="CT318" s="2"/>
      <c r="CU318" s="2"/>
      <c r="CV318" s="2"/>
      <c r="CW318" s="2"/>
      <c r="CX318" s="2"/>
      <c r="CY318" s="2"/>
      <c r="CZ318" s="2"/>
    </row>
    <row r="319" spans="43:104" ht="15" hidden="1" customHeight="1" x14ac:dyDescent="0.2">
      <c r="AQ319" s="85"/>
      <c r="AR319" s="12">
        <v>1865000</v>
      </c>
      <c r="AS319" s="12">
        <v>2540000</v>
      </c>
      <c r="AT319" s="2"/>
      <c r="AU319" s="2"/>
      <c r="AV319" s="2"/>
      <c r="AW319" s="2"/>
      <c r="AX319" s="2"/>
      <c r="AY319" s="2"/>
      <c r="AZ319" s="2"/>
      <c r="BA319" s="2"/>
      <c r="BB319" s="2"/>
      <c r="BC319" s="2"/>
      <c r="BD319" s="2"/>
      <c r="BE319" s="2"/>
      <c r="BK319" s="2"/>
      <c r="BM319" s="2"/>
      <c r="BN319" s="2"/>
      <c r="BO319" s="2"/>
      <c r="BS319" s="11"/>
      <c r="BT319" s="2"/>
      <c r="BU319" s="3"/>
      <c r="BV319" s="3"/>
      <c r="BW319" s="2"/>
      <c r="BX319" s="2"/>
      <c r="BY319" s="2"/>
      <c r="BZ319" s="2"/>
      <c r="CA319" s="2"/>
      <c r="CB319" s="2"/>
      <c r="CC319" s="2"/>
      <c r="CD319" s="1"/>
      <c r="CE319" s="1"/>
      <c r="CF319" s="1"/>
      <c r="CG319" s="1"/>
      <c r="CH319" s="1"/>
      <c r="CI319" s="2"/>
      <c r="CJ319" s="2"/>
      <c r="CK319" s="2"/>
      <c r="CL319" s="2"/>
      <c r="CM319" s="2"/>
      <c r="CN319" s="2"/>
      <c r="CO319" s="2"/>
      <c r="CP319" s="2"/>
      <c r="CQ319" s="2"/>
      <c r="CR319" s="2"/>
      <c r="CS319" s="2"/>
      <c r="CT319" s="2"/>
      <c r="CU319" s="2"/>
      <c r="CV319" s="2"/>
      <c r="CW319" s="2"/>
      <c r="CX319" s="2"/>
      <c r="CY319" s="2"/>
      <c r="CZ319" s="2"/>
    </row>
    <row r="320" spans="43:104" ht="15" hidden="1" customHeight="1" x14ac:dyDescent="0.2">
      <c r="AQ320" s="12"/>
      <c r="AR320" s="12">
        <v>1870000</v>
      </c>
      <c r="AS320" s="12">
        <v>2550000</v>
      </c>
      <c r="AT320" s="2"/>
      <c r="AU320" s="2"/>
      <c r="AV320" s="2"/>
      <c r="AW320" s="2"/>
      <c r="AX320" s="2"/>
      <c r="AY320" s="2"/>
      <c r="AZ320" s="2"/>
      <c r="BA320" s="2"/>
      <c r="BB320" s="2"/>
      <c r="BC320" s="2"/>
      <c r="BD320" s="2"/>
      <c r="BE320" s="2"/>
      <c r="BK320" s="2"/>
      <c r="BM320" s="2"/>
      <c r="BN320" s="2"/>
      <c r="BO320" s="2"/>
      <c r="BS320" s="11"/>
      <c r="BT320" s="2"/>
      <c r="BU320" s="3"/>
      <c r="BV320" s="3"/>
      <c r="BW320" s="2"/>
      <c r="BX320" s="2"/>
      <c r="BY320" s="2"/>
      <c r="BZ320" s="2"/>
      <c r="CA320" s="2"/>
      <c r="CB320" s="2"/>
      <c r="CC320" s="2"/>
      <c r="CD320" s="1"/>
      <c r="CE320" s="1"/>
      <c r="CF320" s="1"/>
      <c r="CG320" s="1"/>
      <c r="CH320" s="1"/>
      <c r="CI320" s="2"/>
      <c r="CJ320" s="2"/>
      <c r="CK320" s="2"/>
      <c r="CL320" s="2"/>
      <c r="CM320" s="2"/>
      <c r="CN320" s="2"/>
      <c r="CO320" s="2"/>
      <c r="CP320" s="2"/>
      <c r="CQ320" s="2"/>
      <c r="CR320" s="2"/>
      <c r="CS320" s="2"/>
      <c r="CT320" s="2"/>
      <c r="CU320" s="2"/>
      <c r="CV320" s="2"/>
      <c r="CW320" s="2"/>
      <c r="CX320" s="2"/>
      <c r="CY320" s="2"/>
      <c r="CZ320" s="2"/>
    </row>
    <row r="321" spans="43:104" ht="15" hidden="1" customHeight="1" x14ac:dyDescent="0.2">
      <c r="AQ321" s="12"/>
      <c r="AR321" s="12">
        <v>1875000</v>
      </c>
      <c r="AS321" s="12">
        <v>2560000</v>
      </c>
      <c r="AT321" s="2"/>
      <c r="AU321" s="2"/>
      <c r="AV321" s="2"/>
      <c r="AW321" s="2"/>
      <c r="AX321" s="2"/>
      <c r="AY321" s="2"/>
      <c r="AZ321" s="2"/>
      <c r="BA321" s="2"/>
      <c r="BB321" s="2"/>
      <c r="BC321" s="2"/>
      <c r="BD321" s="2"/>
      <c r="BE321" s="2"/>
      <c r="BK321" s="2"/>
      <c r="BM321" s="2"/>
      <c r="BN321" s="2"/>
      <c r="BO321" s="2"/>
      <c r="BS321" s="11"/>
      <c r="BT321" s="2"/>
      <c r="BU321" s="3"/>
      <c r="BV321" s="3"/>
      <c r="BW321" s="2"/>
      <c r="BX321" s="2"/>
      <c r="BY321" s="2"/>
      <c r="BZ321" s="2"/>
      <c r="CA321" s="2"/>
      <c r="CB321" s="2"/>
      <c r="CC321" s="2"/>
      <c r="CD321" s="1"/>
      <c r="CE321" s="1"/>
      <c r="CF321" s="1"/>
      <c r="CG321" s="1"/>
      <c r="CH321" s="1"/>
      <c r="CI321" s="2"/>
      <c r="CJ321" s="2"/>
      <c r="CK321" s="2"/>
      <c r="CL321" s="2"/>
      <c r="CM321" s="2"/>
      <c r="CN321" s="2"/>
      <c r="CO321" s="2"/>
      <c r="CP321" s="2"/>
      <c r="CQ321" s="2"/>
      <c r="CR321" s="2"/>
      <c r="CS321" s="2"/>
      <c r="CT321" s="2"/>
      <c r="CU321" s="2"/>
      <c r="CV321" s="2"/>
      <c r="CW321" s="2"/>
      <c r="CX321" s="2"/>
      <c r="CY321" s="2"/>
      <c r="CZ321" s="2"/>
    </row>
    <row r="322" spans="43:104" ht="15" hidden="1" customHeight="1" x14ac:dyDescent="0.2">
      <c r="AQ322" s="13"/>
      <c r="AR322" s="12">
        <v>1880000</v>
      </c>
      <c r="AS322" s="12">
        <v>2570000</v>
      </c>
      <c r="AT322" s="2"/>
      <c r="AU322" s="2"/>
      <c r="AV322" s="2"/>
      <c r="AW322" s="2"/>
      <c r="AX322" s="2"/>
      <c r="AY322" s="2"/>
      <c r="AZ322" s="2"/>
      <c r="BA322" s="2"/>
      <c r="BB322" s="2"/>
      <c r="BC322" s="2"/>
      <c r="BD322" s="2"/>
      <c r="BE322" s="2"/>
      <c r="BK322" s="2"/>
      <c r="BM322" s="2"/>
      <c r="BN322" s="2"/>
      <c r="BO322" s="2"/>
      <c r="BS322" s="11"/>
      <c r="BT322" s="2"/>
      <c r="BU322" s="3"/>
      <c r="BV322" s="3"/>
      <c r="BW322" s="2"/>
      <c r="BX322" s="2"/>
      <c r="BY322" s="2"/>
      <c r="BZ322" s="2"/>
      <c r="CA322" s="2"/>
      <c r="CB322" s="2"/>
      <c r="CC322" s="2"/>
      <c r="CD322" s="1"/>
      <c r="CE322" s="1"/>
      <c r="CF322" s="1"/>
      <c r="CG322" s="1"/>
      <c r="CH322" s="1"/>
      <c r="CI322" s="2"/>
      <c r="CJ322" s="2"/>
      <c r="CK322" s="2"/>
      <c r="CL322" s="2"/>
      <c r="CM322" s="2"/>
      <c r="CN322" s="2"/>
      <c r="CO322" s="2"/>
      <c r="CP322" s="2"/>
      <c r="CQ322" s="2"/>
      <c r="CR322" s="2"/>
      <c r="CS322" s="2"/>
      <c r="CT322" s="2"/>
      <c r="CU322" s="2"/>
      <c r="CV322" s="2"/>
      <c r="CW322" s="2"/>
      <c r="CX322" s="2"/>
      <c r="CY322" s="2"/>
      <c r="CZ322" s="2"/>
    </row>
    <row r="323" spans="43:104" ht="15" hidden="1" customHeight="1" x14ac:dyDescent="0.2">
      <c r="AQ323" s="13"/>
      <c r="AR323" s="12">
        <v>1885000</v>
      </c>
      <c r="AS323" s="12">
        <v>2580000</v>
      </c>
      <c r="AT323" s="2"/>
      <c r="AU323" s="2"/>
      <c r="AV323" s="2"/>
      <c r="AW323" s="2"/>
      <c r="AX323" s="2"/>
      <c r="AY323" s="2"/>
      <c r="AZ323" s="2"/>
      <c r="BA323" s="2"/>
      <c r="BB323" s="2"/>
      <c r="BC323" s="2"/>
      <c r="BD323" s="2"/>
      <c r="BE323" s="2"/>
      <c r="BK323" s="2"/>
      <c r="BM323" s="2"/>
      <c r="BN323" s="2"/>
      <c r="BO323" s="2"/>
      <c r="BS323" s="11"/>
      <c r="BT323" s="2"/>
      <c r="BU323" s="3"/>
      <c r="BV323" s="3"/>
      <c r="BW323" s="2"/>
      <c r="BX323" s="2"/>
      <c r="BY323" s="2"/>
      <c r="BZ323" s="2"/>
      <c r="CA323" s="2"/>
      <c r="CB323" s="2"/>
      <c r="CC323" s="2"/>
      <c r="CD323" s="1"/>
      <c r="CE323" s="1"/>
      <c r="CF323" s="1"/>
      <c r="CG323" s="1"/>
      <c r="CH323" s="1"/>
      <c r="CI323" s="2"/>
      <c r="CJ323" s="2"/>
      <c r="CK323" s="2"/>
      <c r="CL323" s="2"/>
      <c r="CM323" s="2"/>
      <c r="CN323" s="2"/>
      <c r="CO323" s="2"/>
      <c r="CP323" s="2"/>
      <c r="CQ323" s="2"/>
      <c r="CR323" s="2"/>
      <c r="CS323" s="2"/>
      <c r="CT323" s="2"/>
      <c r="CU323" s="2"/>
      <c r="CV323" s="2"/>
      <c r="CW323" s="2"/>
      <c r="CX323" s="2"/>
      <c r="CY323" s="2"/>
      <c r="CZ323" s="2"/>
    </row>
    <row r="324" spans="43:104" ht="15" hidden="1" customHeight="1" x14ac:dyDescent="0.2">
      <c r="AQ324" s="85"/>
      <c r="AR324" s="12">
        <v>1890000</v>
      </c>
      <c r="AS324" s="12">
        <v>2590000</v>
      </c>
      <c r="AT324" s="2"/>
      <c r="AU324" s="2"/>
      <c r="AV324" s="2"/>
      <c r="AW324" s="2"/>
      <c r="AX324" s="2"/>
      <c r="AY324" s="2"/>
      <c r="AZ324" s="2"/>
      <c r="BA324" s="2"/>
      <c r="BB324" s="2"/>
      <c r="BC324" s="2"/>
      <c r="BD324" s="2"/>
      <c r="BE324" s="2"/>
      <c r="BK324" s="2"/>
      <c r="BM324" s="2"/>
      <c r="BN324" s="2"/>
      <c r="BO324" s="2"/>
      <c r="BS324" s="11"/>
      <c r="BT324" s="2"/>
      <c r="BU324" s="3"/>
      <c r="BV324" s="3"/>
      <c r="BW324" s="2"/>
      <c r="BX324" s="2"/>
      <c r="BY324" s="2"/>
      <c r="BZ324" s="2"/>
      <c r="CA324" s="2"/>
      <c r="CB324" s="2"/>
      <c r="CC324" s="2"/>
      <c r="CD324" s="1"/>
      <c r="CE324" s="1"/>
      <c r="CF324" s="1"/>
      <c r="CG324" s="1"/>
      <c r="CH324" s="1"/>
      <c r="CI324" s="2"/>
      <c r="CJ324" s="2"/>
      <c r="CK324" s="2"/>
      <c r="CL324" s="2"/>
      <c r="CM324" s="2"/>
      <c r="CN324" s="2"/>
      <c r="CO324" s="2"/>
      <c r="CP324" s="2"/>
      <c r="CQ324" s="2"/>
      <c r="CR324" s="2"/>
      <c r="CS324" s="2"/>
      <c r="CT324" s="2"/>
      <c r="CU324" s="2"/>
      <c r="CV324" s="2"/>
      <c r="CW324" s="2"/>
      <c r="CX324" s="2"/>
      <c r="CY324" s="2"/>
      <c r="CZ324" s="2"/>
    </row>
    <row r="325" spans="43:104" ht="15" hidden="1" customHeight="1" x14ac:dyDescent="0.2">
      <c r="AQ325" s="12"/>
      <c r="AR325" s="12">
        <v>1895000</v>
      </c>
      <c r="AS325" s="12">
        <v>2600000</v>
      </c>
      <c r="AT325" s="2"/>
      <c r="AU325" s="2"/>
      <c r="AV325" s="2"/>
      <c r="AW325" s="2"/>
      <c r="AX325" s="2"/>
      <c r="AY325" s="2"/>
      <c r="AZ325" s="2"/>
      <c r="BA325" s="2"/>
      <c r="BB325" s="2"/>
      <c r="BC325" s="2"/>
      <c r="BD325" s="2"/>
      <c r="BE325" s="2"/>
      <c r="BK325" s="2"/>
      <c r="BM325" s="2"/>
      <c r="BN325" s="2"/>
      <c r="BO325" s="2"/>
      <c r="BS325" s="11"/>
      <c r="BT325" s="2"/>
      <c r="BU325" s="3"/>
      <c r="BV325" s="3"/>
      <c r="BW325" s="2"/>
      <c r="BX325" s="2"/>
      <c r="BY325" s="2"/>
      <c r="BZ325" s="2"/>
      <c r="CA325" s="2"/>
      <c r="CB325" s="2"/>
      <c r="CC325" s="2"/>
      <c r="CD325" s="1"/>
      <c r="CE325" s="1"/>
      <c r="CF325" s="1"/>
      <c r="CG325" s="1"/>
      <c r="CH325" s="1"/>
      <c r="CI325" s="2"/>
      <c r="CJ325" s="2"/>
      <c r="CK325" s="2"/>
      <c r="CL325" s="2"/>
      <c r="CM325" s="2"/>
      <c r="CN325" s="2"/>
      <c r="CO325" s="2"/>
      <c r="CP325" s="2"/>
      <c r="CQ325" s="2"/>
      <c r="CR325" s="2"/>
      <c r="CS325" s="2"/>
      <c r="CT325" s="2"/>
      <c r="CU325" s="2"/>
      <c r="CV325" s="2"/>
      <c r="CW325" s="2"/>
      <c r="CX325" s="2"/>
      <c r="CY325" s="2"/>
      <c r="CZ325" s="2"/>
    </row>
    <row r="326" spans="43:104" ht="15" hidden="1" customHeight="1" x14ac:dyDescent="0.2">
      <c r="AQ326" s="12"/>
      <c r="AR326" s="12">
        <v>1900000</v>
      </c>
      <c r="AS326" s="12">
        <v>2610000</v>
      </c>
      <c r="AT326" s="2"/>
      <c r="AU326" s="2"/>
      <c r="AV326" s="2"/>
      <c r="AW326" s="2"/>
      <c r="AX326" s="2"/>
      <c r="AY326" s="2"/>
      <c r="AZ326" s="2"/>
      <c r="BA326" s="2"/>
      <c r="BB326" s="2"/>
      <c r="BC326" s="2"/>
      <c r="BD326" s="2"/>
      <c r="BE326" s="2"/>
      <c r="BK326" s="2"/>
      <c r="BM326" s="2"/>
      <c r="BN326" s="2"/>
      <c r="BO326" s="2"/>
      <c r="BS326" s="11"/>
      <c r="BT326" s="2"/>
      <c r="BU326" s="3"/>
      <c r="BV326" s="3"/>
      <c r="BW326" s="2"/>
      <c r="BX326" s="2"/>
      <c r="BY326" s="2"/>
      <c r="BZ326" s="2"/>
      <c r="CA326" s="2"/>
      <c r="CB326" s="2"/>
      <c r="CC326" s="2"/>
      <c r="CD326" s="1"/>
      <c r="CE326" s="1"/>
      <c r="CF326" s="1"/>
      <c r="CG326" s="1"/>
      <c r="CH326" s="1"/>
      <c r="CI326" s="2"/>
      <c r="CJ326" s="2"/>
      <c r="CK326" s="2"/>
      <c r="CL326" s="2"/>
      <c r="CM326" s="2"/>
      <c r="CN326" s="2"/>
      <c r="CO326" s="2"/>
      <c r="CP326" s="2"/>
      <c r="CQ326" s="2"/>
      <c r="CR326" s="2"/>
      <c r="CS326" s="2"/>
      <c r="CT326" s="2"/>
      <c r="CU326" s="2"/>
      <c r="CV326" s="2"/>
      <c r="CW326" s="2"/>
      <c r="CX326" s="2"/>
      <c r="CY326" s="2"/>
      <c r="CZ326" s="2"/>
    </row>
    <row r="327" spans="43:104" ht="15" hidden="1" customHeight="1" x14ac:dyDescent="0.2">
      <c r="AQ327" s="13"/>
      <c r="AR327" s="12">
        <v>1905000</v>
      </c>
      <c r="AS327" s="12">
        <v>2620000</v>
      </c>
      <c r="AT327" s="2"/>
      <c r="AU327" s="2"/>
      <c r="AV327" s="2"/>
      <c r="AW327" s="2"/>
      <c r="AX327" s="2"/>
      <c r="AY327" s="2"/>
      <c r="AZ327" s="2"/>
      <c r="BA327" s="2"/>
      <c r="BB327" s="2"/>
      <c r="BC327" s="2"/>
      <c r="BD327" s="2"/>
      <c r="BE327" s="2"/>
      <c r="BK327" s="2"/>
      <c r="BM327" s="2"/>
      <c r="BN327" s="2"/>
      <c r="BO327" s="2"/>
      <c r="BS327" s="11"/>
      <c r="BT327" s="2"/>
      <c r="BU327" s="3"/>
      <c r="BV327" s="3"/>
      <c r="BW327" s="2"/>
      <c r="BX327" s="2"/>
      <c r="BY327" s="2"/>
      <c r="BZ327" s="2"/>
      <c r="CA327" s="2"/>
      <c r="CB327" s="2"/>
      <c r="CC327" s="2"/>
      <c r="CD327" s="1"/>
      <c r="CE327" s="1"/>
      <c r="CF327" s="1"/>
      <c r="CG327" s="1"/>
      <c r="CH327" s="1"/>
      <c r="CI327" s="2"/>
      <c r="CJ327" s="2"/>
      <c r="CK327" s="2"/>
      <c r="CL327" s="2"/>
      <c r="CM327" s="2"/>
      <c r="CN327" s="2"/>
      <c r="CO327" s="2"/>
      <c r="CP327" s="2"/>
      <c r="CQ327" s="2"/>
      <c r="CR327" s="2"/>
      <c r="CS327" s="2"/>
      <c r="CT327" s="2"/>
      <c r="CU327" s="2"/>
      <c r="CV327" s="2"/>
      <c r="CW327" s="2"/>
      <c r="CX327" s="2"/>
      <c r="CY327" s="2"/>
      <c r="CZ327" s="2"/>
    </row>
    <row r="328" spans="43:104" ht="15" hidden="1" customHeight="1" x14ac:dyDescent="0.2">
      <c r="AQ328" s="13"/>
      <c r="AR328" s="12">
        <v>1910000</v>
      </c>
      <c r="AS328" s="12">
        <v>2630000</v>
      </c>
      <c r="AT328" s="2"/>
      <c r="AU328" s="2"/>
      <c r="AV328" s="2"/>
      <c r="AW328" s="2"/>
      <c r="AX328" s="2"/>
      <c r="AY328" s="2"/>
      <c r="AZ328" s="2"/>
      <c r="BA328" s="2"/>
      <c r="BB328" s="2"/>
      <c r="BC328" s="2"/>
      <c r="BD328" s="2"/>
      <c r="BE328" s="2"/>
      <c r="BK328" s="2"/>
      <c r="BM328" s="2"/>
      <c r="BN328" s="2"/>
      <c r="BO328" s="2"/>
      <c r="BS328" s="11"/>
      <c r="BT328" s="2"/>
      <c r="BU328" s="3"/>
      <c r="BV328" s="3"/>
      <c r="BW328" s="2"/>
      <c r="BX328" s="2"/>
      <c r="BY328" s="2"/>
      <c r="BZ328" s="2"/>
      <c r="CA328" s="2"/>
      <c r="CB328" s="2"/>
      <c r="CC328" s="2"/>
      <c r="CD328" s="1"/>
      <c r="CE328" s="1"/>
      <c r="CF328" s="1"/>
      <c r="CG328" s="1"/>
      <c r="CH328" s="1"/>
      <c r="CI328" s="2"/>
      <c r="CJ328" s="2"/>
      <c r="CK328" s="2"/>
      <c r="CL328" s="2"/>
      <c r="CM328" s="2"/>
      <c r="CN328" s="2"/>
      <c r="CO328" s="2"/>
      <c r="CP328" s="2"/>
      <c r="CQ328" s="2"/>
      <c r="CR328" s="2"/>
      <c r="CS328" s="2"/>
      <c r="CT328" s="2"/>
      <c r="CU328" s="2"/>
      <c r="CV328" s="2"/>
      <c r="CW328" s="2"/>
      <c r="CX328" s="2"/>
      <c r="CY328" s="2"/>
      <c r="CZ328" s="2"/>
    </row>
    <row r="329" spans="43:104" ht="15" hidden="1" customHeight="1" x14ac:dyDescent="0.2">
      <c r="AQ329" s="85"/>
      <c r="AR329" s="12">
        <v>1915000</v>
      </c>
      <c r="AS329" s="12">
        <v>2640000</v>
      </c>
      <c r="AT329" s="2"/>
      <c r="AU329" s="2"/>
      <c r="AV329" s="2"/>
      <c r="AW329" s="2"/>
      <c r="AX329" s="2"/>
      <c r="AY329" s="2"/>
      <c r="AZ329" s="2"/>
      <c r="BA329" s="2"/>
      <c r="BB329" s="2"/>
      <c r="BC329" s="2"/>
      <c r="BD329" s="2"/>
      <c r="BE329" s="2"/>
      <c r="BK329" s="2"/>
      <c r="BM329" s="2"/>
      <c r="BN329" s="2"/>
      <c r="BO329" s="2"/>
      <c r="BS329" s="11"/>
      <c r="BT329" s="2"/>
      <c r="BU329" s="3"/>
      <c r="BV329" s="3"/>
      <c r="BW329" s="2"/>
      <c r="BX329" s="2"/>
      <c r="BY329" s="2"/>
      <c r="BZ329" s="2"/>
      <c r="CA329" s="2"/>
      <c r="CB329" s="2"/>
      <c r="CC329" s="2"/>
      <c r="CD329" s="1"/>
      <c r="CE329" s="1"/>
      <c r="CF329" s="1"/>
      <c r="CG329" s="1"/>
      <c r="CH329" s="1"/>
      <c r="CI329" s="2"/>
      <c r="CJ329" s="2"/>
      <c r="CK329" s="2"/>
      <c r="CL329" s="2"/>
      <c r="CM329" s="2"/>
      <c r="CN329" s="2"/>
      <c r="CO329" s="2"/>
      <c r="CP329" s="2"/>
      <c r="CQ329" s="2"/>
      <c r="CR329" s="2"/>
      <c r="CS329" s="2"/>
      <c r="CT329" s="2"/>
      <c r="CU329" s="2"/>
      <c r="CV329" s="2"/>
      <c r="CW329" s="2"/>
      <c r="CX329" s="2"/>
      <c r="CY329" s="2"/>
      <c r="CZ329" s="2"/>
    </row>
    <row r="330" spans="43:104" ht="15" hidden="1" customHeight="1" x14ac:dyDescent="0.2">
      <c r="AQ330" s="12"/>
      <c r="AR330" s="12">
        <v>1920000</v>
      </c>
      <c r="AS330" s="12">
        <v>2650000</v>
      </c>
      <c r="AT330" s="2"/>
      <c r="AU330" s="2"/>
      <c r="AV330" s="2"/>
      <c r="AW330" s="2"/>
      <c r="AX330" s="2"/>
      <c r="AY330" s="2"/>
      <c r="AZ330" s="2"/>
      <c r="BA330" s="2"/>
      <c r="BB330" s="2"/>
      <c r="BC330" s="2"/>
      <c r="BD330" s="2"/>
      <c r="BE330" s="2"/>
      <c r="BK330" s="2"/>
      <c r="BM330" s="2"/>
      <c r="BN330" s="2"/>
      <c r="BO330" s="2"/>
      <c r="BS330" s="11"/>
      <c r="BT330" s="2"/>
      <c r="BU330" s="3"/>
      <c r="BV330" s="3"/>
      <c r="BW330" s="2"/>
      <c r="BX330" s="2"/>
      <c r="BY330" s="2"/>
      <c r="BZ330" s="46"/>
      <c r="CA330" s="1"/>
      <c r="CB330" s="1"/>
      <c r="CC330" s="1"/>
      <c r="CD330" s="1"/>
      <c r="CE330" s="1"/>
      <c r="CF330" s="1"/>
      <c r="CG330" s="1"/>
      <c r="CH330" s="1"/>
      <c r="CI330" s="2"/>
      <c r="CJ330" s="2"/>
      <c r="CK330" s="2"/>
      <c r="CL330" s="2"/>
      <c r="CM330" s="2"/>
      <c r="CN330" s="2"/>
      <c r="CO330" s="2"/>
      <c r="CP330" s="2"/>
      <c r="CQ330" s="2"/>
      <c r="CR330" s="2"/>
      <c r="CS330" s="2"/>
      <c r="CT330" s="2"/>
      <c r="CU330" s="2"/>
      <c r="CV330" s="2"/>
      <c r="CW330" s="2"/>
      <c r="CX330" s="2"/>
      <c r="CY330" s="2"/>
      <c r="CZ330" s="2"/>
    </row>
    <row r="331" spans="43:104" ht="15" hidden="1" customHeight="1" x14ac:dyDescent="0.2">
      <c r="AQ331" s="12"/>
      <c r="AR331" s="12">
        <v>1925000</v>
      </c>
      <c r="AS331" s="12">
        <v>2660000</v>
      </c>
      <c r="AT331" s="2"/>
      <c r="AU331" s="2"/>
      <c r="AV331" s="2"/>
      <c r="AW331" s="2"/>
      <c r="AX331" s="2"/>
      <c r="AY331" s="2"/>
      <c r="AZ331" s="2"/>
      <c r="BA331" s="2"/>
      <c r="BB331" s="2"/>
      <c r="BC331" s="2"/>
      <c r="BD331" s="2"/>
      <c r="BE331" s="2"/>
      <c r="BK331" s="2"/>
      <c r="BM331" s="2"/>
      <c r="BN331" s="2"/>
      <c r="BO331" s="2"/>
      <c r="BS331" s="11"/>
      <c r="BT331" s="2"/>
      <c r="BU331" s="3"/>
      <c r="BV331" s="3"/>
      <c r="BW331" s="2"/>
      <c r="BX331" s="2"/>
      <c r="BY331" s="2"/>
      <c r="BZ331" s="2"/>
      <c r="CA331" s="2"/>
      <c r="CB331" s="2"/>
      <c r="CC331" s="2"/>
      <c r="CD331" s="1"/>
      <c r="CE331" s="1"/>
      <c r="CF331" s="1"/>
      <c r="CG331" s="1"/>
      <c r="CH331" s="1"/>
      <c r="CI331" s="2"/>
      <c r="CJ331" s="2"/>
      <c r="CK331" s="2"/>
      <c r="CL331" s="2"/>
      <c r="CM331" s="2"/>
      <c r="CN331" s="2"/>
      <c r="CO331" s="2"/>
      <c r="CP331" s="2"/>
      <c r="CQ331" s="2"/>
      <c r="CR331" s="2"/>
      <c r="CS331" s="2"/>
      <c r="CT331" s="2"/>
      <c r="CU331" s="2"/>
      <c r="CV331" s="2"/>
      <c r="CW331" s="2"/>
      <c r="CX331" s="2"/>
      <c r="CY331" s="2"/>
      <c r="CZ331" s="2"/>
    </row>
    <row r="332" spans="43:104" ht="15" hidden="1" customHeight="1" x14ac:dyDescent="0.2">
      <c r="AQ332" s="13"/>
      <c r="AR332" s="12">
        <v>1930000</v>
      </c>
      <c r="AS332" s="12">
        <v>2670000</v>
      </c>
      <c r="AT332" s="2"/>
      <c r="AU332" s="2"/>
      <c r="AV332" s="2"/>
      <c r="AW332" s="2"/>
      <c r="AX332" s="2"/>
      <c r="AY332" s="2"/>
      <c r="AZ332" s="2"/>
      <c r="BA332" s="2"/>
      <c r="BB332" s="2"/>
      <c r="BC332" s="2"/>
      <c r="BD332" s="2"/>
      <c r="BE332" s="2"/>
      <c r="BK332" s="2"/>
      <c r="BM332" s="2"/>
      <c r="BN332" s="2"/>
      <c r="BO332" s="2"/>
      <c r="BS332" s="11"/>
      <c r="BT332" s="2"/>
      <c r="BU332" s="3"/>
      <c r="BV332" s="3"/>
      <c r="BW332" s="2"/>
      <c r="BX332" s="2"/>
      <c r="BY332" s="2"/>
      <c r="BZ332" s="2"/>
      <c r="CA332" s="2"/>
      <c r="CB332" s="2"/>
      <c r="CC332" s="2"/>
      <c r="CD332" s="1"/>
      <c r="CE332" s="1"/>
      <c r="CF332" s="1"/>
      <c r="CG332" s="1"/>
      <c r="CH332" s="1"/>
      <c r="CI332" s="2"/>
      <c r="CJ332" s="2"/>
      <c r="CK332" s="2"/>
      <c r="CL332" s="2"/>
      <c r="CM332" s="2"/>
      <c r="CN332" s="2"/>
      <c r="CO332" s="2"/>
      <c r="CP332" s="2"/>
      <c r="CQ332" s="2"/>
      <c r="CR332" s="2"/>
      <c r="CS332" s="2"/>
      <c r="CT332" s="2"/>
      <c r="CU332" s="2"/>
      <c r="CV332" s="2"/>
      <c r="CW332" s="2"/>
      <c r="CX332" s="2"/>
      <c r="CY332" s="2"/>
      <c r="CZ332" s="2"/>
    </row>
    <row r="333" spans="43:104" ht="15" hidden="1" customHeight="1" x14ac:dyDescent="0.2">
      <c r="AQ333" s="13"/>
      <c r="AR333" s="12">
        <v>1935000</v>
      </c>
      <c r="AS333" s="12">
        <v>2680000</v>
      </c>
      <c r="AT333" s="2"/>
      <c r="AU333" s="2"/>
      <c r="AV333" s="2"/>
      <c r="AW333" s="2"/>
      <c r="AX333" s="2"/>
      <c r="AY333" s="2"/>
      <c r="AZ333" s="2"/>
      <c r="BA333" s="2"/>
      <c r="BB333" s="2"/>
      <c r="BC333" s="2"/>
      <c r="BD333" s="2"/>
      <c r="BE333" s="2"/>
      <c r="BK333" s="2"/>
      <c r="BM333" s="2"/>
      <c r="BN333" s="2"/>
      <c r="BO333" s="2"/>
      <c r="BS333" s="11"/>
      <c r="BT333" s="2"/>
      <c r="BU333" s="3"/>
      <c r="BV333" s="3"/>
      <c r="BW333" s="2"/>
      <c r="BX333" s="2"/>
      <c r="BY333" s="2"/>
      <c r="BZ333" s="2"/>
      <c r="CA333" s="2"/>
      <c r="CB333" s="2"/>
      <c r="CC333" s="2"/>
      <c r="CD333" s="1"/>
      <c r="CE333" s="1"/>
      <c r="CF333" s="1"/>
      <c r="CG333" s="1"/>
      <c r="CH333" s="1"/>
      <c r="CI333" s="2"/>
      <c r="CJ333" s="2"/>
      <c r="CK333" s="2"/>
      <c r="CL333" s="2"/>
      <c r="CM333" s="2"/>
      <c r="CN333" s="2"/>
      <c r="CO333" s="2"/>
      <c r="CP333" s="2"/>
      <c r="CQ333" s="2"/>
      <c r="CR333" s="2"/>
      <c r="CS333" s="2"/>
      <c r="CT333" s="2"/>
      <c r="CU333" s="2"/>
      <c r="CV333" s="2"/>
      <c r="CW333" s="2"/>
      <c r="CX333" s="2"/>
      <c r="CY333" s="2"/>
      <c r="CZ333" s="2"/>
    </row>
    <row r="334" spans="43:104" ht="15" hidden="1" customHeight="1" x14ac:dyDescent="0.2">
      <c r="AQ334" s="85"/>
      <c r="AR334" s="12">
        <v>1940000</v>
      </c>
      <c r="AS334" s="12">
        <v>2690000</v>
      </c>
      <c r="AT334" s="2"/>
      <c r="AU334" s="2"/>
      <c r="AV334" s="2"/>
      <c r="AW334" s="2"/>
      <c r="AX334" s="2"/>
      <c r="AY334" s="2"/>
      <c r="AZ334" s="2"/>
      <c r="BA334" s="2"/>
      <c r="BB334" s="2"/>
      <c r="BC334" s="2"/>
      <c r="BD334" s="2"/>
      <c r="BE334" s="2"/>
      <c r="BK334" s="2"/>
      <c r="BM334" s="2"/>
      <c r="BN334" s="2"/>
      <c r="BO334" s="2"/>
      <c r="BS334" s="11"/>
      <c r="BT334" s="2"/>
      <c r="BU334" s="3"/>
      <c r="BV334" s="3"/>
      <c r="BW334" s="2"/>
      <c r="BX334" s="2"/>
      <c r="BY334" s="2"/>
      <c r="BZ334" s="2"/>
      <c r="CA334" s="2"/>
      <c r="CB334" s="2"/>
      <c r="CC334" s="2"/>
      <c r="CD334" s="1"/>
      <c r="CE334" s="1"/>
      <c r="CF334" s="1"/>
      <c r="CG334" s="1"/>
      <c r="CH334" s="1"/>
      <c r="CI334" s="2"/>
      <c r="CJ334" s="2"/>
      <c r="CK334" s="2"/>
      <c r="CL334" s="2"/>
      <c r="CM334" s="2"/>
      <c r="CN334" s="2"/>
      <c r="CO334" s="2"/>
      <c r="CP334" s="2"/>
      <c r="CQ334" s="2"/>
      <c r="CR334" s="2"/>
      <c r="CS334" s="2"/>
      <c r="CT334" s="2"/>
      <c r="CU334" s="2"/>
      <c r="CV334" s="2"/>
      <c r="CW334" s="2"/>
      <c r="CX334" s="2"/>
      <c r="CY334" s="2"/>
      <c r="CZ334" s="2"/>
    </row>
    <row r="335" spans="43:104" ht="15" hidden="1" customHeight="1" x14ac:dyDescent="0.2">
      <c r="AQ335" s="12"/>
      <c r="AR335" s="12">
        <v>1945000</v>
      </c>
      <c r="AS335" s="12">
        <v>2700000</v>
      </c>
      <c r="AT335" s="2"/>
      <c r="AU335" s="2"/>
      <c r="AV335" s="2"/>
      <c r="AW335" s="2"/>
      <c r="AX335" s="2"/>
      <c r="AY335" s="2"/>
      <c r="AZ335" s="2"/>
      <c r="BA335" s="2"/>
      <c r="BB335" s="2"/>
      <c r="BC335" s="2"/>
      <c r="BD335" s="2"/>
      <c r="BE335" s="2"/>
      <c r="BK335" s="2"/>
      <c r="BM335" s="2"/>
      <c r="BN335" s="2"/>
      <c r="BO335" s="2"/>
      <c r="BS335" s="11"/>
      <c r="BT335" s="2"/>
      <c r="BU335" s="3"/>
      <c r="BV335" s="3"/>
      <c r="BW335" s="2"/>
      <c r="BX335" s="2"/>
      <c r="BY335" s="2"/>
      <c r="BZ335" s="2"/>
      <c r="CA335" s="2"/>
      <c r="CB335" s="2"/>
      <c r="CC335" s="2"/>
      <c r="CD335" s="1"/>
      <c r="CE335" s="1"/>
      <c r="CF335" s="1"/>
      <c r="CG335" s="1"/>
      <c r="CH335" s="1"/>
      <c r="CI335" s="2"/>
      <c r="CJ335" s="2"/>
      <c r="CK335" s="2"/>
      <c r="CL335" s="2"/>
      <c r="CM335" s="2"/>
      <c r="CN335" s="2"/>
      <c r="CO335" s="2"/>
      <c r="CP335" s="2"/>
      <c r="CQ335" s="2"/>
      <c r="CR335" s="2"/>
      <c r="CS335" s="2"/>
      <c r="CT335" s="2"/>
      <c r="CU335" s="2"/>
      <c r="CV335" s="2"/>
      <c r="CW335" s="2"/>
      <c r="CX335" s="2"/>
      <c r="CY335" s="2"/>
      <c r="CZ335" s="2"/>
    </row>
    <row r="336" spans="43:104" ht="15" hidden="1" customHeight="1" x14ac:dyDescent="0.2">
      <c r="AQ336" s="12"/>
      <c r="AR336" s="12">
        <v>1950000</v>
      </c>
      <c r="AS336" s="12">
        <v>2710000</v>
      </c>
      <c r="AT336" s="2"/>
      <c r="AU336" s="2"/>
      <c r="AV336" s="2"/>
      <c r="AW336" s="2"/>
      <c r="AX336" s="2"/>
      <c r="AY336" s="2"/>
      <c r="AZ336" s="2"/>
      <c r="BA336" s="2"/>
      <c r="BB336" s="2"/>
      <c r="BC336" s="2"/>
      <c r="BD336" s="2"/>
      <c r="BE336" s="2"/>
      <c r="BK336" s="2"/>
      <c r="BM336" s="2"/>
      <c r="BN336" s="2"/>
      <c r="BO336" s="2"/>
      <c r="BS336" s="11"/>
      <c r="BT336" s="2"/>
      <c r="BU336" s="3"/>
      <c r="BV336" s="3"/>
      <c r="BW336" s="2"/>
      <c r="BX336" s="2"/>
      <c r="BY336" s="2"/>
      <c r="BZ336" s="2"/>
      <c r="CA336" s="2"/>
      <c r="CB336" s="2"/>
      <c r="CC336" s="2"/>
      <c r="CD336" s="1"/>
      <c r="CE336" s="1"/>
      <c r="CF336" s="1"/>
      <c r="CG336" s="1"/>
      <c r="CH336" s="1"/>
      <c r="CI336" s="2"/>
      <c r="CJ336" s="2"/>
      <c r="CK336" s="2"/>
      <c r="CL336" s="2"/>
      <c r="CM336" s="2"/>
      <c r="CN336" s="2"/>
      <c r="CO336" s="2"/>
      <c r="CP336" s="2"/>
      <c r="CQ336" s="2"/>
      <c r="CR336" s="2"/>
      <c r="CS336" s="2"/>
      <c r="CT336" s="2"/>
      <c r="CU336" s="2"/>
      <c r="CV336" s="2"/>
      <c r="CW336" s="2"/>
      <c r="CX336" s="2"/>
      <c r="CY336" s="2"/>
      <c r="CZ336" s="2"/>
    </row>
    <row r="337" spans="43:104" ht="15" hidden="1" customHeight="1" x14ac:dyDescent="0.2">
      <c r="AQ337" s="13"/>
      <c r="AR337" s="12">
        <v>1955000</v>
      </c>
      <c r="AS337" s="12">
        <v>2720000</v>
      </c>
      <c r="AT337" s="2"/>
      <c r="AU337" s="2"/>
      <c r="AV337" s="2"/>
      <c r="AW337" s="2"/>
      <c r="AX337" s="2"/>
      <c r="AY337" s="2"/>
      <c r="AZ337" s="2"/>
      <c r="BA337" s="2"/>
      <c r="BB337" s="2"/>
      <c r="BC337" s="2"/>
      <c r="BD337" s="2"/>
      <c r="BE337" s="2"/>
      <c r="BK337" s="2"/>
      <c r="BM337" s="2"/>
      <c r="BN337" s="2"/>
      <c r="BO337" s="2"/>
      <c r="BS337" s="11"/>
      <c r="BT337" s="2"/>
      <c r="BU337" s="3"/>
      <c r="BV337" s="3"/>
      <c r="BW337" s="2"/>
      <c r="BX337" s="2"/>
      <c r="BY337" s="2"/>
      <c r="BZ337" s="2"/>
      <c r="CA337" s="2"/>
      <c r="CB337" s="2"/>
      <c r="CC337" s="2"/>
      <c r="CD337" s="1"/>
      <c r="CE337" s="1"/>
      <c r="CF337" s="1"/>
      <c r="CG337" s="1"/>
      <c r="CH337" s="1"/>
      <c r="CI337" s="2"/>
      <c r="CJ337" s="2"/>
      <c r="CK337" s="2"/>
      <c r="CL337" s="2"/>
      <c r="CM337" s="2"/>
      <c r="CN337" s="2"/>
      <c r="CO337" s="2"/>
      <c r="CP337" s="2"/>
      <c r="CQ337" s="2"/>
      <c r="CR337" s="2"/>
      <c r="CS337" s="2"/>
      <c r="CT337" s="2"/>
      <c r="CU337" s="2"/>
      <c r="CV337" s="2"/>
      <c r="CW337" s="2"/>
      <c r="CX337" s="2"/>
      <c r="CY337" s="2"/>
      <c r="CZ337" s="2"/>
    </row>
    <row r="338" spans="43:104" ht="15" hidden="1" customHeight="1" x14ac:dyDescent="0.2">
      <c r="AQ338" s="13"/>
      <c r="AR338" s="12">
        <v>1960000</v>
      </c>
      <c r="AS338" s="12">
        <v>2730000</v>
      </c>
      <c r="AT338" s="2"/>
      <c r="AU338" s="2"/>
      <c r="AV338" s="2"/>
      <c r="AW338" s="2"/>
      <c r="AX338" s="2"/>
      <c r="AY338" s="2"/>
      <c r="AZ338" s="2"/>
      <c r="BA338" s="2"/>
      <c r="BB338" s="2"/>
      <c r="BC338" s="2"/>
      <c r="BD338" s="2"/>
      <c r="BE338" s="2"/>
      <c r="BK338" s="2"/>
      <c r="BM338" s="2"/>
      <c r="BN338" s="2"/>
      <c r="BO338" s="2"/>
      <c r="BS338" s="11"/>
      <c r="BT338" s="2"/>
      <c r="BU338" s="3"/>
      <c r="BV338" s="3"/>
      <c r="BW338" s="2"/>
      <c r="BX338" s="2"/>
      <c r="BY338" s="2"/>
      <c r="BZ338" s="2"/>
      <c r="CA338" s="2"/>
      <c r="CB338" s="2"/>
      <c r="CC338" s="2"/>
      <c r="CD338" s="1"/>
      <c r="CE338" s="1"/>
      <c r="CF338" s="1"/>
      <c r="CG338" s="1"/>
      <c r="CH338" s="1"/>
      <c r="CI338" s="2"/>
      <c r="CJ338" s="2"/>
      <c r="CK338" s="2"/>
      <c r="CL338" s="2"/>
      <c r="CM338" s="2"/>
      <c r="CN338" s="2"/>
      <c r="CO338" s="2"/>
      <c r="CP338" s="2"/>
      <c r="CQ338" s="2"/>
      <c r="CR338" s="2"/>
      <c r="CS338" s="2"/>
      <c r="CT338" s="2"/>
      <c r="CU338" s="2"/>
      <c r="CV338" s="2"/>
      <c r="CW338" s="2"/>
      <c r="CX338" s="2"/>
      <c r="CY338" s="2"/>
      <c r="CZ338" s="2"/>
    </row>
    <row r="339" spans="43:104" ht="15" hidden="1" customHeight="1" x14ac:dyDescent="0.2">
      <c r="AQ339" s="85"/>
      <c r="AR339" s="12">
        <v>1965000</v>
      </c>
      <c r="AS339" s="12">
        <v>2740000</v>
      </c>
      <c r="AT339" s="2"/>
      <c r="AU339" s="2"/>
      <c r="AV339" s="2"/>
      <c r="AW339" s="2"/>
      <c r="AX339" s="2"/>
      <c r="AY339" s="2"/>
      <c r="AZ339" s="2"/>
      <c r="BA339" s="2"/>
      <c r="BB339" s="2"/>
      <c r="BC339" s="2"/>
      <c r="BD339" s="2"/>
      <c r="BE339" s="2"/>
      <c r="BK339" s="2"/>
      <c r="BM339" s="2"/>
      <c r="BN339" s="2"/>
      <c r="BO339" s="2"/>
      <c r="BS339" s="11"/>
      <c r="BT339" s="2"/>
      <c r="BU339" s="3"/>
      <c r="BV339" s="3"/>
      <c r="BW339" s="2"/>
      <c r="BX339" s="2"/>
      <c r="BY339" s="2"/>
      <c r="BZ339" s="2"/>
      <c r="CA339" s="2"/>
      <c r="CB339" s="2"/>
      <c r="CC339" s="2"/>
      <c r="CD339" s="1"/>
      <c r="CE339" s="1"/>
      <c r="CF339" s="1"/>
      <c r="CG339" s="1"/>
      <c r="CH339" s="1"/>
      <c r="CI339" s="2"/>
      <c r="CJ339" s="2"/>
      <c r="CK339" s="2"/>
      <c r="CL339" s="2"/>
      <c r="CM339" s="2"/>
      <c r="CN339" s="2"/>
      <c r="CO339" s="2"/>
      <c r="CP339" s="2"/>
      <c r="CQ339" s="2"/>
      <c r="CR339" s="2"/>
      <c r="CS339" s="2"/>
      <c r="CT339" s="2"/>
      <c r="CU339" s="2"/>
      <c r="CV339" s="2"/>
      <c r="CW339" s="2"/>
      <c r="CX339" s="2"/>
      <c r="CY339" s="2"/>
      <c r="CZ339" s="2"/>
    </row>
    <row r="340" spans="43:104" ht="15" hidden="1" customHeight="1" x14ac:dyDescent="0.2">
      <c r="AQ340" s="12"/>
      <c r="AR340" s="12">
        <v>1970000</v>
      </c>
      <c r="AS340" s="12">
        <v>2750000</v>
      </c>
      <c r="AT340" s="2"/>
      <c r="AU340" s="2"/>
      <c r="AV340" s="2"/>
      <c r="AW340" s="2"/>
      <c r="AX340" s="2"/>
      <c r="AY340" s="2"/>
      <c r="AZ340" s="2"/>
      <c r="BA340" s="2"/>
      <c r="BB340" s="2"/>
      <c r="BC340" s="2"/>
      <c r="BD340" s="2"/>
      <c r="BE340" s="2"/>
      <c r="BK340" s="2"/>
      <c r="BM340" s="2"/>
      <c r="BN340" s="2"/>
      <c r="BO340" s="2"/>
      <c r="BS340" s="11"/>
      <c r="BT340" s="2"/>
      <c r="BU340" s="3"/>
      <c r="BV340" s="3"/>
      <c r="BW340" s="2"/>
      <c r="BX340" s="2"/>
      <c r="BY340" s="2"/>
      <c r="BZ340" s="2"/>
      <c r="CA340" s="2"/>
      <c r="CB340" s="2"/>
      <c r="CC340" s="2"/>
      <c r="CD340" s="1"/>
      <c r="CE340" s="1"/>
      <c r="CF340" s="1"/>
      <c r="CG340" s="1"/>
      <c r="CH340" s="1"/>
      <c r="CI340" s="2"/>
      <c r="CJ340" s="2"/>
      <c r="CK340" s="2"/>
      <c r="CL340" s="2"/>
      <c r="CM340" s="2"/>
      <c r="CN340" s="2"/>
      <c r="CO340" s="2"/>
      <c r="CP340" s="2"/>
      <c r="CQ340" s="2"/>
      <c r="CR340" s="2"/>
      <c r="CS340" s="2"/>
      <c r="CT340" s="2"/>
      <c r="CU340" s="2"/>
      <c r="CV340" s="2"/>
      <c r="CW340" s="2"/>
      <c r="CX340" s="2"/>
      <c r="CY340" s="2"/>
      <c r="CZ340" s="2"/>
    </row>
    <row r="341" spans="43:104" ht="15" hidden="1" customHeight="1" x14ac:dyDescent="0.2">
      <c r="AQ341" s="12"/>
      <c r="AR341" s="12">
        <v>1975000</v>
      </c>
      <c r="AS341" s="12">
        <v>2760000</v>
      </c>
      <c r="AT341" s="2"/>
      <c r="AU341" s="2"/>
      <c r="AV341" s="2"/>
      <c r="AW341" s="2"/>
      <c r="AX341" s="2"/>
      <c r="AY341" s="2"/>
      <c r="AZ341" s="2"/>
      <c r="BA341" s="2"/>
      <c r="BB341" s="2"/>
      <c r="BC341" s="2"/>
      <c r="BD341" s="2"/>
      <c r="BE341" s="2"/>
      <c r="BK341" s="2"/>
      <c r="BM341" s="2"/>
      <c r="BN341" s="2"/>
      <c r="BO341" s="2"/>
      <c r="BS341" s="11"/>
      <c r="BT341" s="2"/>
      <c r="BU341" s="3"/>
      <c r="BV341" s="3"/>
      <c r="BW341" s="2"/>
      <c r="BX341" s="2"/>
      <c r="BY341" s="2"/>
      <c r="BZ341" s="2"/>
      <c r="CA341" s="2"/>
      <c r="CB341" s="2"/>
      <c r="CC341" s="2"/>
      <c r="CD341" s="1"/>
      <c r="CE341" s="1"/>
      <c r="CF341" s="1"/>
      <c r="CG341" s="1"/>
      <c r="CH341" s="1"/>
      <c r="CI341" s="2"/>
      <c r="CJ341" s="2"/>
      <c r="CK341" s="2"/>
      <c r="CL341" s="2"/>
      <c r="CM341" s="2"/>
      <c r="CN341" s="2"/>
      <c r="CO341" s="2"/>
      <c r="CP341" s="2"/>
      <c r="CQ341" s="2"/>
      <c r="CR341" s="2"/>
      <c r="CS341" s="2"/>
      <c r="CT341" s="2"/>
      <c r="CU341" s="2"/>
      <c r="CV341" s="2"/>
      <c r="CW341" s="2"/>
      <c r="CX341" s="2"/>
      <c r="CY341" s="2"/>
      <c r="CZ341" s="2"/>
    </row>
    <row r="342" spans="43:104" ht="15" hidden="1" customHeight="1" x14ac:dyDescent="0.2">
      <c r="AQ342" s="13"/>
      <c r="AR342" s="12">
        <v>1980000</v>
      </c>
      <c r="AS342" s="12">
        <v>2770000</v>
      </c>
      <c r="AT342" s="2"/>
      <c r="AU342" s="2"/>
      <c r="AV342" s="2"/>
      <c r="AW342" s="2"/>
      <c r="AX342" s="2"/>
      <c r="AY342" s="2"/>
      <c r="AZ342" s="2"/>
      <c r="BA342" s="2"/>
      <c r="BB342" s="2"/>
      <c r="BC342" s="2"/>
      <c r="BD342" s="2"/>
      <c r="BE342" s="2"/>
      <c r="BK342" s="2"/>
      <c r="BM342" s="2"/>
      <c r="BN342" s="2"/>
      <c r="BO342" s="2"/>
      <c r="BS342" s="11"/>
      <c r="BT342" s="2"/>
      <c r="BU342" s="3"/>
      <c r="BV342" s="3"/>
      <c r="BW342" s="2"/>
      <c r="BX342" s="2"/>
      <c r="BY342" s="2"/>
      <c r="BZ342" s="2"/>
      <c r="CA342" s="2"/>
      <c r="CB342" s="2"/>
      <c r="CC342" s="2"/>
      <c r="CD342" s="1"/>
      <c r="CE342" s="1"/>
      <c r="CF342" s="1"/>
      <c r="CG342" s="1"/>
      <c r="CH342" s="1"/>
      <c r="CI342" s="2"/>
      <c r="CJ342" s="2"/>
      <c r="CK342" s="2"/>
      <c r="CL342" s="2"/>
      <c r="CM342" s="2"/>
      <c r="CN342" s="2"/>
      <c r="CO342" s="2"/>
      <c r="CP342" s="2"/>
      <c r="CQ342" s="2"/>
      <c r="CR342" s="2"/>
      <c r="CS342" s="2"/>
      <c r="CT342" s="2"/>
      <c r="CU342" s="2"/>
      <c r="CV342" s="2"/>
      <c r="CW342" s="2"/>
      <c r="CX342" s="2"/>
      <c r="CY342" s="2"/>
      <c r="CZ342" s="2"/>
    </row>
    <row r="343" spans="43:104" ht="15" hidden="1" customHeight="1" x14ac:dyDescent="0.2">
      <c r="AQ343" s="13"/>
      <c r="AR343" s="12">
        <v>1985000</v>
      </c>
      <c r="AS343" s="12">
        <v>2780000</v>
      </c>
      <c r="AT343" s="2"/>
      <c r="AU343" s="2"/>
      <c r="AV343" s="2"/>
      <c r="AW343" s="2"/>
      <c r="AX343" s="2"/>
      <c r="AY343" s="2"/>
      <c r="AZ343" s="2"/>
      <c r="BA343" s="2"/>
      <c r="BB343" s="2"/>
      <c r="BC343" s="2"/>
      <c r="BD343" s="2"/>
      <c r="BE343" s="2"/>
      <c r="BK343" s="2"/>
      <c r="BM343" s="2"/>
      <c r="BN343" s="2"/>
      <c r="BO343" s="2"/>
      <c r="BS343" s="11"/>
      <c r="BT343" s="2"/>
      <c r="BU343" s="3"/>
      <c r="BV343" s="3"/>
      <c r="BW343" s="2"/>
      <c r="BX343" s="2"/>
      <c r="BY343" s="2"/>
      <c r="BZ343" s="2"/>
      <c r="CA343" s="2"/>
      <c r="CB343" s="2"/>
      <c r="CC343" s="2"/>
      <c r="CD343" s="1"/>
      <c r="CE343" s="1"/>
      <c r="CF343" s="1"/>
      <c r="CG343" s="1"/>
      <c r="CH343" s="1"/>
      <c r="CI343" s="2"/>
      <c r="CJ343" s="2"/>
      <c r="CK343" s="2"/>
      <c r="CL343" s="2"/>
      <c r="CM343" s="2"/>
      <c r="CN343" s="2"/>
      <c r="CO343" s="2"/>
      <c r="CP343" s="2"/>
      <c r="CQ343" s="2"/>
      <c r="CR343" s="2"/>
      <c r="CS343" s="2"/>
      <c r="CT343" s="2"/>
      <c r="CU343" s="2"/>
      <c r="CV343" s="2"/>
      <c r="CW343" s="2"/>
      <c r="CX343" s="2"/>
      <c r="CY343" s="2"/>
      <c r="CZ343" s="2"/>
    </row>
    <row r="344" spans="43:104" ht="15" hidden="1" customHeight="1" x14ac:dyDescent="0.2">
      <c r="AQ344" s="85"/>
      <c r="AR344" s="12">
        <v>1990000</v>
      </c>
      <c r="AS344" s="12">
        <v>2790000</v>
      </c>
      <c r="AT344" s="2"/>
      <c r="AU344" s="2"/>
      <c r="AV344" s="2"/>
      <c r="AW344" s="2"/>
      <c r="AX344" s="2"/>
      <c r="AY344" s="2"/>
      <c r="AZ344" s="2"/>
      <c r="BA344" s="2"/>
      <c r="BB344" s="2"/>
      <c r="BC344" s="2"/>
      <c r="BD344" s="2"/>
      <c r="BE344" s="2"/>
      <c r="BK344" s="2"/>
      <c r="BM344" s="2"/>
      <c r="BN344" s="2"/>
      <c r="BO344" s="2"/>
      <c r="BS344" s="11"/>
      <c r="BT344" s="2"/>
      <c r="BU344" s="3"/>
      <c r="BV344" s="3"/>
      <c r="BW344" s="2"/>
      <c r="BX344" s="2"/>
      <c r="BY344" s="2"/>
      <c r="BZ344" s="2"/>
      <c r="CA344" s="2"/>
      <c r="CB344" s="2"/>
      <c r="CC344" s="2"/>
      <c r="CD344" s="1"/>
      <c r="CE344" s="1"/>
      <c r="CF344" s="1"/>
      <c r="CG344" s="1"/>
      <c r="CH344" s="1"/>
      <c r="CI344" s="2"/>
      <c r="CJ344" s="2"/>
      <c r="CK344" s="2"/>
      <c r="CL344" s="2"/>
      <c r="CM344" s="2"/>
      <c r="CN344" s="2"/>
      <c r="CO344" s="2"/>
      <c r="CP344" s="2"/>
      <c r="CQ344" s="2"/>
      <c r="CR344" s="2"/>
      <c r="CS344" s="2"/>
      <c r="CT344" s="2"/>
      <c r="CU344" s="2"/>
      <c r="CV344" s="2"/>
      <c r="CW344" s="2"/>
      <c r="CX344" s="2"/>
      <c r="CY344" s="2"/>
      <c r="CZ344" s="2"/>
    </row>
    <row r="345" spans="43:104" ht="15" hidden="1" customHeight="1" x14ac:dyDescent="0.2">
      <c r="AQ345" s="12"/>
      <c r="AR345" s="12">
        <v>1995000</v>
      </c>
      <c r="AS345" s="12">
        <v>2800000</v>
      </c>
      <c r="AT345" s="2"/>
      <c r="AU345" s="2"/>
      <c r="AV345" s="2"/>
      <c r="AW345" s="2"/>
      <c r="AX345" s="2"/>
      <c r="AY345" s="2"/>
      <c r="AZ345" s="2"/>
      <c r="BA345" s="2"/>
      <c r="BB345" s="2"/>
      <c r="BC345" s="2"/>
      <c r="BD345" s="2"/>
      <c r="BE345" s="2"/>
      <c r="BK345" s="2"/>
      <c r="BM345" s="2"/>
      <c r="BN345" s="2"/>
      <c r="BO345" s="2"/>
      <c r="BS345" s="11"/>
      <c r="BT345" s="2"/>
      <c r="BU345" s="3"/>
      <c r="BV345" s="3"/>
      <c r="BW345" s="2"/>
      <c r="BX345" s="2"/>
      <c r="BY345" s="2"/>
      <c r="BZ345" s="46"/>
      <c r="CA345" s="1"/>
      <c r="CB345" s="1"/>
      <c r="CC345" s="1"/>
      <c r="CD345" s="1"/>
      <c r="CE345" s="1"/>
      <c r="CF345" s="1"/>
      <c r="CG345" s="1"/>
      <c r="CH345" s="1"/>
      <c r="CI345" s="2"/>
      <c r="CJ345" s="2"/>
      <c r="CK345" s="2"/>
      <c r="CL345" s="2"/>
      <c r="CM345" s="2"/>
      <c r="CN345" s="2"/>
      <c r="CO345" s="2"/>
      <c r="CP345" s="2"/>
      <c r="CQ345" s="2"/>
      <c r="CR345" s="2"/>
      <c r="CS345" s="2"/>
      <c r="CT345" s="2"/>
      <c r="CU345" s="2"/>
      <c r="CV345" s="2"/>
      <c r="CW345" s="2"/>
      <c r="CX345" s="2"/>
      <c r="CY345" s="2"/>
      <c r="CZ345" s="2"/>
    </row>
    <row r="346" spans="43:104" ht="15" hidden="1" customHeight="1" x14ac:dyDescent="0.2">
      <c r="AQ346" s="12"/>
      <c r="AR346" s="12">
        <v>2000000</v>
      </c>
      <c r="AS346" s="12">
        <v>2810000</v>
      </c>
      <c r="AT346" s="2"/>
      <c r="AU346" s="2"/>
      <c r="AV346" s="2"/>
      <c r="AW346" s="2"/>
      <c r="AX346" s="2"/>
      <c r="AY346" s="2"/>
      <c r="AZ346" s="2"/>
      <c r="BA346" s="2"/>
      <c r="BB346" s="2"/>
      <c r="BC346" s="2"/>
      <c r="BD346" s="2"/>
      <c r="BE346" s="2"/>
      <c r="BK346" s="2"/>
      <c r="BM346" s="2"/>
      <c r="BN346" s="2"/>
      <c r="BO346" s="2"/>
      <c r="BS346" s="11"/>
      <c r="BT346" s="2"/>
      <c r="BU346" s="3"/>
      <c r="BV346" s="3"/>
      <c r="BW346" s="2"/>
      <c r="BX346" s="2"/>
      <c r="BY346" s="2"/>
      <c r="BZ346" s="2"/>
      <c r="CA346" s="2"/>
      <c r="CB346" s="2"/>
      <c r="CC346" s="2"/>
      <c r="CD346" s="1"/>
      <c r="CE346" s="1"/>
      <c r="CF346" s="1"/>
      <c r="CG346" s="1"/>
      <c r="CH346" s="1"/>
      <c r="CI346" s="2"/>
      <c r="CJ346" s="2"/>
      <c r="CK346" s="2"/>
      <c r="CL346" s="2"/>
      <c r="CM346" s="2"/>
      <c r="CN346" s="2"/>
      <c r="CO346" s="2"/>
      <c r="CP346" s="2"/>
      <c r="CQ346" s="2"/>
      <c r="CR346" s="2"/>
      <c r="CS346" s="2"/>
      <c r="CT346" s="2"/>
      <c r="CU346" s="2"/>
      <c r="CV346" s="2"/>
      <c r="CW346" s="2"/>
      <c r="CX346" s="2"/>
      <c r="CY346" s="2"/>
      <c r="CZ346" s="2"/>
    </row>
    <row r="347" spans="43:104" ht="15" hidden="1" customHeight="1" x14ac:dyDescent="0.2">
      <c r="AQ347" s="2"/>
      <c r="AR347" s="12"/>
      <c r="AS347" s="2"/>
      <c r="AT347" s="2"/>
      <c r="AU347" s="2"/>
      <c r="AV347" s="2"/>
      <c r="AW347" s="2"/>
      <c r="AX347" s="2"/>
      <c r="AY347" s="2"/>
      <c r="AZ347" s="2"/>
      <c r="BA347" s="2"/>
      <c r="BB347" s="2"/>
      <c r="BC347" s="2"/>
      <c r="BD347" s="2"/>
      <c r="BE347" s="2"/>
      <c r="BK347" s="2"/>
      <c r="BM347" s="2"/>
      <c r="BN347" s="2"/>
      <c r="BO347" s="2"/>
      <c r="BS347" s="11"/>
      <c r="BT347" s="2"/>
      <c r="BU347" s="3"/>
      <c r="BV347" s="3"/>
      <c r="BW347" s="2"/>
      <c r="BX347" s="2"/>
      <c r="BY347" s="2"/>
      <c r="BZ347" s="2"/>
      <c r="CA347" s="2"/>
      <c r="CB347" s="2"/>
      <c r="CC347" s="2"/>
      <c r="CD347" s="1"/>
      <c r="CE347" s="1"/>
      <c r="CF347" s="1"/>
      <c r="CG347" s="1"/>
      <c r="CH347" s="1"/>
      <c r="CI347" s="2"/>
      <c r="CJ347" s="2"/>
      <c r="CK347" s="2"/>
      <c r="CL347" s="2"/>
      <c r="CM347" s="2"/>
      <c r="CN347" s="2"/>
      <c r="CO347" s="2"/>
      <c r="CP347" s="2"/>
      <c r="CQ347" s="2"/>
      <c r="CR347" s="2"/>
      <c r="CS347" s="2"/>
      <c r="CT347" s="2"/>
      <c r="CU347" s="2"/>
      <c r="CV347" s="2"/>
      <c r="CW347" s="2"/>
      <c r="CX347" s="2"/>
      <c r="CY347" s="2"/>
      <c r="CZ347" s="2"/>
    </row>
    <row r="348" spans="43:104" ht="15" hidden="1" customHeight="1" x14ac:dyDescent="0.2">
      <c r="AQ348" s="2"/>
      <c r="AR348" s="12"/>
      <c r="AS348" s="2"/>
      <c r="AT348" s="2"/>
      <c r="AU348" s="2"/>
      <c r="AV348" s="2"/>
      <c r="AW348" s="2"/>
      <c r="AX348" s="2"/>
      <c r="AY348" s="2"/>
      <c r="AZ348" s="2"/>
      <c r="BA348" s="2"/>
      <c r="BB348" s="2"/>
      <c r="BC348" s="2"/>
      <c r="BD348" s="2"/>
      <c r="BE348" s="2"/>
      <c r="BK348" s="2"/>
      <c r="BM348" s="2"/>
      <c r="BN348" s="2"/>
      <c r="BO348" s="2"/>
      <c r="BS348" s="11"/>
      <c r="BT348" s="2"/>
      <c r="BU348" s="3"/>
      <c r="BV348" s="3"/>
      <c r="BW348" s="2"/>
      <c r="BX348" s="2"/>
      <c r="BY348" s="2"/>
      <c r="BZ348" s="2"/>
      <c r="CA348" s="2"/>
      <c r="CB348" s="2"/>
      <c r="CC348" s="2"/>
      <c r="CD348" s="1"/>
      <c r="CE348" s="1"/>
      <c r="CF348" s="1"/>
      <c r="CG348" s="1"/>
      <c r="CH348" s="1"/>
      <c r="CI348" s="2"/>
      <c r="CJ348" s="2"/>
      <c r="CK348" s="2"/>
      <c r="CL348" s="2"/>
      <c r="CM348" s="2"/>
      <c r="CN348" s="2"/>
      <c r="CO348" s="2"/>
      <c r="CP348" s="2"/>
      <c r="CQ348" s="2"/>
      <c r="CR348" s="2"/>
      <c r="CS348" s="2"/>
      <c r="CT348" s="2"/>
      <c r="CU348" s="2"/>
      <c r="CV348" s="2"/>
      <c r="CW348" s="2"/>
      <c r="CX348" s="2"/>
      <c r="CY348" s="2"/>
      <c r="CZ348" s="2"/>
    </row>
    <row r="349" spans="43:104" ht="15" hidden="1" customHeight="1" x14ac:dyDescent="0.2">
      <c r="AQ349" s="2"/>
      <c r="AR349" s="12"/>
      <c r="AS349" s="2"/>
      <c r="AT349" s="2"/>
      <c r="AU349" s="2"/>
      <c r="AV349" s="2"/>
      <c r="AW349" s="2"/>
      <c r="AX349" s="2"/>
      <c r="AY349" s="2"/>
      <c r="AZ349" s="2"/>
      <c r="BA349" s="2"/>
      <c r="BB349" s="2"/>
      <c r="BC349" s="2"/>
      <c r="BD349" s="2"/>
      <c r="BE349" s="2"/>
      <c r="BK349" s="2"/>
      <c r="BM349" s="2"/>
      <c r="BN349" s="2"/>
      <c r="BO349" s="2"/>
      <c r="BS349" s="11"/>
      <c r="BT349" s="2"/>
      <c r="BU349" s="3"/>
      <c r="BV349" s="3"/>
      <c r="BW349" s="2"/>
      <c r="BX349" s="2"/>
      <c r="BY349" s="2"/>
      <c r="BZ349" s="2"/>
      <c r="CA349" s="2"/>
      <c r="CB349" s="2"/>
      <c r="CC349" s="2"/>
      <c r="CD349" s="1"/>
      <c r="CE349" s="1"/>
      <c r="CF349" s="1"/>
      <c r="CG349" s="1"/>
      <c r="CH349" s="1"/>
      <c r="CI349" s="2"/>
      <c r="CJ349" s="2"/>
      <c r="CK349" s="2"/>
      <c r="CL349" s="2"/>
      <c r="CM349" s="2"/>
      <c r="CN349" s="2"/>
      <c r="CO349" s="2"/>
      <c r="CP349" s="2"/>
      <c r="CQ349" s="2"/>
      <c r="CR349" s="2"/>
      <c r="CS349" s="2"/>
      <c r="CT349" s="2"/>
      <c r="CU349" s="2"/>
      <c r="CV349" s="2"/>
      <c r="CW349" s="2"/>
      <c r="CX349" s="2"/>
      <c r="CY349" s="2"/>
      <c r="CZ349" s="2"/>
    </row>
    <row r="350" spans="43:104" ht="15" hidden="1" customHeight="1" x14ac:dyDescent="0.2">
      <c r="AQ350" s="2"/>
      <c r="AR350" s="12"/>
      <c r="AS350" s="2"/>
      <c r="AT350" s="2"/>
      <c r="AU350" s="2"/>
      <c r="AV350" s="2"/>
      <c r="AW350" s="2"/>
      <c r="AX350" s="2"/>
      <c r="AY350" s="2"/>
      <c r="AZ350" s="2"/>
      <c r="BA350" s="2"/>
      <c r="BB350" s="2"/>
      <c r="BC350" s="2"/>
      <c r="BD350" s="2"/>
      <c r="BE350" s="2"/>
      <c r="BK350" s="2"/>
      <c r="BM350" s="2"/>
      <c r="BN350" s="2"/>
      <c r="BO350" s="2"/>
      <c r="BS350" s="11"/>
      <c r="BT350" s="2"/>
      <c r="BU350" s="3"/>
      <c r="BV350" s="3"/>
      <c r="BW350" s="2"/>
      <c r="BX350" s="2"/>
      <c r="BY350" s="2"/>
      <c r="BZ350" s="2"/>
      <c r="CA350" s="2"/>
      <c r="CB350" s="2"/>
      <c r="CC350" s="2"/>
      <c r="CD350" s="1"/>
      <c r="CE350" s="1"/>
      <c r="CF350" s="1"/>
      <c r="CG350" s="1"/>
      <c r="CH350" s="1"/>
      <c r="CI350" s="2"/>
      <c r="CJ350" s="2"/>
      <c r="CK350" s="2"/>
      <c r="CL350" s="2"/>
      <c r="CM350" s="2"/>
      <c r="CN350" s="2"/>
      <c r="CO350" s="2"/>
      <c r="CP350" s="2"/>
      <c r="CQ350" s="2"/>
      <c r="CR350" s="2"/>
      <c r="CS350" s="2"/>
      <c r="CT350" s="2"/>
      <c r="CU350" s="2"/>
      <c r="CV350" s="2"/>
      <c r="CW350" s="2"/>
      <c r="CX350" s="2"/>
      <c r="CY350" s="2"/>
      <c r="CZ350" s="2"/>
    </row>
    <row r="351" spans="43:104" ht="15" hidden="1" customHeight="1" x14ac:dyDescent="0.2">
      <c r="AQ351" s="2"/>
      <c r="AR351" s="12"/>
      <c r="AS351" s="2"/>
      <c r="AT351" s="2"/>
      <c r="AU351" s="2"/>
      <c r="AV351" s="2"/>
      <c r="AW351" s="2"/>
      <c r="AX351" s="2"/>
      <c r="AY351" s="2"/>
      <c r="AZ351" s="2"/>
      <c r="BA351" s="2"/>
      <c r="BB351" s="2"/>
      <c r="BC351" s="2"/>
      <c r="BD351" s="2"/>
      <c r="BE351" s="2"/>
      <c r="BK351" s="2"/>
      <c r="BM351" s="2"/>
      <c r="BN351" s="2"/>
      <c r="BO351" s="2"/>
      <c r="BS351" s="11"/>
      <c r="BT351" s="2"/>
      <c r="BU351" s="3"/>
      <c r="BV351" s="3"/>
      <c r="BW351" s="2"/>
      <c r="BX351" s="2"/>
      <c r="BY351" s="2"/>
      <c r="BZ351" s="2"/>
      <c r="CA351" s="2"/>
      <c r="CB351" s="2"/>
      <c r="CC351" s="2"/>
      <c r="CD351" s="1"/>
      <c r="CE351" s="1"/>
      <c r="CF351" s="1"/>
      <c r="CG351" s="1"/>
      <c r="CH351" s="1"/>
      <c r="CI351" s="2"/>
      <c r="CJ351" s="2"/>
      <c r="CK351" s="2"/>
      <c r="CL351" s="2"/>
      <c r="CM351" s="2"/>
      <c r="CN351" s="2"/>
      <c r="CO351" s="2"/>
      <c r="CP351" s="2"/>
      <c r="CQ351" s="2"/>
      <c r="CR351" s="2"/>
      <c r="CS351" s="2"/>
      <c r="CT351" s="2"/>
      <c r="CU351" s="2"/>
      <c r="CV351" s="2"/>
      <c r="CW351" s="2"/>
      <c r="CX351" s="2"/>
      <c r="CY351" s="2"/>
      <c r="CZ351" s="2"/>
    </row>
    <row r="352" spans="43:104" ht="15" hidden="1" customHeight="1" x14ac:dyDescent="0.2">
      <c r="AQ352" s="2"/>
      <c r="AR352" s="12"/>
      <c r="AS352" s="2"/>
      <c r="AT352" s="2"/>
      <c r="AU352" s="2"/>
      <c r="AV352" s="2"/>
      <c r="AW352" s="2"/>
      <c r="AX352" s="2"/>
      <c r="AY352" s="2"/>
      <c r="AZ352" s="2"/>
      <c r="BA352" s="2"/>
      <c r="BB352" s="2"/>
      <c r="BC352" s="2"/>
      <c r="BD352" s="2"/>
      <c r="BE352" s="2"/>
      <c r="BK352" s="2"/>
      <c r="BM352" s="2"/>
      <c r="BN352" s="2"/>
      <c r="BO352" s="2"/>
      <c r="BS352" s="11"/>
      <c r="BT352" s="2"/>
      <c r="BU352" s="3"/>
      <c r="BV352" s="3"/>
      <c r="BW352" s="2"/>
      <c r="BX352" s="2"/>
      <c r="BY352" s="2"/>
      <c r="BZ352" s="2"/>
      <c r="CA352" s="2"/>
      <c r="CB352" s="2"/>
      <c r="CC352" s="2"/>
      <c r="CD352" s="1"/>
      <c r="CE352" s="1"/>
      <c r="CF352" s="1"/>
      <c r="CG352" s="1"/>
      <c r="CH352" s="1"/>
      <c r="CI352" s="2"/>
      <c r="CJ352" s="2"/>
      <c r="CK352" s="2"/>
      <c r="CL352" s="2"/>
      <c r="CM352" s="2"/>
      <c r="CN352" s="2"/>
      <c r="CO352" s="2"/>
      <c r="CP352" s="2"/>
      <c r="CQ352" s="2"/>
      <c r="CR352" s="2"/>
      <c r="CS352" s="2"/>
      <c r="CT352" s="2"/>
      <c r="CU352" s="2"/>
      <c r="CV352" s="2"/>
      <c r="CW352" s="2"/>
      <c r="CX352" s="2"/>
      <c r="CY352" s="2"/>
      <c r="CZ352" s="2"/>
    </row>
    <row r="353" spans="44:104" ht="15" hidden="1" customHeight="1" x14ac:dyDescent="0.2">
      <c r="AR353" s="12"/>
      <c r="AS353" s="2"/>
      <c r="AT353" s="2"/>
      <c r="AU353" s="2"/>
      <c r="AV353" s="2"/>
      <c r="AW353" s="2"/>
      <c r="AX353" s="2"/>
      <c r="AY353" s="2"/>
      <c r="AZ353" s="2"/>
      <c r="BA353" s="2"/>
      <c r="BB353" s="2"/>
      <c r="BC353" s="2"/>
      <c r="BD353" s="2"/>
      <c r="BE353" s="2"/>
      <c r="BK353" s="2"/>
      <c r="BM353" s="2"/>
      <c r="BN353" s="2"/>
      <c r="BO353" s="2"/>
      <c r="BS353" s="11"/>
      <c r="BT353" s="2"/>
      <c r="BU353" s="3"/>
      <c r="BV353" s="3"/>
      <c r="BW353" s="2"/>
      <c r="BX353" s="2"/>
      <c r="BY353" s="2"/>
      <c r="BZ353" s="2"/>
      <c r="CA353" s="2"/>
      <c r="CB353" s="2"/>
      <c r="CC353" s="2"/>
      <c r="CD353" s="1"/>
      <c r="CE353" s="1"/>
      <c r="CF353" s="1"/>
      <c r="CG353" s="1"/>
      <c r="CH353" s="1"/>
      <c r="CI353" s="2"/>
      <c r="CJ353" s="2"/>
      <c r="CK353" s="2"/>
      <c r="CL353" s="2"/>
      <c r="CM353" s="2"/>
      <c r="CN353" s="2"/>
      <c r="CO353" s="2"/>
      <c r="CP353" s="2"/>
      <c r="CQ353" s="2"/>
      <c r="CR353" s="2"/>
      <c r="CS353" s="2"/>
      <c r="CT353" s="2"/>
      <c r="CU353" s="2"/>
      <c r="CV353" s="2"/>
      <c r="CW353" s="2"/>
      <c r="CX353" s="2"/>
      <c r="CY353" s="2"/>
      <c r="CZ353" s="2"/>
    </row>
    <row r="354" spans="44:104" ht="15" hidden="1" customHeight="1" x14ac:dyDescent="0.2">
      <c r="AR354" s="12"/>
      <c r="AS354" s="2"/>
      <c r="AT354" s="2"/>
      <c r="AU354" s="2"/>
      <c r="AV354" s="2"/>
      <c r="AW354" s="2"/>
      <c r="AX354" s="2"/>
      <c r="AY354" s="2"/>
      <c r="AZ354" s="2"/>
      <c r="BA354" s="2"/>
      <c r="BB354" s="2"/>
      <c r="BC354" s="2"/>
      <c r="BD354" s="2"/>
      <c r="BE354" s="2"/>
      <c r="BK354" s="2"/>
      <c r="BM354" s="2"/>
      <c r="BN354" s="2"/>
      <c r="BO354" s="2"/>
      <c r="BS354" s="11"/>
      <c r="BT354" s="2"/>
      <c r="BU354" s="3"/>
      <c r="BV354" s="3"/>
      <c r="BW354" s="2"/>
      <c r="BX354" s="2"/>
      <c r="BY354" s="2"/>
      <c r="BZ354" s="2"/>
      <c r="CA354" s="2"/>
      <c r="CB354" s="2"/>
      <c r="CC354" s="2"/>
      <c r="CD354" s="1"/>
      <c r="CE354" s="1"/>
      <c r="CF354" s="1"/>
      <c r="CG354" s="1"/>
      <c r="CH354" s="1"/>
      <c r="CI354" s="2"/>
      <c r="CJ354" s="2"/>
      <c r="CK354" s="2"/>
      <c r="CL354" s="2"/>
      <c r="CM354" s="2"/>
      <c r="CN354" s="2"/>
      <c r="CO354" s="2"/>
      <c r="CP354" s="2"/>
      <c r="CQ354" s="2"/>
      <c r="CR354" s="2"/>
      <c r="CS354" s="2"/>
      <c r="CT354" s="2"/>
      <c r="CU354" s="2"/>
      <c r="CV354" s="2"/>
      <c r="CW354" s="2"/>
      <c r="CX354" s="2"/>
      <c r="CY354" s="2"/>
      <c r="CZ354" s="2"/>
    </row>
    <row r="355" spans="44:104" ht="15" hidden="1" customHeight="1" x14ac:dyDescent="0.2">
      <c r="AR355" s="12"/>
      <c r="AS355" s="2"/>
      <c r="AT355" s="2"/>
      <c r="AU355" s="2"/>
      <c r="AV355" s="2"/>
      <c r="AW355" s="2"/>
      <c r="AX355" s="2"/>
      <c r="AY355" s="2"/>
      <c r="AZ355" s="2"/>
      <c r="BA355" s="2"/>
      <c r="BB355" s="2"/>
      <c r="BC355" s="2"/>
      <c r="BD355" s="2"/>
      <c r="BE355" s="2"/>
      <c r="BK355" s="2"/>
      <c r="BM355" s="2"/>
      <c r="BN355" s="2"/>
      <c r="BO355" s="2"/>
      <c r="BS355" s="11"/>
      <c r="BT355" s="2"/>
      <c r="BU355" s="3"/>
      <c r="BV355" s="3"/>
      <c r="BW355" s="2"/>
      <c r="BX355" s="2"/>
      <c r="BY355" s="2"/>
      <c r="BZ355" s="2"/>
      <c r="CA355" s="2"/>
      <c r="CB355" s="2"/>
      <c r="CC355" s="2"/>
      <c r="CD355" s="1"/>
      <c r="CE355" s="1"/>
      <c r="CF355" s="1"/>
      <c r="CG355" s="1"/>
      <c r="CH355" s="1"/>
      <c r="CI355" s="2"/>
      <c r="CJ355" s="2"/>
      <c r="CK355" s="2"/>
      <c r="CL355" s="2"/>
      <c r="CM355" s="2"/>
      <c r="CN355" s="2"/>
      <c r="CO355" s="2"/>
      <c r="CP355" s="2"/>
      <c r="CQ355" s="2"/>
      <c r="CR355" s="2"/>
      <c r="CS355" s="2"/>
      <c r="CT355" s="2"/>
      <c r="CU355" s="2"/>
      <c r="CV355" s="2"/>
      <c r="CW355" s="2"/>
      <c r="CX355" s="2"/>
      <c r="CY355" s="2"/>
      <c r="CZ355" s="2"/>
    </row>
    <row r="356" spans="44:104" ht="15" hidden="1" customHeight="1" x14ac:dyDescent="0.2">
      <c r="AR356" s="12"/>
      <c r="AS356" s="2"/>
      <c r="AT356" s="2"/>
      <c r="AU356" s="2"/>
      <c r="AV356" s="2"/>
      <c r="AW356" s="2"/>
      <c r="AX356" s="2"/>
      <c r="AY356" s="2"/>
      <c r="AZ356" s="2"/>
      <c r="BA356" s="2"/>
      <c r="BB356" s="2"/>
      <c r="BC356" s="2"/>
      <c r="BD356" s="2"/>
      <c r="BE356" s="2"/>
      <c r="BK356" s="2"/>
      <c r="BM356" s="2"/>
      <c r="BN356" s="2"/>
      <c r="BO356" s="2"/>
      <c r="BS356" s="11"/>
      <c r="BT356" s="2"/>
      <c r="BU356" s="3"/>
      <c r="BV356" s="3"/>
      <c r="BW356" s="2"/>
      <c r="BX356" s="2"/>
      <c r="BY356" s="2"/>
      <c r="BZ356" s="2"/>
      <c r="CA356" s="2"/>
      <c r="CB356" s="2"/>
      <c r="CC356" s="2"/>
      <c r="CD356" s="1"/>
      <c r="CE356" s="1"/>
      <c r="CF356" s="1"/>
      <c r="CG356" s="1"/>
      <c r="CH356" s="1"/>
      <c r="CI356" s="2"/>
      <c r="CJ356" s="2"/>
      <c r="CK356" s="2"/>
      <c r="CL356" s="2"/>
      <c r="CM356" s="2"/>
      <c r="CN356" s="2"/>
      <c r="CO356" s="2"/>
      <c r="CP356" s="2"/>
      <c r="CQ356" s="2"/>
      <c r="CR356" s="2"/>
      <c r="CS356" s="2"/>
      <c r="CT356" s="2"/>
      <c r="CU356" s="2"/>
      <c r="CV356" s="2"/>
      <c r="CW356" s="2"/>
      <c r="CX356" s="2"/>
      <c r="CY356" s="2"/>
      <c r="CZ356" s="2"/>
    </row>
    <row r="357" spans="44:104" ht="15" hidden="1" customHeight="1" x14ac:dyDescent="0.2">
      <c r="AR357" s="12"/>
      <c r="AS357" s="2"/>
      <c r="AT357" s="2"/>
      <c r="AU357" s="2"/>
      <c r="AV357" s="2"/>
      <c r="AW357" s="2"/>
      <c r="AX357" s="2"/>
      <c r="AY357" s="2"/>
      <c r="AZ357" s="2"/>
      <c r="BA357" s="2"/>
      <c r="BB357" s="2"/>
      <c r="BC357" s="2"/>
      <c r="BD357" s="2"/>
      <c r="BE357" s="2"/>
      <c r="BK357" s="2"/>
      <c r="BM357" s="2"/>
      <c r="BN357" s="2"/>
      <c r="BO357" s="2"/>
      <c r="BS357" s="11"/>
      <c r="BT357" s="2"/>
      <c r="BU357" s="3"/>
      <c r="BV357" s="3"/>
      <c r="BW357" s="2"/>
      <c r="BX357" s="2"/>
      <c r="BY357" s="2"/>
      <c r="BZ357" s="2"/>
      <c r="CA357" s="2"/>
      <c r="CB357" s="2"/>
      <c r="CC357" s="2"/>
      <c r="CD357" s="1"/>
      <c r="CE357" s="1"/>
      <c r="CF357" s="1"/>
      <c r="CG357" s="1"/>
      <c r="CH357" s="1"/>
      <c r="CI357" s="2"/>
      <c r="CJ357" s="2"/>
      <c r="CK357" s="2"/>
      <c r="CL357" s="2"/>
      <c r="CM357" s="2"/>
      <c r="CN357" s="2"/>
      <c r="CO357" s="2"/>
      <c r="CP357" s="2"/>
      <c r="CQ357" s="2"/>
      <c r="CR357" s="2"/>
      <c r="CS357" s="2"/>
      <c r="CT357" s="2"/>
      <c r="CU357" s="2"/>
      <c r="CV357" s="2"/>
      <c r="CW357" s="2"/>
      <c r="CX357" s="2"/>
      <c r="CY357" s="2"/>
      <c r="CZ357" s="2"/>
    </row>
    <row r="358" spans="44:104" ht="15" hidden="1" customHeight="1" x14ac:dyDescent="0.2">
      <c r="AR358" s="12"/>
      <c r="AS358" s="2"/>
      <c r="AT358" s="2"/>
      <c r="AU358" s="2"/>
      <c r="AV358" s="2"/>
      <c r="AW358" s="2"/>
      <c r="AX358" s="2"/>
      <c r="AY358" s="2"/>
      <c r="AZ358" s="2"/>
      <c r="BA358" s="2"/>
      <c r="BB358" s="2"/>
      <c r="BC358" s="2"/>
      <c r="BD358" s="2"/>
      <c r="BE358" s="2"/>
      <c r="BK358" s="2"/>
      <c r="BM358" s="2"/>
      <c r="BN358" s="2"/>
      <c r="BO358" s="2"/>
      <c r="BS358" s="11"/>
      <c r="BT358" s="2"/>
      <c r="BU358" s="3"/>
      <c r="BV358" s="3"/>
      <c r="BW358" s="2"/>
      <c r="BX358" s="2"/>
      <c r="BY358" s="2"/>
      <c r="BZ358" s="2"/>
      <c r="CA358" s="2"/>
      <c r="CB358" s="2"/>
      <c r="CC358" s="2"/>
      <c r="CD358" s="1"/>
      <c r="CE358" s="1"/>
      <c r="CF358" s="1"/>
      <c r="CG358" s="1"/>
      <c r="CH358" s="1"/>
      <c r="CI358" s="2"/>
      <c r="CJ358" s="2"/>
      <c r="CK358" s="2"/>
      <c r="CL358" s="2"/>
      <c r="CM358" s="2"/>
      <c r="CN358" s="2"/>
      <c r="CO358" s="2"/>
      <c r="CP358" s="2"/>
      <c r="CQ358" s="2"/>
      <c r="CR358" s="2"/>
      <c r="CS358" s="2"/>
      <c r="CT358" s="2"/>
      <c r="CU358" s="2"/>
      <c r="CV358" s="2"/>
      <c r="CW358" s="2"/>
      <c r="CX358" s="2"/>
      <c r="CY358" s="2"/>
      <c r="CZ358" s="2"/>
    </row>
    <row r="359" spans="44:104" ht="15" hidden="1" customHeight="1" x14ac:dyDescent="0.2">
      <c r="AR359" s="12"/>
      <c r="AS359" s="2"/>
      <c r="AT359" s="2"/>
      <c r="AU359" s="2"/>
      <c r="AV359" s="2"/>
      <c r="AW359" s="2"/>
      <c r="AX359" s="2"/>
      <c r="AY359" s="2"/>
      <c r="AZ359" s="2"/>
      <c r="BA359" s="2"/>
      <c r="BB359" s="2"/>
      <c r="BC359" s="2"/>
      <c r="BD359" s="2"/>
      <c r="BE359" s="2"/>
      <c r="BK359" s="2"/>
      <c r="BM359" s="2"/>
      <c r="BN359" s="2"/>
      <c r="BO359" s="2"/>
      <c r="BS359" s="11"/>
      <c r="BT359" s="2"/>
      <c r="BU359" s="3"/>
      <c r="BV359" s="3"/>
      <c r="BW359" s="2"/>
      <c r="BX359" s="2"/>
      <c r="BY359" s="2"/>
      <c r="BZ359" s="2"/>
      <c r="CA359" s="2"/>
      <c r="CB359" s="2"/>
      <c r="CC359" s="2"/>
      <c r="CD359" s="1"/>
      <c r="CE359" s="1"/>
      <c r="CF359" s="1"/>
      <c r="CG359" s="1"/>
      <c r="CH359" s="1"/>
      <c r="CI359" s="2"/>
      <c r="CJ359" s="2"/>
      <c r="CK359" s="2"/>
      <c r="CL359" s="2"/>
      <c r="CM359" s="2"/>
      <c r="CN359" s="2"/>
      <c r="CO359" s="2"/>
      <c r="CP359" s="2"/>
      <c r="CQ359" s="2"/>
      <c r="CR359" s="2"/>
      <c r="CS359" s="2"/>
      <c r="CT359" s="2"/>
      <c r="CU359" s="2"/>
      <c r="CV359" s="2"/>
      <c r="CW359" s="2"/>
      <c r="CX359" s="2"/>
      <c r="CY359" s="2"/>
      <c r="CZ359" s="2"/>
    </row>
    <row r="360" spans="44:104" ht="15" hidden="1" customHeight="1" x14ac:dyDescent="0.2">
      <c r="AR360" s="12"/>
      <c r="AS360" s="2"/>
      <c r="AT360" s="2"/>
      <c r="AU360" s="2"/>
      <c r="AV360" s="2"/>
      <c r="AW360" s="2"/>
      <c r="AX360" s="2"/>
      <c r="AY360" s="2"/>
      <c r="AZ360" s="2"/>
      <c r="BA360" s="2"/>
      <c r="BB360" s="2"/>
      <c r="BC360" s="2"/>
      <c r="BD360" s="2"/>
      <c r="BE360" s="2"/>
      <c r="BK360" s="2"/>
      <c r="BM360" s="2"/>
      <c r="BN360" s="2"/>
      <c r="BO360" s="2"/>
      <c r="BS360" s="11"/>
      <c r="BT360" s="2"/>
      <c r="BU360" s="3"/>
      <c r="BV360" s="3"/>
      <c r="BW360" s="2"/>
      <c r="BX360" s="2"/>
      <c r="BY360" s="2"/>
      <c r="BZ360" s="2"/>
      <c r="CA360" s="2"/>
      <c r="CB360" s="2"/>
      <c r="CC360" s="2"/>
      <c r="CD360" s="1"/>
      <c r="CE360" s="1"/>
      <c r="CF360" s="1"/>
      <c r="CG360" s="1"/>
      <c r="CH360" s="1"/>
      <c r="CI360" s="2"/>
      <c r="CJ360" s="2"/>
      <c r="CK360" s="2"/>
      <c r="CL360" s="2"/>
      <c r="CM360" s="2"/>
      <c r="CN360" s="2"/>
      <c r="CO360" s="2"/>
      <c r="CP360" s="2"/>
      <c r="CQ360" s="2"/>
      <c r="CR360" s="2"/>
      <c r="CS360" s="2"/>
      <c r="CT360" s="2"/>
      <c r="CU360" s="2"/>
      <c r="CV360" s="2"/>
      <c r="CW360" s="2"/>
      <c r="CX360" s="2"/>
      <c r="CY360" s="2"/>
      <c r="CZ360" s="2"/>
    </row>
    <row r="361" spans="44:104" ht="15" hidden="1" customHeight="1" x14ac:dyDescent="0.2">
      <c r="AR361" s="12"/>
      <c r="AS361" s="2"/>
      <c r="AT361" s="2"/>
      <c r="AU361" s="2"/>
      <c r="AV361" s="2"/>
      <c r="AW361" s="2"/>
      <c r="AX361" s="2"/>
      <c r="AY361" s="2"/>
      <c r="AZ361" s="2"/>
      <c r="BA361" s="2"/>
      <c r="BB361" s="2"/>
      <c r="BC361" s="2"/>
      <c r="BD361" s="2"/>
      <c r="BE361" s="2"/>
      <c r="BK361" s="2"/>
      <c r="BM361" s="2"/>
      <c r="BN361" s="2"/>
      <c r="BO361" s="2"/>
      <c r="BS361" s="11"/>
      <c r="BT361" s="2"/>
      <c r="BU361" s="3"/>
      <c r="BV361" s="3"/>
      <c r="BW361" s="2"/>
      <c r="BX361" s="2"/>
      <c r="BY361" s="2"/>
      <c r="BZ361" s="2"/>
      <c r="CA361" s="2"/>
      <c r="CB361" s="2"/>
      <c r="CC361" s="2"/>
      <c r="CD361" s="1"/>
      <c r="CE361" s="1"/>
      <c r="CF361" s="1"/>
      <c r="CG361" s="1"/>
      <c r="CH361" s="1"/>
      <c r="CI361" s="2"/>
      <c r="CJ361" s="2"/>
      <c r="CK361" s="2"/>
      <c r="CL361" s="2"/>
      <c r="CM361" s="2"/>
      <c r="CN361" s="2"/>
      <c r="CO361" s="2"/>
      <c r="CP361" s="2"/>
      <c r="CQ361" s="2"/>
      <c r="CR361" s="2"/>
      <c r="CS361" s="2"/>
      <c r="CT361" s="2"/>
      <c r="CU361" s="2"/>
      <c r="CV361" s="2"/>
      <c r="CW361" s="2"/>
      <c r="CX361" s="2"/>
      <c r="CY361" s="2"/>
      <c r="CZ361" s="2"/>
    </row>
    <row r="362" spans="44:104" ht="15" hidden="1" customHeight="1" x14ac:dyDescent="0.2">
      <c r="AR362" s="12"/>
      <c r="AS362" s="2"/>
      <c r="AT362" s="2"/>
      <c r="AU362" s="2"/>
      <c r="AV362" s="2"/>
      <c r="AW362" s="2"/>
      <c r="AX362" s="2"/>
      <c r="AY362" s="2"/>
      <c r="AZ362" s="2"/>
      <c r="BA362" s="2"/>
      <c r="BB362" s="2"/>
      <c r="BC362" s="2"/>
      <c r="BD362" s="2"/>
      <c r="BE362" s="2"/>
      <c r="BK362" s="2"/>
      <c r="BM362" s="2"/>
      <c r="BN362" s="2"/>
      <c r="BO362" s="2"/>
      <c r="BS362" s="11"/>
      <c r="BT362" s="2"/>
      <c r="BU362" s="3"/>
      <c r="BV362" s="3"/>
      <c r="BW362" s="2"/>
      <c r="BX362" s="2"/>
      <c r="BY362" s="2"/>
      <c r="BZ362" s="46"/>
      <c r="CA362" s="1"/>
      <c r="CB362" s="1"/>
      <c r="CC362" s="1"/>
      <c r="CD362" s="1"/>
      <c r="CE362" s="1"/>
      <c r="CF362" s="1"/>
      <c r="CG362" s="1"/>
      <c r="CH362" s="1"/>
      <c r="CI362" s="2"/>
      <c r="CJ362" s="2"/>
      <c r="CK362" s="2"/>
      <c r="CL362" s="2"/>
      <c r="CM362" s="2"/>
      <c r="CN362" s="2"/>
      <c r="CO362" s="2"/>
      <c r="CP362" s="2"/>
      <c r="CQ362" s="2"/>
      <c r="CR362" s="2"/>
      <c r="CS362" s="2"/>
      <c r="CT362" s="2"/>
      <c r="CU362" s="2"/>
      <c r="CV362" s="2"/>
      <c r="CW362" s="2"/>
      <c r="CX362" s="2"/>
      <c r="CY362" s="2"/>
      <c r="CZ362" s="2"/>
    </row>
    <row r="363" spans="44:104" ht="15" hidden="1" customHeight="1" x14ac:dyDescent="0.2">
      <c r="AR363" s="12"/>
      <c r="AS363" s="2"/>
      <c r="AT363" s="2"/>
      <c r="AU363" s="2"/>
      <c r="AV363" s="2"/>
      <c r="AW363" s="2"/>
      <c r="AX363" s="2"/>
      <c r="AY363" s="2"/>
      <c r="AZ363" s="2"/>
      <c r="BA363" s="2"/>
      <c r="BB363" s="2"/>
      <c r="BC363" s="2"/>
      <c r="BD363" s="2"/>
      <c r="BE363" s="2"/>
      <c r="BK363" s="2"/>
      <c r="BM363" s="2"/>
      <c r="BN363" s="2"/>
      <c r="BO363" s="2"/>
      <c r="BS363" s="11"/>
      <c r="BT363" s="2"/>
      <c r="BU363" s="3"/>
      <c r="BV363" s="3"/>
      <c r="BW363" s="2"/>
      <c r="BX363" s="2"/>
      <c r="BY363" s="2"/>
      <c r="BZ363" s="2"/>
      <c r="CA363" s="2"/>
      <c r="CB363" s="2"/>
      <c r="CC363" s="2"/>
      <c r="CD363" s="1"/>
      <c r="CE363" s="1"/>
      <c r="CF363" s="1"/>
      <c r="CG363" s="1"/>
      <c r="CH363" s="1"/>
      <c r="CI363" s="2"/>
      <c r="CJ363" s="2"/>
      <c r="CK363" s="2"/>
      <c r="CL363" s="2"/>
      <c r="CM363" s="2"/>
      <c r="CN363" s="2"/>
      <c r="CO363" s="2"/>
      <c r="CP363" s="2"/>
      <c r="CQ363" s="2"/>
      <c r="CR363" s="2"/>
      <c r="CS363" s="2"/>
      <c r="CT363" s="2"/>
      <c r="CU363" s="2"/>
      <c r="CV363" s="2"/>
      <c r="CW363" s="2"/>
      <c r="CX363" s="2"/>
      <c r="CY363" s="2"/>
      <c r="CZ363" s="2"/>
    </row>
    <row r="364" spans="44:104" ht="15" hidden="1" customHeight="1" x14ac:dyDescent="0.2">
      <c r="AR364" s="12"/>
      <c r="AS364" s="2"/>
      <c r="AT364" s="2"/>
      <c r="AU364" s="2"/>
      <c r="AV364" s="2"/>
      <c r="AW364" s="2"/>
      <c r="AX364" s="2"/>
      <c r="AY364" s="2"/>
      <c r="AZ364" s="2"/>
      <c r="BA364" s="2"/>
      <c r="BB364" s="2"/>
      <c r="BC364" s="2"/>
      <c r="BD364" s="2"/>
      <c r="BE364" s="2"/>
      <c r="BK364" s="2"/>
      <c r="BM364" s="2"/>
      <c r="BN364" s="2"/>
      <c r="BO364" s="2"/>
      <c r="BS364" s="11"/>
      <c r="BT364" s="2"/>
      <c r="BU364" s="3"/>
      <c r="BV364" s="3"/>
      <c r="BW364" s="2"/>
      <c r="BX364" s="2"/>
      <c r="BY364" s="2"/>
      <c r="BZ364" s="2"/>
      <c r="CA364" s="2"/>
      <c r="CB364" s="2"/>
      <c r="CC364" s="2"/>
      <c r="CD364" s="1"/>
      <c r="CE364" s="1"/>
      <c r="CF364" s="1"/>
      <c r="CG364" s="1"/>
      <c r="CH364" s="1"/>
      <c r="CI364" s="2"/>
      <c r="CJ364" s="2"/>
      <c r="CK364" s="2"/>
      <c r="CL364" s="2"/>
      <c r="CM364" s="2"/>
      <c r="CN364" s="2"/>
      <c r="CO364" s="2"/>
      <c r="CP364" s="2"/>
      <c r="CQ364" s="2"/>
      <c r="CR364" s="2"/>
      <c r="CS364" s="2"/>
      <c r="CT364" s="2"/>
      <c r="CU364" s="2"/>
      <c r="CV364" s="2"/>
      <c r="CW364" s="2"/>
      <c r="CX364" s="2"/>
      <c r="CY364" s="2"/>
      <c r="CZ364" s="2"/>
    </row>
    <row r="365" spans="44:104" ht="15" hidden="1" customHeight="1" x14ac:dyDescent="0.2">
      <c r="AR365" s="2"/>
      <c r="AS365" s="2"/>
      <c r="AT365" s="2"/>
      <c r="AU365" s="2"/>
      <c r="AV365" s="2"/>
      <c r="AW365" s="2"/>
      <c r="AX365" s="2"/>
      <c r="AY365" s="2"/>
      <c r="AZ365" s="2"/>
      <c r="BA365" s="2"/>
      <c r="BB365" s="2"/>
      <c r="BC365" s="2"/>
      <c r="BD365" s="2"/>
      <c r="BE365" s="2"/>
      <c r="BK365" s="2"/>
      <c r="BM365" s="2"/>
      <c r="BN365" s="2"/>
      <c r="BO365" s="2"/>
      <c r="BS365" s="11"/>
      <c r="BT365" s="2"/>
      <c r="BU365" s="3"/>
      <c r="BV365" s="3"/>
      <c r="BW365" s="2"/>
      <c r="BX365" s="2"/>
      <c r="BY365" s="2"/>
      <c r="BZ365" s="2"/>
      <c r="CA365" s="2"/>
      <c r="CB365" s="2"/>
      <c r="CC365" s="2"/>
      <c r="CD365" s="1"/>
      <c r="CE365" s="1"/>
      <c r="CF365" s="1"/>
      <c r="CG365" s="1"/>
      <c r="CH365" s="1"/>
      <c r="CI365" s="2"/>
      <c r="CJ365" s="2"/>
      <c r="CK365" s="2"/>
      <c r="CL365" s="2"/>
      <c r="CM365" s="2"/>
      <c r="CN365" s="2"/>
      <c r="CO365" s="2"/>
      <c r="CP365" s="2"/>
      <c r="CQ365" s="2"/>
      <c r="CR365" s="2"/>
      <c r="CS365" s="2"/>
      <c r="CT365" s="2"/>
      <c r="CU365" s="2"/>
      <c r="CV365" s="2"/>
      <c r="CW365" s="2"/>
      <c r="CX365" s="2"/>
      <c r="CY365" s="2"/>
      <c r="CZ365" s="2"/>
    </row>
    <row r="366" spans="44:104" ht="15" hidden="1" customHeight="1" x14ac:dyDescent="0.2">
      <c r="AR366" s="2"/>
      <c r="AS366" s="2"/>
      <c r="AT366" s="2"/>
      <c r="AU366" s="2"/>
      <c r="AV366" s="2"/>
      <c r="AW366" s="2"/>
      <c r="AX366" s="2"/>
      <c r="AY366" s="2"/>
      <c r="AZ366" s="2"/>
      <c r="BA366" s="2"/>
      <c r="BB366" s="2"/>
      <c r="BC366" s="2"/>
      <c r="BD366" s="2"/>
      <c r="BE366" s="2"/>
      <c r="BK366" s="2"/>
      <c r="BM366" s="2"/>
      <c r="BN366" s="2"/>
      <c r="BO366" s="2"/>
      <c r="BS366" s="11"/>
      <c r="BT366" s="2"/>
      <c r="BU366" s="3"/>
      <c r="BV366" s="3"/>
      <c r="BW366" s="2"/>
      <c r="BX366" s="2"/>
      <c r="BY366" s="2"/>
      <c r="BZ366" s="2"/>
      <c r="CA366" s="2"/>
      <c r="CB366" s="2"/>
      <c r="CC366" s="2"/>
      <c r="CD366" s="1"/>
      <c r="CE366" s="1"/>
      <c r="CF366" s="1"/>
      <c r="CG366" s="1"/>
      <c r="CH366" s="1"/>
      <c r="CI366" s="2"/>
      <c r="CJ366" s="2"/>
      <c r="CK366" s="2"/>
      <c r="CL366" s="2"/>
      <c r="CM366" s="2"/>
      <c r="CN366" s="2"/>
      <c r="CO366" s="2"/>
      <c r="CP366" s="2"/>
      <c r="CQ366" s="2"/>
      <c r="CR366" s="2"/>
      <c r="CS366" s="2"/>
      <c r="CT366" s="2"/>
      <c r="CU366" s="2"/>
      <c r="CV366" s="2"/>
      <c r="CW366" s="2"/>
      <c r="CX366" s="2"/>
      <c r="CY366" s="2"/>
      <c r="CZ366" s="2"/>
    </row>
    <row r="367" spans="44:104" ht="15" hidden="1" customHeight="1" x14ac:dyDescent="0.2">
      <c r="AR367" s="2"/>
      <c r="AS367" s="2"/>
      <c r="AT367" s="2"/>
      <c r="AU367" s="2"/>
      <c r="AV367" s="2"/>
      <c r="AW367" s="2"/>
      <c r="AX367" s="2"/>
      <c r="AY367" s="2"/>
      <c r="AZ367" s="2"/>
      <c r="BA367" s="2"/>
      <c r="BB367" s="2"/>
      <c r="BC367" s="2"/>
      <c r="BD367" s="2"/>
      <c r="BE367" s="2"/>
      <c r="BK367" s="2"/>
      <c r="BM367" s="2"/>
      <c r="BN367" s="2"/>
      <c r="BO367" s="2"/>
      <c r="BS367" s="11"/>
      <c r="BT367" s="2"/>
      <c r="BU367" s="3"/>
      <c r="BV367" s="3"/>
      <c r="BW367" s="2"/>
      <c r="BX367" s="2"/>
      <c r="BY367" s="2"/>
      <c r="BZ367" s="2"/>
      <c r="CA367" s="2"/>
      <c r="CB367" s="2"/>
      <c r="CC367" s="2"/>
      <c r="CD367" s="1"/>
      <c r="CE367" s="1"/>
      <c r="CF367" s="1"/>
      <c r="CG367" s="1"/>
      <c r="CH367" s="1"/>
      <c r="CI367" s="2"/>
      <c r="CJ367" s="2"/>
      <c r="CK367" s="2"/>
      <c r="CL367" s="2"/>
      <c r="CM367" s="2"/>
      <c r="CN367" s="2"/>
      <c r="CO367" s="2"/>
      <c r="CP367" s="2"/>
      <c r="CQ367" s="2"/>
      <c r="CR367" s="2"/>
      <c r="CS367" s="2"/>
      <c r="CT367" s="2"/>
      <c r="CU367" s="2"/>
      <c r="CV367" s="2"/>
      <c r="CW367" s="2"/>
      <c r="CX367" s="2"/>
      <c r="CY367" s="2"/>
      <c r="CZ367" s="2"/>
    </row>
    <row r="368" spans="44:104" ht="15" hidden="1" customHeight="1" x14ac:dyDescent="0.2">
      <c r="AR368" s="2"/>
      <c r="AS368" s="2"/>
      <c r="AT368" s="2"/>
      <c r="AU368" s="2"/>
      <c r="AV368" s="2"/>
      <c r="AW368" s="2"/>
      <c r="AX368" s="2"/>
      <c r="AY368" s="2"/>
      <c r="AZ368" s="2"/>
      <c r="BA368" s="2"/>
      <c r="BB368" s="2"/>
      <c r="BC368" s="2"/>
      <c r="BD368" s="2"/>
      <c r="BE368" s="2"/>
      <c r="BK368" s="2"/>
      <c r="BM368" s="2"/>
      <c r="BN368" s="2"/>
      <c r="BO368" s="2"/>
      <c r="BS368" s="11"/>
      <c r="BT368" s="2"/>
      <c r="BU368" s="3"/>
      <c r="BV368" s="3"/>
      <c r="BW368" s="2"/>
      <c r="BX368" s="2"/>
      <c r="BY368" s="2"/>
      <c r="BZ368" s="2"/>
      <c r="CA368" s="2"/>
      <c r="CB368" s="2"/>
      <c r="CC368" s="2"/>
      <c r="CD368" s="1"/>
      <c r="CE368" s="1"/>
      <c r="CF368" s="1"/>
      <c r="CG368" s="1"/>
      <c r="CH368" s="1"/>
      <c r="CI368" s="2"/>
      <c r="CJ368" s="2"/>
      <c r="CK368" s="2"/>
      <c r="CL368" s="2"/>
      <c r="CM368" s="2"/>
      <c r="CN368" s="2"/>
      <c r="CO368" s="2"/>
      <c r="CP368" s="2"/>
      <c r="CQ368" s="2"/>
      <c r="CR368" s="2"/>
      <c r="CS368" s="2"/>
      <c r="CT368" s="2"/>
      <c r="CU368" s="2"/>
      <c r="CV368" s="2"/>
      <c r="CW368" s="2"/>
      <c r="CX368" s="2"/>
      <c r="CY368" s="2"/>
      <c r="CZ368" s="2"/>
    </row>
    <row r="369" spans="44:104" ht="15" hidden="1" customHeight="1" x14ac:dyDescent="0.2">
      <c r="AR369" s="2"/>
      <c r="AS369" s="2"/>
      <c r="AT369" s="2"/>
      <c r="AU369" s="2"/>
      <c r="AV369" s="2"/>
      <c r="AW369" s="2"/>
      <c r="AX369" s="2"/>
      <c r="AY369" s="2"/>
      <c r="AZ369" s="2"/>
      <c r="BA369" s="2"/>
      <c r="BB369" s="2"/>
      <c r="BC369" s="2"/>
      <c r="BD369" s="2"/>
      <c r="BE369" s="2"/>
      <c r="BK369" s="2"/>
      <c r="BM369" s="2"/>
      <c r="BN369" s="2"/>
      <c r="BO369" s="2"/>
      <c r="BS369" s="11"/>
      <c r="BT369" s="2"/>
      <c r="BU369" s="3"/>
      <c r="BV369" s="3"/>
      <c r="BW369" s="2"/>
      <c r="BX369" s="2"/>
      <c r="BY369" s="2"/>
      <c r="BZ369" s="2"/>
      <c r="CA369" s="2"/>
      <c r="CB369" s="2"/>
      <c r="CC369" s="2"/>
      <c r="CD369" s="1"/>
      <c r="CE369" s="1"/>
      <c r="CF369" s="1"/>
      <c r="CG369" s="1"/>
      <c r="CH369" s="1"/>
      <c r="CI369" s="2"/>
      <c r="CJ369" s="2"/>
      <c r="CK369" s="2"/>
      <c r="CL369" s="2"/>
      <c r="CM369" s="2"/>
      <c r="CN369" s="2"/>
      <c r="CO369" s="2"/>
      <c r="CP369" s="2"/>
      <c r="CQ369" s="2"/>
      <c r="CR369" s="2"/>
      <c r="CS369" s="2"/>
      <c r="CT369" s="2"/>
      <c r="CU369" s="2"/>
      <c r="CV369" s="2"/>
      <c r="CW369" s="2"/>
      <c r="CX369" s="2"/>
      <c r="CY369" s="2"/>
      <c r="CZ369" s="2"/>
    </row>
    <row r="370" spans="44:104" ht="15" hidden="1" customHeight="1" x14ac:dyDescent="0.2">
      <c r="AR370" s="2"/>
      <c r="AS370" s="2"/>
      <c r="AT370" s="2"/>
      <c r="AU370" s="2"/>
      <c r="AV370" s="2"/>
      <c r="AW370" s="2"/>
      <c r="AX370" s="2"/>
      <c r="AY370" s="2"/>
      <c r="AZ370" s="2"/>
      <c r="BA370" s="2"/>
      <c r="BB370" s="2"/>
      <c r="BC370" s="2"/>
      <c r="BD370" s="2"/>
      <c r="BE370" s="2"/>
      <c r="BK370" s="2"/>
      <c r="BM370" s="2"/>
      <c r="BN370" s="2"/>
      <c r="BO370" s="2"/>
      <c r="BS370" s="11"/>
      <c r="BT370" s="2"/>
      <c r="BU370" s="3"/>
      <c r="BV370" s="3"/>
      <c r="BW370" s="2"/>
      <c r="BX370" s="2"/>
      <c r="BY370" s="2"/>
      <c r="BZ370" s="2"/>
      <c r="CA370" s="2"/>
      <c r="CB370" s="2"/>
      <c r="CC370" s="2"/>
      <c r="CD370" s="1"/>
      <c r="CE370" s="1"/>
      <c r="CF370" s="1"/>
      <c r="CG370" s="1"/>
      <c r="CH370" s="1"/>
      <c r="CI370" s="2"/>
      <c r="CJ370" s="2"/>
      <c r="CK370" s="2"/>
      <c r="CL370" s="2"/>
      <c r="CM370" s="2"/>
      <c r="CN370" s="2"/>
      <c r="CO370" s="2"/>
      <c r="CP370" s="2"/>
      <c r="CQ370" s="2"/>
      <c r="CR370" s="2"/>
      <c r="CS370" s="2"/>
      <c r="CT370" s="2"/>
      <c r="CU370" s="2"/>
      <c r="CV370" s="2"/>
      <c r="CW370" s="2"/>
      <c r="CX370" s="2"/>
      <c r="CY370" s="2"/>
      <c r="CZ370" s="2"/>
    </row>
    <row r="371" spans="44:104" ht="15" hidden="1" customHeight="1" x14ac:dyDescent="0.2">
      <c r="AR371" s="2"/>
      <c r="AS371" s="2"/>
      <c r="AT371" s="2"/>
      <c r="AU371" s="2"/>
      <c r="AV371" s="2"/>
      <c r="AW371" s="2"/>
      <c r="AX371" s="2"/>
      <c r="AY371" s="2"/>
      <c r="AZ371" s="2"/>
      <c r="BA371" s="2"/>
      <c r="BB371" s="2"/>
      <c r="BC371" s="2"/>
      <c r="BD371" s="2"/>
      <c r="BE371" s="2"/>
      <c r="BK371" s="2"/>
      <c r="BM371" s="2"/>
      <c r="BN371" s="2"/>
      <c r="BO371" s="2"/>
      <c r="BS371" s="11"/>
      <c r="BT371" s="2"/>
      <c r="BU371" s="3"/>
      <c r="BV371" s="3"/>
      <c r="BW371" s="2"/>
      <c r="BX371" s="2"/>
      <c r="BY371" s="2"/>
      <c r="BZ371" s="2"/>
      <c r="CA371" s="2"/>
      <c r="CB371" s="2"/>
      <c r="CC371" s="2"/>
      <c r="CD371" s="1"/>
      <c r="CE371" s="1"/>
      <c r="CF371" s="1"/>
      <c r="CG371" s="1"/>
      <c r="CH371" s="1"/>
      <c r="CI371" s="2"/>
      <c r="CJ371" s="2"/>
      <c r="CK371" s="2"/>
      <c r="CL371" s="2"/>
      <c r="CM371" s="2"/>
      <c r="CN371" s="2"/>
      <c r="CO371" s="2"/>
      <c r="CP371" s="2"/>
      <c r="CQ371" s="2"/>
      <c r="CR371" s="2"/>
      <c r="CS371" s="2"/>
      <c r="CT371" s="2"/>
      <c r="CU371" s="2"/>
      <c r="CV371" s="2"/>
      <c r="CW371" s="2"/>
      <c r="CX371" s="2"/>
      <c r="CY371" s="2"/>
      <c r="CZ371" s="2"/>
    </row>
    <row r="372" spans="44:104" ht="15" hidden="1" customHeight="1" x14ac:dyDescent="0.2">
      <c r="AR372" s="2"/>
      <c r="AS372" s="2"/>
      <c r="AT372" s="2"/>
      <c r="AU372" s="2"/>
      <c r="AV372" s="2"/>
      <c r="AW372" s="2"/>
      <c r="AX372" s="2"/>
      <c r="AY372" s="2"/>
      <c r="AZ372" s="2"/>
      <c r="BA372" s="2"/>
      <c r="BB372" s="2"/>
      <c r="BC372" s="2"/>
      <c r="BD372" s="2"/>
      <c r="BE372" s="2"/>
      <c r="BK372" s="2"/>
      <c r="BM372" s="2"/>
      <c r="BN372" s="2"/>
      <c r="BO372" s="2"/>
      <c r="BS372" s="11"/>
      <c r="BT372" s="2"/>
      <c r="BU372" s="3"/>
      <c r="BV372" s="3"/>
      <c r="BW372" s="2"/>
      <c r="BX372" s="2"/>
      <c r="BY372" s="2"/>
      <c r="BZ372" s="46"/>
      <c r="CA372" s="1"/>
      <c r="CB372" s="1"/>
      <c r="CC372" s="1"/>
      <c r="CD372" s="1"/>
      <c r="CE372" s="1"/>
      <c r="CF372" s="1"/>
      <c r="CG372" s="1"/>
      <c r="CH372" s="1"/>
      <c r="CI372" s="2"/>
      <c r="CJ372" s="2"/>
      <c r="CK372" s="2"/>
      <c r="CL372" s="2"/>
      <c r="CM372" s="2"/>
      <c r="CN372" s="2"/>
      <c r="CO372" s="2"/>
      <c r="CP372" s="2"/>
      <c r="CQ372" s="2"/>
      <c r="CR372" s="2"/>
      <c r="CS372" s="2"/>
      <c r="CT372" s="2"/>
      <c r="CU372" s="2"/>
      <c r="CV372" s="2"/>
      <c r="CW372" s="2"/>
      <c r="CX372" s="2"/>
      <c r="CY372" s="2"/>
      <c r="CZ372" s="2"/>
    </row>
    <row r="373" spans="44:104" ht="15" hidden="1" customHeight="1" x14ac:dyDescent="0.2">
      <c r="AR373" s="2"/>
      <c r="AS373" s="2"/>
      <c r="AT373" s="2"/>
      <c r="AU373" s="2"/>
      <c r="AV373" s="2"/>
      <c r="AW373" s="2"/>
      <c r="AX373" s="2"/>
      <c r="AY373" s="2"/>
      <c r="AZ373" s="2"/>
      <c r="BA373" s="2"/>
      <c r="BB373" s="2"/>
      <c r="BC373" s="2"/>
      <c r="BD373" s="2"/>
      <c r="BE373" s="2"/>
      <c r="BK373" s="2"/>
      <c r="BM373" s="2"/>
      <c r="BN373" s="2"/>
      <c r="BO373" s="2"/>
      <c r="BS373" s="11"/>
      <c r="BT373" s="2"/>
      <c r="BU373" s="3"/>
      <c r="BV373" s="3"/>
      <c r="BW373" s="2"/>
      <c r="BX373" s="2"/>
      <c r="BY373" s="2"/>
      <c r="BZ373" s="2"/>
      <c r="CA373" s="2"/>
      <c r="CB373" s="2"/>
      <c r="CC373" s="2"/>
      <c r="CD373" s="1"/>
      <c r="CE373" s="1"/>
      <c r="CF373" s="1"/>
      <c r="CG373" s="1"/>
      <c r="CH373" s="1"/>
      <c r="CI373" s="2"/>
      <c r="CJ373" s="2"/>
      <c r="CK373" s="2"/>
      <c r="CL373" s="2"/>
      <c r="CM373" s="2"/>
      <c r="CN373" s="2"/>
      <c r="CO373" s="2"/>
      <c r="CP373" s="2"/>
      <c r="CQ373" s="2"/>
      <c r="CR373" s="2"/>
      <c r="CS373" s="2"/>
      <c r="CT373" s="2"/>
      <c r="CU373" s="2"/>
      <c r="CV373" s="2"/>
      <c r="CW373" s="2"/>
      <c r="CX373" s="2"/>
      <c r="CY373" s="2"/>
      <c r="CZ373" s="2"/>
    </row>
    <row r="374" spans="44:104" ht="15" hidden="1" customHeight="1" x14ac:dyDescent="0.2">
      <c r="AR374" s="2"/>
      <c r="AS374" s="2"/>
      <c r="AT374" s="2"/>
      <c r="AU374" s="2"/>
      <c r="AV374" s="2"/>
      <c r="AW374" s="2"/>
      <c r="AX374" s="2"/>
      <c r="AY374" s="2"/>
      <c r="AZ374" s="2"/>
      <c r="BA374" s="2"/>
      <c r="BB374" s="2"/>
      <c r="BC374" s="2"/>
      <c r="BD374" s="2"/>
      <c r="BE374" s="2"/>
      <c r="BK374" s="2"/>
      <c r="BM374" s="2"/>
      <c r="BN374" s="2"/>
      <c r="BO374" s="2"/>
      <c r="BS374" s="11"/>
      <c r="BT374" s="2"/>
      <c r="BU374" s="3"/>
      <c r="BV374" s="3"/>
      <c r="BW374" s="2"/>
      <c r="BX374" s="2"/>
      <c r="BY374" s="2"/>
      <c r="BZ374" s="2"/>
      <c r="CA374" s="2"/>
      <c r="CB374" s="2"/>
      <c r="CC374" s="2"/>
      <c r="CD374" s="1"/>
      <c r="CE374" s="1"/>
      <c r="CF374" s="1"/>
      <c r="CG374" s="1"/>
      <c r="CH374" s="1"/>
      <c r="CI374" s="2"/>
      <c r="CJ374" s="2"/>
      <c r="CK374" s="2"/>
      <c r="CL374" s="2"/>
      <c r="CM374" s="2"/>
      <c r="CN374" s="2"/>
      <c r="CO374" s="2"/>
      <c r="CP374" s="2"/>
      <c r="CQ374" s="2"/>
      <c r="CR374" s="2"/>
      <c r="CS374" s="2"/>
      <c r="CT374" s="2"/>
      <c r="CU374" s="2"/>
      <c r="CV374" s="2"/>
      <c r="CW374" s="2"/>
      <c r="CX374" s="2"/>
      <c r="CY374" s="2"/>
      <c r="CZ374" s="2"/>
    </row>
    <row r="375" spans="44:104" ht="15" hidden="1" customHeight="1" x14ac:dyDescent="0.2">
      <c r="AR375" s="2"/>
      <c r="AS375" s="2"/>
      <c r="AT375" s="2"/>
      <c r="AU375" s="2"/>
      <c r="AV375" s="2"/>
      <c r="AW375" s="2"/>
      <c r="AX375" s="2"/>
      <c r="AY375" s="2"/>
      <c r="AZ375" s="2"/>
      <c r="BA375" s="2"/>
      <c r="BB375" s="2"/>
      <c r="BC375" s="2"/>
      <c r="BD375" s="2"/>
      <c r="BE375" s="2"/>
      <c r="BK375" s="2"/>
      <c r="BM375" s="2"/>
      <c r="BN375" s="2"/>
      <c r="BO375" s="2"/>
      <c r="BS375" s="11"/>
      <c r="BT375" s="2"/>
      <c r="BU375" s="3"/>
      <c r="BV375" s="3"/>
      <c r="BW375" s="2"/>
      <c r="BX375" s="2"/>
      <c r="BY375" s="2"/>
      <c r="BZ375" s="2"/>
      <c r="CA375" s="2"/>
      <c r="CB375" s="2"/>
      <c r="CC375" s="2"/>
      <c r="CD375" s="1"/>
      <c r="CE375" s="1"/>
      <c r="CF375" s="1"/>
      <c r="CG375" s="1"/>
      <c r="CH375" s="1"/>
      <c r="CI375" s="2"/>
      <c r="CJ375" s="2"/>
      <c r="CK375" s="2"/>
      <c r="CL375" s="2"/>
      <c r="CM375" s="2"/>
      <c r="CN375" s="2"/>
      <c r="CO375" s="2"/>
      <c r="CP375" s="2"/>
      <c r="CQ375" s="2"/>
      <c r="CR375" s="2"/>
      <c r="CS375" s="2"/>
      <c r="CT375" s="2"/>
      <c r="CU375" s="2"/>
      <c r="CV375" s="2"/>
      <c r="CW375" s="2"/>
      <c r="CX375" s="2"/>
      <c r="CY375" s="2"/>
      <c r="CZ375" s="2"/>
    </row>
    <row r="376" spans="44:104" ht="15" hidden="1" customHeight="1" x14ac:dyDescent="0.2">
      <c r="AR376" s="2"/>
      <c r="AS376" s="2"/>
      <c r="AT376" s="2"/>
      <c r="AU376" s="2"/>
      <c r="AV376" s="2"/>
      <c r="AW376" s="2"/>
      <c r="AX376" s="2"/>
      <c r="AY376" s="2"/>
      <c r="AZ376" s="2"/>
      <c r="BA376" s="2"/>
      <c r="BB376" s="2"/>
      <c r="BC376" s="2"/>
      <c r="BD376" s="2"/>
      <c r="BE376" s="2"/>
      <c r="BK376" s="2"/>
      <c r="BM376" s="2"/>
      <c r="BN376" s="2"/>
      <c r="BO376" s="2"/>
      <c r="BS376" s="11"/>
      <c r="BT376" s="2"/>
      <c r="BU376" s="3"/>
      <c r="BV376" s="3"/>
      <c r="BW376" s="2"/>
      <c r="BX376" s="2"/>
      <c r="BY376" s="2"/>
      <c r="BZ376" s="2"/>
      <c r="CA376" s="2"/>
      <c r="CB376" s="2"/>
      <c r="CC376" s="2"/>
      <c r="CD376" s="1"/>
      <c r="CE376" s="1"/>
      <c r="CF376" s="1"/>
      <c r="CG376" s="1"/>
      <c r="CH376" s="1"/>
      <c r="CI376" s="2"/>
      <c r="CJ376" s="2"/>
      <c r="CK376" s="2"/>
      <c r="CL376" s="2"/>
      <c r="CM376" s="2"/>
      <c r="CN376" s="2"/>
      <c r="CO376" s="2"/>
      <c r="CP376" s="2"/>
      <c r="CQ376" s="2"/>
      <c r="CR376" s="2"/>
      <c r="CS376" s="2"/>
      <c r="CT376" s="2"/>
      <c r="CU376" s="2"/>
      <c r="CV376" s="2"/>
      <c r="CW376" s="2"/>
      <c r="CX376" s="2"/>
      <c r="CY376" s="2"/>
      <c r="CZ376" s="2"/>
    </row>
    <row r="377" spans="44:104" ht="15" hidden="1" customHeight="1" x14ac:dyDescent="0.2">
      <c r="AR377" s="2"/>
      <c r="AS377" s="2"/>
      <c r="AT377" s="2"/>
      <c r="AU377" s="2"/>
      <c r="AV377" s="2"/>
      <c r="AW377" s="2"/>
      <c r="AX377" s="2"/>
      <c r="AY377" s="2"/>
      <c r="AZ377" s="2"/>
      <c r="BA377" s="2"/>
      <c r="BB377" s="2"/>
      <c r="BC377" s="2"/>
      <c r="BD377" s="2"/>
      <c r="BE377" s="2"/>
      <c r="BK377" s="2"/>
      <c r="BM377" s="2"/>
      <c r="BN377" s="2"/>
      <c r="BO377" s="2"/>
      <c r="BS377" s="11"/>
      <c r="BT377" s="2"/>
      <c r="BU377" s="3"/>
      <c r="BV377" s="3"/>
      <c r="BW377" s="2"/>
      <c r="BX377" s="2"/>
      <c r="BY377" s="2"/>
      <c r="BZ377" s="2"/>
      <c r="CA377" s="2"/>
      <c r="CB377" s="2"/>
      <c r="CC377" s="2"/>
      <c r="CD377" s="1"/>
      <c r="CE377" s="1"/>
      <c r="CF377" s="1"/>
      <c r="CG377" s="1"/>
      <c r="CH377" s="1"/>
      <c r="CI377" s="2"/>
      <c r="CJ377" s="2"/>
      <c r="CK377" s="2"/>
      <c r="CL377" s="2"/>
      <c r="CM377" s="2"/>
      <c r="CN377" s="2"/>
      <c r="CO377" s="2"/>
      <c r="CP377" s="2"/>
      <c r="CQ377" s="2"/>
      <c r="CR377" s="2"/>
      <c r="CS377" s="2"/>
      <c r="CT377" s="2"/>
      <c r="CU377" s="2"/>
      <c r="CV377" s="2"/>
      <c r="CW377" s="2"/>
      <c r="CX377" s="2"/>
      <c r="CY377" s="2"/>
      <c r="CZ377" s="2"/>
    </row>
    <row r="378" spans="44:104" ht="15" hidden="1" customHeight="1" x14ac:dyDescent="0.2">
      <c r="AR378" s="2"/>
      <c r="AS378" s="2"/>
      <c r="AT378" s="2"/>
      <c r="AU378" s="2"/>
      <c r="AV378" s="2"/>
      <c r="AW378" s="2"/>
      <c r="AX378" s="2"/>
      <c r="AY378" s="2"/>
      <c r="AZ378" s="2"/>
      <c r="BA378" s="2"/>
      <c r="BB378" s="2"/>
      <c r="BC378" s="2"/>
      <c r="BD378" s="2"/>
      <c r="BE378" s="2"/>
      <c r="BK378" s="2"/>
      <c r="BM378" s="2"/>
      <c r="BN378" s="2"/>
      <c r="BO378" s="2"/>
      <c r="BS378" s="11"/>
      <c r="BT378" s="2"/>
      <c r="BU378" s="3"/>
      <c r="BV378" s="3"/>
      <c r="BW378" s="2"/>
      <c r="BX378" s="2"/>
      <c r="BY378" s="2"/>
      <c r="BZ378" s="2"/>
      <c r="CA378" s="2"/>
      <c r="CB378" s="2"/>
      <c r="CC378" s="2"/>
      <c r="CD378" s="1"/>
      <c r="CE378" s="1"/>
      <c r="CF378" s="1"/>
      <c r="CG378" s="1"/>
      <c r="CH378" s="1"/>
      <c r="CI378" s="2"/>
      <c r="CJ378" s="2"/>
      <c r="CK378" s="2"/>
      <c r="CL378" s="2"/>
      <c r="CM378" s="2"/>
      <c r="CN378" s="2"/>
      <c r="CO378" s="2"/>
      <c r="CP378" s="2"/>
      <c r="CQ378" s="2"/>
      <c r="CR378" s="2"/>
      <c r="CS378" s="2"/>
      <c r="CT378" s="2"/>
      <c r="CU378" s="2"/>
      <c r="CV378" s="2"/>
      <c r="CW378" s="2"/>
      <c r="CX378" s="2"/>
      <c r="CY378" s="2"/>
      <c r="CZ378" s="2"/>
    </row>
    <row r="379" spans="44:104" ht="15" hidden="1" customHeight="1" x14ac:dyDescent="0.2">
      <c r="AR379" s="2"/>
      <c r="AS379" s="2"/>
      <c r="AT379" s="2"/>
      <c r="AU379" s="2"/>
      <c r="AV379" s="2"/>
      <c r="AW379" s="2"/>
      <c r="AX379" s="2"/>
      <c r="AY379" s="2"/>
      <c r="AZ379" s="2"/>
      <c r="BA379" s="2"/>
      <c r="BB379" s="2"/>
      <c r="BC379" s="2"/>
      <c r="BD379" s="2"/>
      <c r="BE379" s="2"/>
      <c r="BK379" s="2"/>
      <c r="BM379" s="2"/>
      <c r="BN379" s="2"/>
      <c r="BO379" s="2"/>
      <c r="BS379" s="11"/>
      <c r="BT379" s="2"/>
      <c r="BU379" s="3"/>
      <c r="BV379" s="3"/>
      <c r="BW379" s="2"/>
      <c r="BX379" s="2"/>
      <c r="BY379" s="2"/>
      <c r="BZ379" s="2"/>
      <c r="CA379" s="2"/>
      <c r="CB379" s="2"/>
      <c r="CC379" s="2"/>
      <c r="CD379" s="1"/>
      <c r="CE379" s="1"/>
      <c r="CF379" s="1"/>
      <c r="CG379" s="1"/>
      <c r="CH379" s="1"/>
      <c r="CI379" s="2"/>
      <c r="CJ379" s="2"/>
      <c r="CK379" s="2"/>
      <c r="CL379" s="2"/>
      <c r="CM379" s="2"/>
      <c r="CN379" s="2"/>
      <c r="CO379" s="2"/>
      <c r="CP379" s="2"/>
      <c r="CQ379" s="2"/>
      <c r="CR379" s="2"/>
      <c r="CS379" s="2"/>
      <c r="CT379" s="2"/>
      <c r="CU379" s="2"/>
      <c r="CV379" s="2"/>
      <c r="CW379" s="2"/>
      <c r="CX379" s="2"/>
      <c r="CY379" s="2"/>
      <c r="CZ379" s="2"/>
    </row>
    <row r="380" spans="44:104" ht="15" hidden="1" customHeight="1" x14ac:dyDescent="0.2">
      <c r="AR380" s="2"/>
      <c r="AS380" s="2"/>
      <c r="AT380" s="2"/>
      <c r="AU380" s="2"/>
      <c r="AV380" s="2"/>
      <c r="AW380" s="2"/>
      <c r="AX380" s="2"/>
      <c r="AY380" s="2"/>
      <c r="AZ380" s="2"/>
      <c r="BA380" s="2"/>
      <c r="BB380" s="2"/>
      <c r="BC380" s="2"/>
      <c r="BD380" s="2"/>
      <c r="BE380" s="2"/>
      <c r="BK380" s="2"/>
      <c r="BM380" s="2"/>
      <c r="BN380" s="2"/>
      <c r="BO380" s="2"/>
      <c r="BS380" s="11"/>
      <c r="BT380" s="2"/>
      <c r="BU380" s="3"/>
      <c r="BV380" s="3"/>
      <c r="BW380" s="2"/>
      <c r="BX380" s="2"/>
      <c r="BY380" s="2"/>
      <c r="BZ380" s="2"/>
      <c r="CA380" s="2"/>
      <c r="CB380" s="2"/>
      <c r="CC380" s="2"/>
      <c r="CD380" s="1"/>
      <c r="CE380" s="1"/>
      <c r="CF380" s="1"/>
      <c r="CG380" s="1"/>
      <c r="CH380" s="1"/>
      <c r="CI380" s="2"/>
      <c r="CJ380" s="2"/>
      <c r="CK380" s="2"/>
      <c r="CL380" s="2"/>
      <c r="CM380" s="2"/>
      <c r="CN380" s="2"/>
      <c r="CO380" s="2"/>
      <c r="CP380" s="2"/>
      <c r="CQ380" s="2"/>
      <c r="CR380" s="2"/>
      <c r="CS380" s="2"/>
      <c r="CT380" s="2"/>
      <c r="CU380" s="2"/>
      <c r="CV380" s="2"/>
      <c r="CW380" s="2"/>
      <c r="CX380" s="2"/>
      <c r="CY380" s="2"/>
      <c r="CZ380" s="2"/>
    </row>
    <row r="381" spans="44:104" ht="15" hidden="1" customHeight="1" x14ac:dyDescent="0.2">
      <c r="AR381" s="2"/>
      <c r="AS381" s="2"/>
      <c r="AT381" s="2"/>
      <c r="AU381" s="2"/>
      <c r="AV381" s="2"/>
      <c r="AW381" s="2"/>
      <c r="AX381" s="2"/>
      <c r="AY381" s="2"/>
      <c r="AZ381" s="2"/>
      <c r="BA381" s="2"/>
      <c r="BB381" s="2"/>
      <c r="BC381" s="2"/>
      <c r="BD381" s="2"/>
      <c r="BE381" s="2"/>
      <c r="BK381" s="2"/>
      <c r="BM381" s="2"/>
      <c r="BN381" s="2"/>
      <c r="BO381" s="2"/>
      <c r="BS381" s="11"/>
      <c r="BT381" s="2"/>
      <c r="BU381" s="3"/>
      <c r="BV381" s="3"/>
      <c r="BW381" s="2"/>
      <c r="BX381" s="2"/>
      <c r="BY381" s="2"/>
      <c r="BZ381" s="2"/>
      <c r="CA381" s="2"/>
      <c r="CB381" s="2"/>
      <c r="CC381" s="2"/>
      <c r="CD381" s="1"/>
      <c r="CE381" s="1"/>
      <c r="CF381" s="1"/>
      <c r="CG381" s="1"/>
      <c r="CH381" s="1"/>
      <c r="CI381" s="2"/>
      <c r="CJ381" s="2"/>
      <c r="CK381" s="2"/>
      <c r="CL381" s="2"/>
      <c r="CM381" s="2"/>
      <c r="CN381" s="2"/>
      <c r="CO381" s="2"/>
      <c r="CP381" s="2"/>
      <c r="CQ381" s="2"/>
      <c r="CR381" s="2"/>
      <c r="CS381" s="2"/>
      <c r="CT381" s="2"/>
      <c r="CU381" s="2"/>
      <c r="CV381" s="2"/>
      <c r="CW381" s="2"/>
      <c r="CX381" s="2"/>
      <c r="CY381" s="2"/>
      <c r="CZ381" s="2"/>
    </row>
    <row r="382" spans="44:104" ht="15" hidden="1" customHeight="1" x14ac:dyDescent="0.2">
      <c r="AR382" s="2"/>
      <c r="AS382" s="2"/>
      <c r="AT382" s="2"/>
      <c r="AU382" s="2"/>
      <c r="AV382" s="2"/>
      <c r="AW382" s="2"/>
      <c r="AX382" s="2"/>
      <c r="AY382" s="2"/>
      <c r="AZ382" s="2"/>
      <c r="BA382" s="2"/>
      <c r="BB382" s="2"/>
      <c r="BC382" s="2"/>
      <c r="BD382" s="2"/>
      <c r="BE382" s="2"/>
      <c r="BK382" s="2"/>
      <c r="BM382" s="2"/>
      <c r="BN382" s="2"/>
      <c r="BO382" s="2"/>
      <c r="BS382" s="11"/>
      <c r="BT382" s="2"/>
      <c r="BU382" s="3"/>
      <c r="BV382" s="3"/>
      <c r="BW382" s="2"/>
      <c r="BX382" s="2"/>
      <c r="BY382" s="2"/>
      <c r="BZ382" s="2"/>
      <c r="CA382" s="2"/>
      <c r="CB382" s="2"/>
      <c r="CC382" s="2"/>
      <c r="CD382" s="1"/>
      <c r="CE382" s="1"/>
      <c r="CF382" s="1"/>
      <c r="CG382" s="1"/>
      <c r="CH382" s="1"/>
      <c r="CI382" s="2"/>
      <c r="CJ382" s="2"/>
      <c r="CK382" s="2"/>
      <c r="CL382" s="2"/>
      <c r="CM382" s="2"/>
      <c r="CN382" s="2"/>
      <c r="CO382" s="2"/>
      <c r="CP382" s="2"/>
      <c r="CQ382" s="2"/>
      <c r="CR382" s="2"/>
      <c r="CS382" s="2"/>
      <c r="CT382" s="2"/>
      <c r="CU382" s="2"/>
      <c r="CV382" s="2"/>
      <c r="CW382" s="2"/>
      <c r="CX382" s="2"/>
      <c r="CY382" s="2"/>
      <c r="CZ382" s="2"/>
    </row>
    <row r="383" spans="44:104" ht="15" hidden="1" customHeight="1" x14ac:dyDescent="0.2">
      <c r="AR383" s="2"/>
      <c r="AS383" s="2"/>
      <c r="AT383" s="2"/>
      <c r="AU383" s="2"/>
      <c r="AV383" s="2"/>
      <c r="AW383" s="2"/>
      <c r="AX383" s="2"/>
      <c r="AY383" s="2"/>
      <c r="AZ383" s="2"/>
      <c r="BA383" s="2"/>
      <c r="BB383" s="2"/>
      <c r="BC383" s="2"/>
      <c r="BD383" s="2"/>
      <c r="BE383" s="2"/>
      <c r="BK383" s="2"/>
      <c r="BM383" s="2"/>
      <c r="BN383" s="2"/>
      <c r="BO383" s="2"/>
      <c r="BS383" s="11"/>
      <c r="BT383" s="2"/>
      <c r="BU383" s="3"/>
      <c r="BV383" s="3"/>
      <c r="BW383" s="2"/>
      <c r="BX383" s="2"/>
      <c r="BY383" s="2"/>
      <c r="BZ383" s="2"/>
      <c r="CA383" s="2"/>
      <c r="CB383" s="2"/>
      <c r="CC383" s="2"/>
      <c r="CD383" s="1"/>
      <c r="CE383" s="1"/>
      <c r="CF383" s="1"/>
      <c r="CG383" s="1"/>
      <c r="CH383" s="1"/>
      <c r="CI383" s="2"/>
      <c r="CJ383" s="2"/>
      <c r="CK383" s="2"/>
      <c r="CL383" s="2"/>
      <c r="CM383" s="2"/>
      <c r="CN383" s="2"/>
      <c r="CO383" s="2"/>
      <c r="CP383" s="2"/>
      <c r="CQ383" s="2"/>
      <c r="CR383" s="2"/>
      <c r="CS383" s="2"/>
      <c r="CT383" s="2"/>
      <c r="CU383" s="2"/>
      <c r="CV383" s="2"/>
      <c r="CW383" s="2"/>
      <c r="CX383" s="2"/>
      <c r="CY383" s="2"/>
      <c r="CZ383" s="2"/>
    </row>
    <row r="384" spans="44:104" ht="15" hidden="1" customHeight="1" x14ac:dyDescent="0.2">
      <c r="AR384" s="2"/>
      <c r="AS384" s="2"/>
      <c r="AT384" s="2"/>
      <c r="AU384" s="2"/>
      <c r="AV384" s="2"/>
      <c r="AW384" s="2"/>
      <c r="AX384" s="2"/>
      <c r="AY384" s="2"/>
      <c r="AZ384" s="2"/>
      <c r="BA384" s="2"/>
      <c r="BB384" s="2"/>
      <c r="BC384" s="2"/>
      <c r="BD384" s="2"/>
      <c r="BE384" s="2"/>
      <c r="BK384" s="2"/>
      <c r="BM384" s="2"/>
      <c r="BN384" s="2"/>
      <c r="BO384" s="2"/>
      <c r="BS384" s="11"/>
      <c r="BT384" s="2"/>
      <c r="BU384" s="3"/>
      <c r="BV384" s="3"/>
      <c r="BW384" s="2"/>
      <c r="BX384" s="2"/>
      <c r="BY384" s="2"/>
      <c r="BZ384" s="2"/>
      <c r="CA384" s="2"/>
      <c r="CB384" s="2"/>
      <c r="CC384" s="2"/>
      <c r="CD384" s="1"/>
      <c r="CE384" s="1"/>
      <c r="CF384" s="1"/>
      <c r="CG384" s="1"/>
      <c r="CH384" s="1"/>
      <c r="CI384" s="2"/>
      <c r="CJ384" s="2"/>
      <c r="CK384" s="2"/>
      <c r="CL384" s="2"/>
      <c r="CM384" s="2"/>
      <c r="CN384" s="2"/>
      <c r="CO384" s="2"/>
      <c r="CP384" s="2"/>
      <c r="CQ384" s="2"/>
      <c r="CR384" s="2"/>
      <c r="CS384" s="2"/>
      <c r="CT384" s="2"/>
      <c r="CU384" s="2"/>
      <c r="CV384" s="2"/>
      <c r="CW384" s="2"/>
      <c r="CX384" s="2"/>
      <c r="CY384" s="2"/>
      <c r="CZ384" s="2"/>
    </row>
    <row r="385" spans="44:104" ht="15" hidden="1" customHeight="1" x14ac:dyDescent="0.2">
      <c r="AR385" s="2"/>
      <c r="AS385" s="2"/>
      <c r="AT385" s="2"/>
      <c r="AU385" s="2"/>
      <c r="AV385" s="2"/>
      <c r="AW385" s="2"/>
      <c r="AX385" s="2"/>
      <c r="AY385" s="2"/>
      <c r="AZ385" s="2"/>
      <c r="BA385" s="2"/>
      <c r="BB385" s="2"/>
      <c r="BC385" s="2"/>
      <c r="BD385" s="2"/>
      <c r="BE385" s="2"/>
      <c r="BK385" s="2"/>
      <c r="BM385" s="2"/>
      <c r="BN385" s="2"/>
      <c r="BO385" s="2"/>
      <c r="BS385" s="11"/>
      <c r="BT385" s="2"/>
      <c r="BU385" s="3"/>
      <c r="BV385" s="3"/>
      <c r="BW385" s="2"/>
      <c r="BX385" s="2"/>
      <c r="BY385" s="2"/>
      <c r="BZ385" s="2"/>
      <c r="CA385" s="2"/>
      <c r="CB385" s="2"/>
      <c r="CC385" s="2"/>
      <c r="CD385" s="1"/>
      <c r="CE385" s="1"/>
      <c r="CF385" s="1"/>
      <c r="CG385" s="1"/>
      <c r="CH385" s="1"/>
      <c r="CI385" s="2"/>
      <c r="CJ385" s="2"/>
      <c r="CK385" s="2"/>
      <c r="CL385" s="2"/>
      <c r="CM385" s="2"/>
      <c r="CN385" s="2"/>
      <c r="CO385" s="2"/>
      <c r="CP385" s="2"/>
      <c r="CQ385" s="2"/>
      <c r="CR385" s="2"/>
      <c r="CS385" s="2"/>
      <c r="CT385" s="2"/>
      <c r="CU385" s="2"/>
      <c r="CV385" s="2"/>
      <c r="CW385" s="2"/>
      <c r="CX385" s="2"/>
      <c r="CY385" s="2"/>
      <c r="CZ385" s="2"/>
    </row>
    <row r="386" spans="44:104" ht="15" hidden="1" customHeight="1" x14ac:dyDescent="0.2">
      <c r="AR386" s="2"/>
      <c r="AS386" s="2"/>
      <c r="AT386" s="2"/>
      <c r="AU386" s="2"/>
      <c r="AV386" s="2"/>
      <c r="AW386" s="2"/>
      <c r="AX386" s="2"/>
      <c r="AY386" s="2"/>
      <c r="AZ386" s="2"/>
      <c r="BA386" s="2"/>
      <c r="BB386" s="2"/>
      <c r="BC386" s="2"/>
      <c r="BD386" s="2"/>
      <c r="BE386" s="2"/>
      <c r="BK386" s="2"/>
      <c r="BM386" s="2"/>
      <c r="BN386" s="2"/>
      <c r="BO386" s="2"/>
      <c r="BS386" s="11"/>
      <c r="BT386" s="2"/>
      <c r="BU386" s="3"/>
      <c r="BV386" s="3"/>
      <c r="BW386" s="2"/>
      <c r="BX386" s="2"/>
      <c r="BY386" s="2"/>
      <c r="BZ386" s="2"/>
      <c r="CA386" s="2"/>
      <c r="CB386" s="2"/>
      <c r="CC386" s="2"/>
      <c r="CD386" s="1"/>
      <c r="CE386" s="1"/>
      <c r="CF386" s="1"/>
      <c r="CG386" s="1"/>
      <c r="CH386" s="1"/>
      <c r="CI386" s="2"/>
      <c r="CJ386" s="2"/>
      <c r="CK386" s="2"/>
      <c r="CL386" s="2"/>
      <c r="CM386" s="2"/>
      <c r="CN386" s="2"/>
      <c r="CO386" s="2"/>
      <c r="CP386" s="2"/>
      <c r="CQ386" s="2"/>
      <c r="CR386" s="2"/>
      <c r="CS386" s="2"/>
      <c r="CT386" s="2"/>
      <c r="CU386" s="2"/>
      <c r="CV386" s="2"/>
      <c r="CW386" s="2"/>
      <c r="CX386" s="2"/>
      <c r="CY386" s="2"/>
      <c r="CZ386" s="2"/>
    </row>
    <row r="387" spans="44:104" ht="15" hidden="1" customHeight="1" x14ac:dyDescent="0.2">
      <c r="AR387" s="2"/>
      <c r="AS387" s="2"/>
      <c r="AT387" s="2"/>
      <c r="AU387" s="2"/>
      <c r="AV387" s="2"/>
      <c r="AW387" s="2"/>
      <c r="AX387" s="2"/>
      <c r="AY387" s="2"/>
      <c r="AZ387" s="2"/>
      <c r="BA387" s="2"/>
      <c r="BB387" s="2"/>
      <c r="BC387" s="2"/>
      <c r="BD387" s="2"/>
      <c r="BE387" s="2"/>
      <c r="BK387" s="2"/>
      <c r="BM387" s="2"/>
      <c r="BN387" s="2"/>
      <c r="BO387" s="2"/>
      <c r="BS387" s="11"/>
      <c r="BT387" s="2"/>
      <c r="BU387" s="3"/>
      <c r="BV387" s="3"/>
      <c r="BW387" s="2"/>
      <c r="BX387" s="2"/>
      <c r="BY387" s="2"/>
      <c r="BZ387" s="46"/>
      <c r="CA387" s="1"/>
      <c r="CB387" s="1"/>
      <c r="CC387" s="1"/>
      <c r="CD387" s="1"/>
      <c r="CE387" s="1"/>
      <c r="CF387" s="1"/>
      <c r="CG387" s="1"/>
      <c r="CH387" s="1"/>
      <c r="CI387" s="2"/>
      <c r="CJ387" s="2"/>
      <c r="CK387" s="2"/>
      <c r="CL387" s="2"/>
      <c r="CM387" s="2"/>
      <c r="CN387" s="2"/>
      <c r="CO387" s="2"/>
      <c r="CP387" s="2"/>
      <c r="CQ387" s="2"/>
      <c r="CR387" s="2"/>
      <c r="CS387" s="2"/>
      <c r="CT387" s="2"/>
      <c r="CU387" s="2"/>
      <c r="CV387" s="2"/>
      <c r="CW387" s="2"/>
      <c r="CX387" s="2"/>
      <c r="CY387" s="2"/>
      <c r="CZ387" s="2"/>
    </row>
    <row r="388" spans="44:104" ht="15" hidden="1" customHeight="1" x14ac:dyDescent="0.2">
      <c r="AR388" s="2"/>
      <c r="AS388" s="2"/>
      <c r="AT388" s="2"/>
      <c r="AU388" s="2"/>
      <c r="AV388" s="2"/>
      <c r="AW388" s="2"/>
      <c r="AX388" s="2"/>
      <c r="AY388" s="2"/>
      <c r="AZ388" s="2"/>
      <c r="BA388" s="2"/>
      <c r="BB388" s="2"/>
      <c r="BC388" s="2"/>
      <c r="BD388" s="2"/>
      <c r="BE388" s="2"/>
      <c r="BK388" s="2"/>
      <c r="BM388" s="2"/>
      <c r="BN388" s="2"/>
      <c r="BO388" s="2"/>
      <c r="BS388" s="11"/>
      <c r="BT388" s="2"/>
      <c r="BU388" s="3"/>
      <c r="BV388" s="3"/>
      <c r="BW388" s="2"/>
      <c r="BX388" s="2"/>
      <c r="BY388" s="2"/>
      <c r="BZ388" s="2"/>
      <c r="CA388" s="2"/>
      <c r="CB388" s="2"/>
      <c r="CC388" s="2"/>
      <c r="CD388" s="1"/>
      <c r="CE388" s="1"/>
      <c r="CF388" s="1"/>
      <c r="CG388" s="1"/>
      <c r="CH388" s="1"/>
      <c r="CI388" s="2"/>
      <c r="CJ388" s="2"/>
      <c r="CK388" s="2"/>
      <c r="CL388" s="2"/>
      <c r="CM388" s="2"/>
      <c r="CN388" s="2"/>
      <c r="CO388" s="2"/>
      <c r="CP388" s="2"/>
      <c r="CQ388" s="2"/>
      <c r="CR388" s="2"/>
      <c r="CS388" s="2"/>
      <c r="CT388" s="2"/>
      <c r="CU388" s="2"/>
      <c r="CV388" s="2"/>
      <c r="CW388" s="2"/>
      <c r="CX388" s="2"/>
      <c r="CY388" s="2"/>
      <c r="CZ388" s="2"/>
    </row>
    <row r="389" spans="44:104" ht="15" hidden="1" customHeight="1" x14ac:dyDescent="0.2">
      <c r="AR389" s="2"/>
      <c r="AS389" s="2"/>
      <c r="AT389" s="2"/>
      <c r="AU389" s="2"/>
      <c r="AV389" s="2"/>
      <c r="AW389" s="2"/>
      <c r="AX389" s="2"/>
      <c r="AY389" s="2"/>
      <c r="AZ389" s="2"/>
      <c r="BA389" s="2"/>
      <c r="BB389" s="2"/>
      <c r="BC389" s="2"/>
      <c r="BD389" s="2"/>
      <c r="BE389" s="2"/>
      <c r="BK389" s="2"/>
      <c r="BM389" s="2"/>
      <c r="BN389" s="2"/>
      <c r="BO389" s="2"/>
      <c r="BS389" s="11"/>
      <c r="BT389" s="2"/>
      <c r="BU389" s="3"/>
      <c r="BV389" s="3"/>
      <c r="BW389" s="2"/>
      <c r="BX389" s="2"/>
      <c r="BY389" s="2"/>
      <c r="BZ389" s="2"/>
      <c r="CA389" s="2"/>
      <c r="CB389" s="2"/>
      <c r="CC389" s="2"/>
      <c r="CD389" s="1"/>
      <c r="CE389" s="1"/>
      <c r="CF389" s="1"/>
      <c r="CG389" s="1"/>
      <c r="CH389" s="1"/>
      <c r="CI389" s="2"/>
      <c r="CJ389" s="2"/>
      <c r="CK389" s="2"/>
      <c r="CL389" s="2"/>
      <c r="CM389" s="2"/>
      <c r="CN389" s="2"/>
      <c r="CO389" s="2"/>
      <c r="CP389" s="2"/>
      <c r="CQ389" s="2"/>
      <c r="CR389" s="2"/>
      <c r="CS389" s="2"/>
      <c r="CT389" s="2"/>
      <c r="CU389" s="2"/>
      <c r="CV389" s="2"/>
      <c r="CW389" s="2"/>
      <c r="CX389" s="2"/>
      <c r="CY389" s="2"/>
      <c r="CZ389" s="2"/>
    </row>
    <row r="390" spans="44:104" ht="15" hidden="1" customHeight="1" x14ac:dyDescent="0.2">
      <c r="AR390" s="2"/>
      <c r="AS390" s="2"/>
      <c r="AT390" s="2"/>
      <c r="AU390" s="2"/>
      <c r="AV390" s="2"/>
      <c r="AW390" s="2"/>
      <c r="AX390" s="2"/>
      <c r="AY390" s="2"/>
      <c r="AZ390" s="2"/>
      <c r="BA390" s="2"/>
      <c r="BB390" s="2"/>
      <c r="BC390" s="2"/>
      <c r="BD390" s="2"/>
      <c r="BE390" s="2"/>
      <c r="BK390" s="2"/>
      <c r="BM390" s="2"/>
      <c r="BN390" s="2"/>
      <c r="BO390" s="2"/>
      <c r="BS390" s="11"/>
      <c r="BT390" s="2"/>
      <c r="BU390" s="3"/>
      <c r="BV390" s="3"/>
      <c r="BW390" s="2"/>
      <c r="BX390" s="2"/>
      <c r="BY390" s="2"/>
      <c r="BZ390" s="2"/>
      <c r="CA390" s="2"/>
      <c r="CB390" s="2"/>
      <c r="CC390" s="2"/>
      <c r="CD390" s="1"/>
      <c r="CE390" s="1"/>
      <c r="CF390" s="1"/>
      <c r="CG390" s="1"/>
      <c r="CH390" s="1"/>
      <c r="CI390" s="2"/>
      <c r="CJ390" s="2"/>
      <c r="CK390" s="2"/>
      <c r="CL390" s="2"/>
      <c r="CM390" s="2"/>
      <c r="CN390" s="2"/>
      <c r="CO390" s="2"/>
      <c r="CP390" s="2"/>
      <c r="CQ390" s="2"/>
      <c r="CR390" s="2"/>
      <c r="CS390" s="2"/>
      <c r="CT390" s="2"/>
      <c r="CU390" s="2"/>
      <c r="CV390" s="2"/>
      <c r="CW390" s="2"/>
      <c r="CX390" s="2"/>
      <c r="CY390" s="2"/>
      <c r="CZ390" s="2"/>
    </row>
    <row r="391" spans="44:104" ht="15" hidden="1" customHeight="1" x14ac:dyDescent="0.2">
      <c r="AR391" s="2"/>
      <c r="AS391" s="2"/>
      <c r="AT391" s="2"/>
      <c r="AU391" s="2"/>
      <c r="AV391" s="2"/>
      <c r="AW391" s="2"/>
      <c r="AX391" s="2"/>
      <c r="AY391" s="2"/>
      <c r="AZ391" s="2"/>
      <c r="BA391" s="2"/>
      <c r="BB391" s="2"/>
      <c r="BC391" s="2"/>
      <c r="BD391" s="2"/>
      <c r="BE391" s="2"/>
      <c r="BK391" s="2"/>
      <c r="BM391" s="2"/>
      <c r="BN391" s="2"/>
      <c r="BO391" s="2"/>
      <c r="BS391" s="11"/>
      <c r="BT391" s="2"/>
      <c r="BU391" s="3"/>
      <c r="BV391" s="3"/>
      <c r="BW391" s="2"/>
      <c r="BX391" s="2"/>
      <c r="BY391" s="2"/>
      <c r="BZ391" s="2"/>
      <c r="CA391" s="2"/>
      <c r="CB391" s="2"/>
      <c r="CC391" s="2"/>
      <c r="CD391" s="1"/>
      <c r="CE391" s="1"/>
      <c r="CF391" s="1"/>
      <c r="CG391" s="1"/>
      <c r="CH391" s="1"/>
      <c r="CI391" s="2"/>
      <c r="CJ391" s="2"/>
      <c r="CK391" s="2"/>
      <c r="CL391" s="2"/>
      <c r="CM391" s="2"/>
      <c r="CN391" s="2"/>
      <c r="CO391" s="2"/>
      <c r="CP391" s="2"/>
      <c r="CQ391" s="2"/>
      <c r="CR391" s="2"/>
      <c r="CS391" s="2"/>
      <c r="CT391" s="2"/>
      <c r="CU391" s="2"/>
      <c r="CV391" s="2"/>
      <c r="CW391" s="2"/>
      <c r="CX391" s="2"/>
      <c r="CY391" s="2"/>
      <c r="CZ391" s="2"/>
    </row>
    <row r="392" spans="44:104" ht="15" hidden="1" customHeight="1" x14ac:dyDescent="0.2">
      <c r="AR392" s="2"/>
      <c r="AS392" s="2"/>
      <c r="AT392" s="2"/>
      <c r="AU392" s="2"/>
      <c r="AV392" s="2"/>
      <c r="AW392" s="2"/>
      <c r="AX392" s="2"/>
      <c r="AY392" s="2"/>
      <c r="AZ392" s="2"/>
      <c r="BA392" s="2"/>
      <c r="BB392" s="2"/>
      <c r="BC392" s="2"/>
      <c r="BD392" s="2"/>
      <c r="BE392" s="2"/>
      <c r="BK392" s="2"/>
      <c r="BM392" s="2"/>
      <c r="BN392" s="2"/>
      <c r="BO392" s="2"/>
      <c r="BS392" s="11"/>
      <c r="BT392" s="2"/>
      <c r="BU392" s="3"/>
      <c r="BV392" s="3"/>
      <c r="BW392" s="2"/>
      <c r="BX392" s="2"/>
      <c r="BY392" s="2"/>
      <c r="BZ392" s="2"/>
      <c r="CA392" s="2"/>
      <c r="CB392" s="2"/>
      <c r="CC392" s="2"/>
      <c r="CD392" s="1"/>
      <c r="CE392" s="1"/>
      <c r="CF392" s="1"/>
      <c r="CG392" s="1"/>
      <c r="CH392" s="1"/>
      <c r="CI392" s="2"/>
      <c r="CJ392" s="2"/>
      <c r="CK392" s="2"/>
      <c r="CL392" s="2"/>
      <c r="CM392" s="2"/>
      <c r="CN392" s="2"/>
      <c r="CO392" s="2"/>
      <c r="CP392" s="2"/>
      <c r="CQ392" s="2"/>
      <c r="CR392" s="2"/>
      <c r="CS392" s="2"/>
      <c r="CT392" s="2"/>
      <c r="CU392" s="2"/>
      <c r="CV392" s="2"/>
      <c r="CW392" s="2"/>
      <c r="CX392" s="2"/>
      <c r="CY392" s="2"/>
      <c r="CZ392" s="2"/>
    </row>
    <row r="393" spans="44:104" ht="15" hidden="1" customHeight="1" x14ac:dyDescent="0.2">
      <c r="AR393" s="2"/>
      <c r="AS393" s="2"/>
      <c r="AT393" s="2"/>
      <c r="AU393" s="2"/>
      <c r="AV393" s="2"/>
      <c r="AW393" s="2"/>
      <c r="AX393" s="2"/>
      <c r="AY393" s="2"/>
      <c r="AZ393" s="2"/>
      <c r="BA393" s="2"/>
      <c r="BB393" s="2"/>
      <c r="BC393" s="2"/>
      <c r="BD393" s="2"/>
      <c r="BE393" s="2"/>
      <c r="BK393" s="2"/>
      <c r="BM393" s="2"/>
      <c r="BN393" s="2"/>
      <c r="BO393" s="2"/>
      <c r="BS393" s="11"/>
      <c r="BT393" s="2"/>
      <c r="BU393" s="3"/>
      <c r="BV393" s="3"/>
      <c r="BW393" s="2"/>
      <c r="BX393" s="2"/>
      <c r="BY393" s="2"/>
      <c r="BZ393" s="2"/>
      <c r="CA393" s="2"/>
      <c r="CB393" s="2"/>
      <c r="CC393" s="2"/>
      <c r="CD393" s="1"/>
      <c r="CE393" s="1"/>
      <c r="CF393" s="1"/>
      <c r="CG393" s="1"/>
      <c r="CH393" s="1"/>
      <c r="CI393" s="2"/>
      <c r="CJ393" s="2"/>
      <c r="CK393" s="2"/>
      <c r="CL393" s="2"/>
      <c r="CM393" s="2"/>
      <c r="CN393" s="2"/>
      <c r="CO393" s="2"/>
      <c r="CP393" s="2"/>
      <c r="CQ393" s="2"/>
      <c r="CR393" s="2"/>
      <c r="CS393" s="2"/>
      <c r="CT393" s="2"/>
      <c r="CU393" s="2"/>
      <c r="CV393" s="2"/>
      <c r="CW393" s="2"/>
      <c r="CX393" s="2"/>
      <c r="CY393" s="2"/>
      <c r="CZ393" s="2"/>
    </row>
    <row r="394" spans="44:104" ht="15" hidden="1" customHeight="1" x14ac:dyDescent="0.2">
      <c r="AR394" s="2"/>
      <c r="AS394" s="2"/>
      <c r="AT394" s="2"/>
      <c r="AU394" s="2"/>
      <c r="AV394" s="2"/>
      <c r="AW394" s="2"/>
      <c r="AX394" s="2"/>
      <c r="AY394" s="2"/>
      <c r="AZ394" s="2"/>
      <c r="BA394" s="2"/>
      <c r="BB394" s="2"/>
      <c r="BC394" s="2"/>
      <c r="BD394" s="2"/>
      <c r="BE394" s="2"/>
      <c r="BK394" s="2"/>
      <c r="BM394" s="2"/>
      <c r="BN394" s="2"/>
      <c r="BO394" s="2"/>
      <c r="BS394" s="11"/>
      <c r="BT394" s="2"/>
      <c r="BU394" s="3"/>
      <c r="BV394" s="3"/>
      <c r="BW394" s="2"/>
      <c r="BX394" s="2"/>
      <c r="BY394" s="2"/>
      <c r="BZ394" s="2"/>
      <c r="CA394" s="2"/>
      <c r="CB394" s="2"/>
      <c r="CC394" s="2"/>
      <c r="CD394" s="1"/>
      <c r="CE394" s="1"/>
      <c r="CF394" s="1"/>
      <c r="CG394" s="1"/>
      <c r="CH394" s="1"/>
      <c r="CI394" s="2"/>
      <c r="CJ394" s="2"/>
      <c r="CK394" s="2"/>
      <c r="CL394" s="2"/>
      <c r="CM394" s="2"/>
      <c r="CN394" s="2"/>
      <c r="CO394" s="2"/>
      <c r="CP394" s="2"/>
      <c r="CQ394" s="2"/>
      <c r="CR394" s="2"/>
      <c r="CS394" s="2"/>
      <c r="CT394" s="2"/>
      <c r="CU394" s="2"/>
      <c r="CV394" s="2"/>
      <c r="CW394" s="2"/>
      <c r="CX394" s="2"/>
      <c r="CY394" s="2"/>
      <c r="CZ394" s="2"/>
    </row>
    <row r="395" spans="44:104" ht="15" hidden="1" customHeight="1" x14ac:dyDescent="0.2">
      <c r="AR395" s="2"/>
      <c r="AS395" s="2"/>
      <c r="AT395" s="2"/>
      <c r="AU395" s="2"/>
      <c r="AV395" s="2"/>
      <c r="AW395" s="2"/>
      <c r="AX395" s="2"/>
      <c r="AY395" s="2"/>
      <c r="AZ395" s="2"/>
      <c r="BA395" s="2"/>
      <c r="BB395" s="2"/>
      <c r="BC395" s="2"/>
      <c r="BD395" s="2"/>
      <c r="BE395" s="2"/>
      <c r="BK395" s="2"/>
      <c r="BM395" s="2"/>
      <c r="BN395" s="2"/>
      <c r="BO395" s="2"/>
      <c r="BS395" s="11"/>
      <c r="BT395" s="2"/>
      <c r="BU395" s="3"/>
      <c r="BV395" s="3"/>
      <c r="BW395" s="2"/>
      <c r="BX395" s="2"/>
      <c r="BY395" s="2"/>
      <c r="BZ395" s="2"/>
      <c r="CA395" s="2"/>
      <c r="CB395" s="2"/>
      <c r="CC395" s="2"/>
      <c r="CD395" s="1"/>
      <c r="CE395" s="1"/>
      <c r="CF395" s="1"/>
      <c r="CG395" s="1"/>
      <c r="CH395" s="1"/>
      <c r="CI395" s="2"/>
      <c r="CJ395" s="2"/>
      <c r="CK395" s="2"/>
      <c r="CL395" s="2"/>
      <c r="CM395" s="2"/>
      <c r="CN395" s="2"/>
      <c r="CO395" s="2"/>
      <c r="CP395" s="2"/>
      <c r="CQ395" s="2"/>
      <c r="CR395" s="2"/>
      <c r="CS395" s="2"/>
      <c r="CT395" s="2"/>
      <c r="CU395" s="2"/>
      <c r="CV395" s="2"/>
      <c r="CW395" s="2"/>
      <c r="CX395" s="2"/>
      <c r="CY395" s="2"/>
      <c r="CZ395" s="2"/>
    </row>
    <row r="396" spans="44:104" ht="15" hidden="1" customHeight="1" x14ac:dyDescent="0.2">
      <c r="AR396" s="2"/>
      <c r="AS396" s="2"/>
      <c r="AT396" s="2"/>
      <c r="AU396" s="2"/>
      <c r="AV396" s="2"/>
      <c r="AW396" s="2"/>
      <c r="AX396" s="2"/>
      <c r="AY396" s="2"/>
      <c r="AZ396" s="2"/>
      <c r="BA396" s="2"/>
      <c r="BB396" s="2"/>
      <c r="BC396" s="2"/>
      <c r="BD396" s="2"/>
      <c r="BE396" s="2"/>
      <c r="BK396" s="2"/>
      <c r="BM396" s="2"/>
      <c r="BN396" s="2"/>
      <c r="BO396" s="2"/>
      <c r="BS396" s="11"/>
      <c r="BT396" s="2"/>
      <c r="BU396" s="3"/>
      <c r="BV396" s="3"/>
      <c r="BW396" s="2"/>
      <c r="BX396" s="2"/>
      <c r="BY396" s="2"/>
      <c r="BZ396" s="2"/>
      <c r="CA396" s="2"/>
      <c r="CB396" s="2"/>
      <c r="CC396" s="2"/>
      <c r="CD396" s="1"/>
      <c r="CE396" s="1"/>
      <c r="CF396" s="1"/>
      <c r="CG396" s="1"/>
      <c r="CH396" s="1"/>
      <c r="CI396" s="2"/>
      <c r="CJ396" s="2"/>
      <c r="CK396" s="2"/>
      <c r="CL396" s="2"/>
      <c r="CM396" s="2"/>
      <c r="CN396" s="2"/>
      <c r="CO396" s="2"/>
      <c r="CP396" s="2"/>
      <c r="CQ396" s="2"/>
      <c r="CR396" s="2"/>
      <c r="CS396" s="2"/>
      <c r="CT396" s="2"/>
      <c r="CU396" s="2"/>
      <c r="CV396" s="2"/>
      <c r="CW396" s="2"/>
      <c r="CX396" s="2"/>
      <c r="CY396" s="2"/>
      <c r="CZ396" s="2"/>
    </row>
    <row r="397" spans="44:104" ht="15" hidden="1" customHeight="1" x14ac:dyDescent="0.2">
      <c r="AR397" s="2"/>
      <c r="AS397" s="2"/>
      <c r="AT397" s="2"/>
      <c r="AU397" s="2"/>
      <c r="AV397" s="2"/>
      <c r="AW397" s="2"/>
      <c r="AX397" s="2"/>
      <c r="AY397" s="2"/>
      <c r="AZ397" s="2"/>
      <c r="BA397" s="2"/>
      <c r="BB397" s="2"/>
      <c r="BC397" s="2"/>
      <c r="BD397" s="2"/>
      <c r="BE397" s="2"/>
      <c r="BK397" s="2"/>
      <c r="BM397" s="2"/>
      <c r="BN397" s="2"/>
      <c r="BO397" s="2"/>
      <c r="BS397" s="11"/>
      <c r="BT397" s="2"/>
      <c r="BU397" s="3"/>
      <c r="BV397" s="3"/>
      <c r="BW397" s="2"/>
      <c r="BX397" s="2"/>
      <c r="BY397" s="2"/>
      <c r="BZ397" s="2"/>
      <c r="CA397" s="2"/>
      <c r="CB397" s="2"/>
      <c r="CC397" s="2"/>
      <c r="CD397" s="1"/>
      <c r="CE397" s="1"/>
      <c r="CF397" s="1"/>
      <c r="CG397" s="1"/>
      <c r="CH397" s="1"/>
      <c r="CI397" s="2"/>
      <c r="CJ397" s="2"/>
      <c r="CK397" s="2"/>
      <c r="CL397" s="2"/>
      <c r="CM397" s="2"/>
      <c r="CN397" s="2"/>
      <c r="CO397" s="2"/>
      <c r="CP397" s="2"/>
      <c r="CQ397" s="2"/>
      <c r="CR397" s="2"/>
      <c r="CS397" s="2"/>
      <c r="CT397" s="2"/>
      <c r="CU397" s="2"/>
      <c r="CV397" s="2"/>
      <c r="CW397" s="2"/>
      <c r="CX397" s="2"/>
      <c r="CY397" s="2"/>
      <c r="CZ397" s="2"/>
    </row>
    <row r="398" spans="44:104" ht="15" hidden="1" customHeight="1" x14ac:dyDescent="0.2">
      <c r="AR398" s="2"/>
      <c r="AS398" s="2"/>
      <c r="AT398" s="2"/>
      <c r="AU398" s="2"/>
      <c r="AV398" s="2"/>
      <c r="AW398" s="2"/>
      <c r="AX398" s="2"/>
      <c r="AY398" s="2"/>
      <c r="AZ398" s="2"/>
      <c r="BA398" s="2"/>
      <c r="BB398" s="2"/>
      <c r="BC398" s="2"/>
      <c r="BD398" s="2"/>
      <c r="BE398" s="2"/>
      <c r="BK398" s="2"/>
      <c r="BM398" s="2"/>
      <c r="BN398" s="2"/>
      <c r="BO398" s="2"/>
      <c r="BS398" s="11"/>
      <c r="BT398" s="2"/>
      <c r="BU398" s="3"/>
      <c r="BV398" s="3"/>
      <c r="BW398" s="2"/>
      <c r="BX398" s="2"/>
      <c r="BY398" s="2"/>
      <c r="BZ398" s="2"/>
      <c r="CA398" s="2"/>
      <c r="CB398" s="2"/>
      <c r="CC398" s="2"/>
      <c r="CD398" s="1"/>
      <c r="CE398" s="1"/>
      <c r="CF398" s="1"/>
      <c r="CG398" s="1"/>
      <c r="CH398" s="1"/>
      <c r="CI398" s="2"/>
      <c r="CJ398" s="2"/>
      <c r="CK398" s="2"/>
      <c r="CL398" s="2"/>
      <c r="CM398" s="2"/>
      <c r="CN398" s="2"/>
      <c r="CO398" s="2"/>
      <c r="CP398" s="2"/>
      <c r="CQ398" s="2"/>
      <c r="CR398" s="2"/>
      <c r="CS398" s="2"/>
      <c r="CT398" s="2"/>
      <c r="CU398" s="2"/>
      <c r="CV398" s="2"/>
      <c r="CW398" s="2"/>
      <c r="CX398" s="2"/>
      <c r="CY398" s="2"/>
      <c r="CZ398" s="2"/>
    </row>
    <row r="399" spans="44:104" ht="15" hidden="1" customHeight="1" x14ac:dyDescent="0.2">
      <c r="AR399" s="2"/>
      <c r="AS399" s="2"/>
      <c r="AT399" s="2"/>
      <c r="AU399" s="2"/>
      <c r="AV399" s="2"/>
      <c r="AW399" s="2"/>
      <c r="AX399" s="2"/>
      <c r="AY399" s="2"/>
      <c r="AZ399" s="2"/>
      <c r="BA399" s="2"/>
      <c r="BB399" s="2"/>
      <c r="BC399" s="2"/>
      <c r="BD399" s="2"/>
      <c r="BE399" s="2"/>
      <c r="BK399" s="2"/>
      <c r="BM399" s="2"/>
      <c r="BN399" s="2"/>
      <c r="BO399" s="2"/>
      <c r="BS399" s="11"/>
      <c r="BT399" s="2"/>
      <c r="BU399" s="3"/>
      <c r="BV399" s="3"/>
      <c r="BW399" s="2"/>
      <c r="BX399" s="2"/>
      <c r="BY399" s="2"/>
      <c r="BZ399" s="2"/>
      <c r="CA399" s="2"/>
      <c r="CB399" s="2"/>
      <c r="CC399" s="2"/>
      <c r="CD399" s="1"/>
      <c r="CE399" s="1"/>
      <c r="CF399" s="1"/>
      <c r="CG399" s="1"/>
      <c r="CH399" s="1"/>
      <c r="CI399" s="2"/>
      <c r="CJ399" s="2"/>
      <c r="CK399" s="2"/>
      <c r="CL399" s="2"/>
      <c r="CM399" s="2"/>
      <c r="CN399" s="2"/>
      <c r="CO399" s="2"/>
      <c r="CP399" s="2"/>
      <c r="CQ399" s="2"/>
      <c r="CR399" s="2"/>
      <c r="CS399" s="2"/>
      <c r="CT399" s="2"/>
      <c r="CU399" s="2"/>
      <c r="CV399" s="2"/>
      <c r="CW399" s="2"/>
      <c r="CX399" s="2"/>
      <c r="CY399" s="2"/>
      <c r="CZ399" s="2"/>
    </row>
    <row r="400" spans="44:104" ht="15" hidden="1" customHeight="1" x14ac:dyDescent="0.2">
      <c r="AR400" s="2"/>
      <c r="AS400" s="2"/>
      <c r="AT400" s="2"/>
      <c r="AU400" s="2"/>
      <c r="AV400" s="2"/>
      <c r="AW400" s="2"/>
      <c r="AX400" s="2"/>
      <c r="AY400" s="2"/>
      <c r="AZ400" s="2"/>
      <c r="BA400" s="2"/>
      <c r="BB400" s="2"/>
      <c r="BC400" s="2"/>
      <c r="BD400" s="2"/>
      <c r="BE400" s="2"/>
      <c r="BK400" s="2"/>
      <c r="BM400" s="2"/>
      <c r="BN400" s="2"/>
      <c r="BO400" s="2"/>
      <c r="BS400" s="11"/>
      <c r="BT400" s="2"/>
      <c r="BU400" s="3"/>
      <c r="BV400" s="3"/>
      <c r="BW400" s="2"/>
      <c r="BX400" s="2"/>
      <c r="BY400" s="2"/>
      <c r="BZ400" s="2"/>
      <c r="CA400" s="2"/>
      <c r="CB400" s="2"/>
      <c r="CC400" s="2"/>
      <c r="CD400" s="1"/>
      <c r="CE400" s="1"/>
      <c r="CF400" s="1"/>
      <c r="CG400" s="1"/>
      <c r="CH400" s="1"/>
      <c r="CI400" s="2"/>
      <c r="CJ400" s="2"/>
      <c r="CK400" s="2"/>
      <c r="CL400" s="2"/>
      <c r="CM400" s="2"/>
      <c r="CN400" s="2"/>
      <c r="CO400" s="2"/>
      <c r="CP400" s="2"/>
      <c r="CQ400" s="2"/>
      <c r="CR400" s="2"/>
      <c r="CS400" s="2"/>
      <c r="CT400" s="2"/>
      <c r="CU400" s="2"/>
      <c r="CV400" s="2"/>
      <c r="CW400" s="2"/>
      <c r="CX400" s="2"/>
      <c r="CY400" s="2"/>
      <c r="CZ400" s="2"/>
    </row>
    <row r="401" spans="44:104" ht="15" hidden="1" customHeight="1" x14ac:dyDescent="0.2">
      <c r="AR401" s="2"/>
      <c r="AS401" s="2"/>
      <c r="AT401" s="2"/>
      <c r="AU401" s="2"/>
      <c r="AV401" s="2"/>
      <c r="AW401" s="2"/>
      <c r="AX401" s="2"/>
      <c r="AY401" s="2"/>
      <c r="AZ401" s="2"/>
      <c r="BA401" s="2"/>
      <c r="BB401" s="2"/>
      <c r="BC401" s="2"/>
      <c r="BD401" s="2"/>
      <c r="BE401" s="2"/>
      <c r="BK401" s="2"/>
      <c r="BM401" s="2"/>
      <c r="BN401" s="2"/>
      <c r="BO401" s="2"/>
      <c r="BS401" s="11"/>
      <c r="BT401" s="2"/>
      <c r="BU401" s="3"/>
      <c r="BV401" s="3"/>
      <c r="BW401" s="2"/>
      <c r="BX401" s="2"/>
      <c r="BY401" s="2"/>
      <c r="BZ401" s="2"/>
      <c r="CA401" s="2"/>
      <c r="CB401" s="2"/>
      <c r="CC401" s="2"/>
      <c r="CD401" s="1"/>
      <c r="CE401" s="1"/>
      <c r="CF401" s="1"/>
      <c r="CG401" s="1"/>
      <c r="CH401" s="1"/>
      <c r="CI401" s="2"/>
      <c r="CJ401" s="2"/>
      <c r="CK401" s="2"/>
      <c r="CL401" s="2"/>
      <c r="CM401" s="2"/>
      <c r="CN401" s="2"/>
      <c r="CO401" s="2"/>
      <c r="CP401" s="2"/>
      <c r="CQ401" s="2"/>
      <c r="CR401" s="2"/>
      <c r="CS401" s="2"/>
      <c r="CT401" s="2"/>
      <c r="CU401" s="2"/>
      <c r="CV401" s="2"/>
      <c r="CW401" s="2"/>
      <c r="CX401" s="2"/>
      <c r="CY401" s="2"/>
      <c r="CZ401" s="2"/>
    </row>
    <row r="402" spans="44:104" ht="15" hidden="1" customHeight="1" x14ac:dyDescent="0.2">
      <c r="AR402" s="2"/>
      <c r="AS402" s="2"/>
      <c r="AT402" s="2"/>
      <c r="AU402" s="2"/>
      <c r="AV402" s="2"/>
      <c r="AW402" s="2"/>
      <c r="AX402" s="2"/>
      <c r="AY402" s="2"/>
      <c r="AZ402" s="2"/>
      <c r="BA402" s="2"/>
      <c r="BB402" s="2"/>
      <c r="BC402" s="2"/>
      <c r="BD402" s="2"/>
      <c r="BE402" s="2"/>
      <c r="BK402" s="2"/>
      <c r="BM402" s="2"/>
      <c r="BN402" s="2"/>
      <c r="BO402" s="2"/>
      <c r="BS402" s="11"/>
      <c r="BT402" s="2"/>
      <c r="BU402" s="3"/>
      <c r="BV402" s="3"/>
      <c r="BW402" s="2"/>
      <c r="BX402" s="2"/>
      <c r="BY402" s="2"/>
      <c r="BZ402" s="2"/>
      <c r="CA402" s="2"/>
      <c r="CB402" s="2"/>
      <c r="CC402" s="2"/>
      <c r="CD402" s="1"/>
      <c r="CE402" s="1"/>
      <c r="CF402" s="1"/>
      <c r="CG402" s="1"/>
      <c r="CH402" s="1"/>
      <c r="CI402" s="2"/>
      <c r="CJ402" s="2"/>
      <c r="CK402" s="2"/>
      <c r="CL402" s="2"/>
      <c r="CM402" s="2"/>
      <c r="CN402" s="2"/>
      <c r="CO402" s="2"/>
      <c r="CP402" s="2"/>
      <c r="CQ402" s="2"/>
      <c r="CR402" s="2"/>
      <c r="CS402" s="2"/>
      <c r="CT402" s="2"/>
      <c r="CU402" s="2"/>
      <c r="CV402" s="2"/>
      <c r="CW402" s="2"/>
      <c r="CX402" s="2"/>
      <c r="CY402" s="2"/>
      <c r="CZ402" s="2"/>
    </row>
    <row r="403" spans="44:104" ht="15" hidden="1" customHeight="1" x14ac:dyDescent="0.2">
      <c r="AR403" s="2"/>
      <c r="AS403" s="2"/>
      <c r="AT403" s="2"/>
      <c r="AU403" s="2"/>
      <c r="AV403" s="2"/>
      <c r="AW403" s="2"/>
      <c r="AX403" s="2"/>
      <c r="AY403" s="2"/>
      <c r="AZ403" s="2"/>
      <c r="BA403" s="2"/>
      <c r="BB403" s="2"/>
      <c r="BC403" s="2"/>
      <c r="BD403" s="2"/>
      <c r="BE403" s="2"/>
      <c r="BK403" s="2"/>
      <c r="BM403" s="2"/>
      <c r="BN403" s="2"/>
      <c r="BO403" s="2"/>
      <c r="BS403" s="11"/>
      <c r="BT403" s="2"/>
      <c r="BU403" s="3"/>
      <c r="BV403" s="3"/>
      <c r="BW403" s="2"/>
      <c r="BX403" s="2"/>
      <c r="BY403" s="2"/>
      <c r="BZ403" s="46"/>
      <c r="CA403" s="1"/>
      <c r="CB403" s="1"/>
      <c r="CC403" s="1"/>
      <c r="CD403" s="1"/>
      <c r="CE403" s="1"/>
      <c r="CF403" s="1"/>
      <c r="CG403" s="1"/>
      <c r="CH403" s="1"/>
      <c r="CI403" s="2"/>
      <c r="CJ403" s="2"/>
      <c r="CK403" s="2"/>
      <c r="CL403" s="2"/>
      <c r="CM403" s="2"/>
      <c r="CN403" s="2"/>
      <c r="CO403" s="2"/>
      <c r="CP403" s="2"/>
      <c r="CQ403" s="2"/>
      <c r="CR403" s="2"/>
      <c r="CS403" s="2"/>
      <c r="CT403" s="2"/>
      <c r="CU403" s="2"/>
      <c r="CV403" s="2"/>
      <c r="CW403" s="2"/>
      <c r="CX403" s="2"/>
      <c r="CY403" s="2"/>
      <c r="CZ403" s="2"/>
    </row>
    <row r="404" spans="44:104" ht="15" hidden="1" customHeight="1" x14ac:dyDescent="0.2">
      <c r="AR404" s="2"/>
      <c r="AS404" s="2"/>
      <c r="AT404" s="2"/>
      <c r="AU404" s="2"/>
      <c r="AV404" s="2"/>
      <c r="AW404" s="2"/>
      <c r="AX404" s="2"/>
      <c r="AY404" s="2"/>
      <c r="AZ404" s="2"/>
      <c r="BA404" s="2"/>
      <c r="BB404" s="2"/>
      <c r="BC404" s="2"/>
      <c r="BD404" s="2"/>
      <c r="BE404" s="2"/>
      <c r="BK404" s="2"/>
      <c r="BM404" s="2"/>
      <c r="BN404" s="2"/>
      <c r="BO404" s="2"/>
      <c r="BS404" s="11"/>
      <c r="BT404" s="2"/>
      <c r="BU404" s="3"/>
      <c r="BV404" s="3"/>
      <c r="BW404" s="2"/>
      <c r="BX404" s="2"/>
      <c r="BY404" s="2"/>
      <c r="BZ404" s="2"/>
      <c r="CA404" s="2"/>
      <c r="CB404" s="2"/>
      <c r="CC404" s="2"/>
      <c r="CD404" s="1"/>
      <c r="CE404" s="1"/>
      <c r="CF404" s="1"/>
      <c r="CG404" s="1"/>
      <c r="CH404" s="1"/>
      <c r="CI404" s="2"/>
      <c r="CJ404" s="2"/>
      <c r="CK404" s="2"/>
      <c r="CL404" s="2"/>
      <c r="CM404" s="2"/>
      <c r="CN404" s="2"/>
      <c r="CO404" s="2"/>
      <c r="CP404" s="2"/>
      <c r="CQ404" s="2"/>
      <c r="CR404" s="2"/>
      <c r="CS404" s="2"/>
      <c r="CT404" s="2"/>
      <c r="CU404" s="2"/>
      <c r="CV404" s="2"/>
      <c r="CW404" s="2"/>
      <c r="CX404" s="2"/>
      <c r="CY404" s="2"/>
      <c r="CZ404" s="2"/>
    </row>
    <row r="405" spans="44:104" ht="15" hidden="1" customHeight="1" x14ac:dyDescent="0.2">
      <c r="AR405" s="2"/>
      <c r="AS405" s="2"/>
      <c r="AT405" s="2"/>
      <c r="AU405" s="2"/>
      <c r="AV405" s="2"/>
      <c r="AW405" s="2"/>
      <c r="AX405" s="2"/>
      <c r="AY405" s="2"/>
      <c r="AZ405" s="2"/>
      <c r="BA405" s="2"/>
      <c r="BB405" s="2"/>
      <c r="BC405" s="2"/>
      <c r="BD405" s="2"/>
      <c r="BE405" s="2"/>
      <c r="BK405" s="2"/>
      <c r="BM405" s="2"/>
      <c r="BN405" s="2"/>
      <c r="BO405" s="2"/>
      <c r="BS405" s="11"/>
      <c r="BT405" s="2"/>
      <c r="BU405" s="3"/>
      <c r="BV405" s="3"/>
      <c r="BW405" s="2"/>
      <c r="BX405" s="2"/>
      <c r="BY405" s="2"/>
      <c r="BZ405" s="2"/>
      <c r="CA405" s="2"/>
      <c r="CB405" s="2"/>
      <c r="CC405" s="2"/>
      <c r="CD405" s="1"/>
      <c r="CE405" s="1"/>
      <c r="CF405" s="1"/>
      <c r="CG405" s="1"/>
      <c r="CH405" s="1"/>
      <c r="CI405" s="2"/>
      <c r="CJ405" s="2"/>
      <c r="CK405" s="2"/>
      <c r="CL405" s="2"/>
      <c r="CM405" s="2"/>
      <c r="CN405" s="2"/>
      <c r="CO405" s="2"/>
      <c r="CP405" s="2"/>
      <c r="CQ405" s="2"/>
      <c r="CR405" s="2"/>
      <c r="CS405" s="2"/>
      <c r="CT405" s="2"/>
      <c r="CU405" s="2"/>
      <c r="CV405" s="2"/>
      <c r="CW405" s="2"/>
      <c r="CX405" s="2"/>
      <c r="CY405" s="2"/>
      <c r="CZ405" s="2"/>
    </row>
    <row r="406" spans="44:104" ht="15" hidden="1" customHeight="1" x14ac:dyDescent="0.2">
      <c r="AR406" s="2"/>
      <c r="AS406" s="2"/>
      <c r="AT406" s="2"/>
      <c r="AU406" s="2"/>
      <c r="AV406" s="2"/>
      <c r="AW406" s="2"/>
      <c r="AX406" s="2"/>
      <c r="AY406" s="2"/>
      <c r="AZ406" s="2"/>
      <c r="BA406" s="2"/>
      <c r="BB406" s="2"/>
      <c r="BC406" s="2"/>
      <c r="BD406" s="2"/>
      <c r="BE406" s="2"/>
      <c r="BK406" s="2"/>
      <c r="BM406" s="2"/>
      <c r="BN406" s="2"/>
      <c r="BO406" s="2"/>
      <c r="BS406" s="11"/>
      <c r="BT406" s="2"/>
      <c r="BU406" s="3"/>
      <c r="BV406" s="3"/>
      <c r="BW406" s="2"/>
      <c r="BX406" s="2"/>
      <c r="BY406" s="2"/>
      <c r="BZ406" s="2"/>
      <c r="CA406" s="2"/>
      <c r="CB406" s="2"/>
      <c r="CC406" s="2"/>
      <c r="CD406" s="1"/>
      <c r="CE406" s="1"/>
      <c r="CF406" s="1"/>
      <c r="CG406" s="1"/>
      <c r="CH406" s="1"/>
      <c r="CI406" s="2"/>
      <c r="CJ406" s="2"/>
      <c r="CK406" s="2"/>
      <c r="CL406" s="2"/>
      <c r="CM406" s="2"/>
      <c r="CN406" s="2"/>
      <c r="CO406" s="2"/>
      <c r="CP406" s="2"/>
      <c r="CQ406" s="2"/>
      <c r="CR406" s="2"/>
      <c r="CS406" s="2"/>
      <c r="CT406" s="2"/>
      <c r="CU406" s="2"/>
      <c r="CV406" s="2"/>
      <c r="CW406" s="2"/>
      <c r="CX406" s="2"/>
      <c r="CY406" s="2"/>
      <c r="CZ406" s="2"/>
    </row>
  </sheetData>
  <sheetProtection algorithmName="SHA-512" hashValue="BiEPRdkJQny2/J+LfhdPdifYh+asshgOlK1lvLZY4XNjPbQV2n129SFcMdADxKt6MArxIBqWbtkiKr3O0JUiYg==" saltValue="kgLG8Yz56JWYvKQgkdROmw==" spinCount="100000" sheet="1" objects="1" scenarios="1"/>
  <mergeCells count="289">
    <mergeCell ref="O1:AC1"/>
    <mergeCell ref="AD1:AF1"/>
    <mergeCell ref="AG1:AI1"/>
    <mergeCell ref="AJ1:AL1"/>
    <mergeCell ref="O10:AC10"/>
    <mergeCell ref="O11:AC11"/>
    <mergeCell ref="O12:AC12"/>
    <mergeCell ref="O13:AC13"/>
    <mergeCell ref="O14:AC14"/>
    <mergeCell ref="O2:AC2"/>
    <mergeCell ref="O3:AC3"/>
    <mergeCell ref="O4:AC4"/>
    <mergeCell ref="O5:AC5"/>
    <mergeCell ref="O6:AC6"/>
    <mergeCell ref="O7:AC7"/>
    <mergeCell ref="O8:AC8"/>
    <mergeCell ref="O9:AC9"/>
    <mergeCell ref="AD13:AF13"/>
    <mergeCell ref="AG13:AI13"/>
    <mergeCell ref="AJ13:AL13"/>
    <mergeCell ref="AD14:AF14"/>
    <mergeCell ref="AG14:AI14"/>
    <mergeCell ref="AJ14:AL14"/>
    <mergeCell ref="B74:F74"/>
    <mergeCell ref="O16:AC16"/>
    <mergeCell ref="O17:AC17"/>
    <mergeCell ref="O15:AC15"/>
    <mergeCell ref="AG17:AI17"/>
    <mergeCell ref="AJ17:AL17"/>
    <mergeCell ref="AD15:AF15"/>
    <mergeCell ref="AD5:AF5"/>
    <mergeCell ref="AG5:AI5"/>
    <mergeCell ref="AJ5:AL5"/>
    <mergeCell ref="AD6:AF6"/>
    <mergeCell ref="AG6:AI6"/>
    <mergeCell ref="AJ6:AL6"/>
    <mergeCell ref="AD11:AF11"/>
    <mergeCell ref="AG11:AI11"/>
    <mergeCell ref="AJ11:AL11"/>
    <mergeCell ref="AD9:AF9"/>
    <mergeCell ref="AG9:AI9"/>
    <mergeCell ref="AJ9:AL9"/>
    <mergeCell ref="AD10:AF10"/>
    <mergeCell ref="AG10:AI10"/>
    <mergeCell ref="AJ10:AL10"/>
    <mergeCell ref="B72:F72"/>
    <mergeCell ref="B73:F73"/>
    <mergeCell ref="B89:F89"/>
    <mergeCell ref="AD2:AF2"/>
    <mergeCell ref="AJ2:AL2"/>
    <mergeCell ref="AG2:AI2"/>
    <mergeCell ref="AD3:AF3"/>
    <mergeCell ref="AG3:AI3"/>
    <mergeCell ref="AJ3:AL3"/>
    <mergeCell ref="AD4:AF4"/>
    <mergeCell ref="B67:F67"/>
    <mergeCell ref="B68:F68"/>
    <mergeCell ref="B69:F69"/>
    <mergeCell ref="AG41:AH41"/>
    <mergeCell ref="AI41:AM41"/>
    <mergeCell ref="B39:AO39"/>
    <mergeCell ref="W38:Y38"/>
    <mergeCell ref="Z38:AA38"/>
    <mergeCell ref="AB38:AD38"/>
    <mergeCell ref="AE38:AF38"/>
    <mergeCell ref="AG38:AI38"/>
    <mergeCell ref="AJ38:AK38"/>
    <mergeCell ref="AC37:AD37"/>
    <mergeCell ref="AE37:AI37"/>
    <mergeCell ref="AN41:AO41"/>
    <mergeCell ref="A42:AQ42"/>
    <mergeCell ref="CA69:CB69"/>
    <mergeCell ref="B70:F70"/>
    <mergeCell ref="B71:F71"/>
    <mergeCell ref="B65:F65"/>
    <mergeCell ref="BS65:BT65"/>
    <mergeCell ref="BU65:BV65"/>
    <mergeCell ref="BW65:BX65"/>
    <mergeCell ref="BY65:BZ65"/>
    <mergeCell ref="B66:F66"/>
    <mergeCell ref="BZ45:CE45"/>
    <mergeCell ref="CG45:CL45"/>
    <mergeCell ref="CN45:CS45"/>
    <mergeCell ref="CU45:CZ45"/>
    <mergeCell ref="B64:F64"/>
    <mergeCell ref="K64:O64"/>
    <mergeCell ref="Q64:U64"/>
    <mergeCell ref="W64:AA64"/>
    <mergeCell ref="AC64:AG64"/>
    <mergeCell ref="AK64:AO64"/>
    <mergeCell ref="BK45:BP45"/>
    <mergeCell ref="BS45:BX45"/>
    <mergeCell ref="AI40:AM40"/>
    <mergeCell ref="AN40:AO40"/>
    <mergeCell ref="C41:D41"/>
    <mergeCell ref="E41:K41"/>
    <mergeCell ref="L41:M41"/>
    <mergeCell ref="N41:R41"/>
    <mergeCell ref="S41:T41"/>
    <mergeCell ref="U41:Y41"/>
    <mergeCell ref="Z41:AA41"/>
    <mergeCell ref="AB41:AF41"/>
    <mergeCell ref="C40:D40"/>
    <mergeCell ref="E40:K40"/>
    <mergeCell ref="L40:M40"/>
    <mergeCell ref="N40:R40"/>
    <mergeCell ref="S40:T40"/>
    <mergeCell ref="U40:Y40"/>
    <mergeCell ref="Z40:AA40"/>
    <mergeCell ref="AB40:AF40"/>
    <mergeCell ref="AG40:AH40"/>
    <mergeCell ref="AJ37:AK37"/>
    <mergeCell ref="C38:D38"/>
    <mergeCell ref="E38:J38"/>
    <mergeCell ref="K38:L38"/>
    <mergeCell ref="M38:O38"/>
    <mergeCell ref="P38:Q38"/>
    <mergeCell ref="R38:T38"/>
    <mergeCell ref="U38:V38"/>
    <mergeCell ref="AS35:AV35"/>
    <mergeCell ref="B36:AO36"/>
    <mergeCell ref="C37:D37"/>
    <mergeCell ref="E37:J37"/>
    <mergeCell ref="K37:L37"/>
    <mergeCell ref="M37:P37"/>
    <mergeCell ref="Q37:R37"/>
    <mergeCell ref="S37:V37"/>
    <mergeCell ref="W37:X37"/>
    <mergeCell ref="Y37:AB37"/>
    <mergeCell ref="B34:AO34"/>
    <mergeCell ref="C35:D35"/>
    <mergeCell ref="E35:J35"/>
    <mergeCell ref="L35:O35"/>
    <mergeCell ref="Q35:T35"/>
    <mergeCell ref="V35:Y35"/>
    <mergeCell ref="AA35:AD35"/>
    <mergeCell ref="AF35:AI35"/>
    <mergeCell ref="AK35:AN35"/>
    <mergeCell ref="AM30:AO30"/>
    <mergeCell ref="A31:C31"/>
    <mergeCell ref="D31:AO31"/>
    <mergeCell ref="A32:AO32"/>
    <mergeCell ref="AR32:AV32"/>
    <mergeCell ref="B33:AO33"/>
    <mergeCell ref="C29:I29"/>
    <mergeCell ref="J29:M29"/>
    <mergeCell ref="N29:Q29"/>
    <mergeCell ref="R29:AC29"/>
    <mergeCell ref="AD29:AO29"/>
    <mergeCell ref="C30:I30"/>
    <mergeCell ref="J30:Q30"/>
    <mergeCell ref="R30:V30"/>
    <mergeCell ref="W30:AI30"/>
    <mergeCell ref="AJ30:AL30"/>
    <mergeCell ref="A21:B30"/>
    <mergeCell ref="C28:I28"/>
    <mergeCell ref="J28:M28"/>
    <mergeCell ref="N28:Q28"/>
    <mergeCell ref="R28:V28"/>
    <mergeCell ref="Y28:Z28"/>
    <mergeCell ref="AB28:AC28"/>
    <mergeCell ref="AD28:AH28"/>
    <mergeCell ref="AK28:AL28"/>
    <mergeCell ref="AN28:AO28"/>
    <mergeCell ref="C27:I27"/>
    <mergeCell ref="J27:M27"/>
    <mergeCell ref="N27:Q27"/>
    <mergeCell ref="R27:V27"/>
    <mergeCell ref="Y27:Z27"/>
    <mergeCell ref="AB27:AC27"/>
    <mergeCell ref="AD27:AH27"/>
    <mergeCell ref="AK27:AL27"/>
    <mergeCell ref="AN27:AO27"/>
    <mergeCell ref="C26:I26"/>
    <mergeCell ref="J26:M26"/>
    <mergeCell ref="N26:Q26"/>
    <mergeCell ref="R26:V26"/>
    <mergeCell ref="Y26:Z26"/>
    <mergeCell ref="AB26:AC26"/>
    <mergeCell ref="AD26:AH26"/>
    <mergeCell ref="AK26:AL26"/>
    <mergeCell ref="AN26:AO26"/>
    <mergeCell ref="AB24:AC24"/>
    <mergeCell ref="AD24:AH24"/>
    <mergeCell ref="AK24:AL24"/>
    <mergeCell ref="AN24:AO24"/>
    <mergeCell ref="C25:I25"/>
    <mergeCell ref="J25:M25"/>
    <mergeCell ref="N25:Q25"/>
    <mergeCell ref="R25:V25"/>
    <mergeCell ref="Y25:Z25"/>
    <mergeCell ref="AB25:AC25"/>
    <mergeCell ref="C24:I24"/>
    <mergeCell ref="J24:Q24"/>
    <mergeCell ref="R24:V24"/>
    <mergeCell ref="Y24:Z24"/>
    <mergeCell ref="AD25:AH25"/>
    <mergeCell ref="AK25:AL25"/>
    <mergeCell ref="AN25:AO25"/>
    <mergeCell ref="AN22:AO22"/>
    <mergeCell ref="C23:I23"/>
    <mergeCell ref="J23:Q23"/>
    <mergeCell ref="R23:V23"/>
    <mergeCell ref="Y23:Z23"/>
    <mergeCell ref="AB23:AC23"/>
    <mergeCell ref="AD23:AO23"/>
    <mergeCell ref="AD21:AH21"/>
    <mergeCell ref="AK21:AL21"/>
    <mergeCell ref="AN21:AO21"/>
    <mergeCell ref="C22:I22"/>
    <mergeCell ref="J22:Q22"/>
    <mergeCell ref="R22:V22"/>
    <mergeCell ref="Y22:Z22"/>
    <mergeCell ref="AB22:AC22"/>
    <mergeCell ref="AD22:AH22"/>
    <mergeCell ref="AK22:AL22"/>
    <mergeCell ref="C21:I21"/>
    <mergeCell ref="J21:Q21"/>
    <mergeCell ref="R21:V21"/>
    <mergeCell ref="Y21:Z21"/>
    <mergeCell ref="AB21:AC21"/>
    <mergeCell ref="AG15:AI15"/>
    <mergeCell ref="AJ15:AL15"/>
    <mergeCell ref="C19:F19"/>
    <mergeCell ref="O19:Z19"/>
    <mergeCell ref="AA19:AM19"/>
    <mergeCell ref="AN19:AO19"/>
    <mergeCell ref="C20:F20"/>
    <mergeCell ref="O20:Z20"/>
    <mergeCell ref="AA20:AM20"/>
    <mergeCell ref="AN20:AO20"/>
    <mergeCell ref="C17:F17"/>
    <mergeCell ref="AM17:AO17"/>
    <mergeCell ref="C18:F18"/>
    <mergeCell ref="O18:Z18"/>
    <mergeCell ref="AA18:AM18"/>
    <mergeCell ref="AN18:AO18"/>
    <mergeCell ref="AD17:AF17"/>
    <mergeCell ref="AD16:AF16"/>
    <mergeCell ref="AG16:AI16"/>
    <mergeCell ref="AJ16:AL16"/>
    <mergeCell ref="AM5:AO5"/>
    <mergeCell ref="C6:F6"/>
    <mergeCell ref="AM6:AO6"/>
    <mergeCell ref="C15:F15"/>
    <mergeCell ref="AM15:AO15"/>
    <mergeCell ref="C16:F16"/>
    <mergeCell ref="AM16:AO16"/>
    <mergeCell ref="C13:F13"/>
    <mergeCell ref="AM13:AO13"/>
    <mergeCell ref="C14:F14"/>
    <mergeCell ref="AM14:AO14"/>
    <mergeCell ref="C11:F11"/>
    <mergeCell ref="AM11:AO11"/>
    <mergeCell ref="C12:F12"/>
    <mergeCell ref="AM12:AO12"/>
    <mergeCell ref="AD7:AF7"/>
    <mergeCell ref="AG7:AI7"/>
    <mergeCell ref="AJ7:AL7"/>
    <mergeCell ref="AD8:AF8"/>
    <mergeCell ref="AG8:AI8"/>
    <mergeCell ref="AJ8:AL8"/>
    <mergeCell ref="AD12:AF12"/>
    <mergeCell ref="AG12:AI12"/>
    <mergeCell ref="AJ12:AL12"/>
    <mergeCell ref="B75:F75"/>
    <mergeCell ref="B76:F76"/>
    <mergeCell ref="AM3:AO3"/>
    <mergeCell ref="C4:F4"/>
    <mergeCell ref="AM4:AO4"/>
    <mergeCell ref="AG4:AI4"/>
    <mergeCell ref="AJ4:AL4"/>
    <mergeCell ref="AP1:AP39"/>
    <mergeCell ref="AX1:BF1"/>
    <mergeCell ref="C2:F2"/>
    <mergeCell ref="AM2:AO2"/>
    <mergeCell ref="C3:F3"/>
    <mergeCell ref="C1:F1"/>
    <mergeCell ref="G1:I1"/>
    <mergeCell ref="AM1:AO1"/>
    <mergeCell ref="C9:F9"/>
    <mergeCell ref="AM9:AO9"/>
    <mergeCell ref="C10:F10"/>
    <mergeCell ref="AM10:AO10"/>
    <mergeCell ref="C7:F7"/>
    <mergeCell ref="AM7:AO7"/>
    <mergeCell ref="C8:F8"/>
    <mergeCell ref="AM8:AO8"/>
    <mergeCell ref="C5:F5"/>
  </mergeCells>
  <conditionalFormatting sqref="B2:O17 AD2:AD17 AJ2:AJ17">
    <cfRule type="cellIs" dxfId="115" priority="7" operator="equal">
      <formula>0</formula>
    </cfRule>
  </conditionalFormatting>
  <conditionalFormatting sqref="B43:AF58">
    <cfRule type="cellIs" dxfId="114" priority="6" operator="equal">
      <formula>0</formula>
    </cfRule>
  </conditionalFormatting>
  <conditionalFormatting sqref="B18:AO20">
    <cfRule type="cellIs" dxfId="113" priority="2" operator="equal">
      <formula>0</formula>
    </cfRule>
  </conditionalFormatting>
  <conditionalFormatting sqref="G2:N20">
    <cfRule type="cellIs" dxfId="112" priority="3" operator="equal">
      <formula>"0+"</formula>
    </cfRule>
  </conditionalFormatting>
  <conditionalFormatting sqref="I18:I20">
    <cfRule type="cellIs" dxfId="111" priority="4" operator="equal">
      <formula>2</formula>
    </cfRule>
  </conditionalFormatting>
  <conditionalFormatting sqref="J2:K17">
    <cfRule type="cellIs" dxfId="110" priority="9" operator="lessThan">
      <formula>W66</formula>
    </cfRule>
    <cfRule type="cellIs" dxfId="109" priority="10" operator="greaterThan">
      <formula>W66</formula>
    </cfRule>
  </conditionalFormatting>
  <conditionalFormatting sqref="L2:L17">
    <cfRule type="expression" dxfId="108" priority="22">
      <formula>M66&lt;Y66</formula>
    </cfRule>
  </conditionalFormatting>
  <conditionalFormatting sqref="L2:M17">
    <cfRule type="expression" dxfId="107" priority="21">
      <formula>M66&gt;Y66</formula>
    </cfRule>
  </conditionalFormatting>
  <conditionalFormatting sqref="M2:M12">
    <cfRule type="expression" dxfId="106" priority="26">
      <formula>N66&lt;Z66</formula>
    </cfRule>
  </conditionalFormatting>
  <conditionalFormatting sqref="M13">
    <cfRule type="expression" dxfId="105" priority="31">
      <formula>N77&lt;Z77</formula>
    </cfRule>
  </conditionalFormatting>
  <conditionalFormatting sqref="M14:M17">
    <cfRule type="expression" dxfId="104" priority="32">
      <formula>N78&lt;Z78</formula>
    </cfRule>
  </conditionalFormatting>
  <conditionalFormatting sqref="N2:N17">
    <cfRule type="expression" dxfId="103" priority="11">
      <formula>O66&lt;AA66</formula>
    </cfRule>
    <cfRule type="expression" dxfId="102" priority="12">
      <formula>O66&gt;AA66</formula>
    </cfRule>
  </conditionalFormatting>
  <conditionalFormatting sqref="O2:O17">
    <cfRule type="expression" dxfId="101" priority="20">
      <formula>AW2&lt;&gt;""</formula>
    </cfRule>
    <cfRule type="cellIs" dxfId="100" priority="19" operator="equal">
      <formula>0&amp;BF2</formula>
    </cfRule>
  </conditionalFormatting>
  <conditionalFormatting sqref="O18 AA18">
    <cfRule type="expression" dxfId="99" priority="23">
      <formula>$AS$18&lt;&gt;""</formula>
    </cfRule>
  </conditionalFormatting>
  <conditionalFormatting sqref="O19:O20 AA19:AA20">
    <cfRule type="expression" dxfId="98" priority="24">
      <formula>$AS$19&lt;&gt;""</formula>
    </cfRule>
  </conditionalFormatting>
  <conditionalFormatting sqref="W28">
    <cfRule type="expression" dxfId="97" priority="15">
      <formula>$Y$28=0</formula>
    </cfRule>
  </conditionalFormatting>
  <conditionalFormatting sqref="W30">
    <cfRule type="cellIs" dxfId="96" priority="8" operator="equal">
      <formula>0</formula>
    </cfRule>
  </conditionalFormatting>
  <conditionalFormatting sqref="X28:AA28">
    <cfRule type="expression" dxfId="95" priority="13">
      <formula>$Y$28=0</formula>
    </cfRule>
  </conditionalFormatting>
  <conditionalFormatting sqref="AB28:AC28">
    <cfRule type="expression" dxfId="94" priority="14">
      <formula>$Y$28=0</formula>
    </cfRule>
  </conditionalFormatting>
  <conditionalFormatting sqref="AG2:AG17">
    <cfRule type="cellIs" dxfId="93" priority="1" operator="equal">
      <formula>0</formula>
    </cfRule>
  </conditionalFormatting>
  <conditionalFormatting sqref="AG43:AH59">
    <cfRule type="cellIs" dxfId="92" priority="5" operator="equal">
      <formula>0</formula>
    </cfRule>
  </conditionalFormatting>
  <conditionalFormatting sqref="AI28">
    <cfRule type="expression" dxfId="91" priority="18">
      <formula>$AK$28=0</formula>
    </cfRule>
  </conditionalFormatting>
  <conditionalFormatting sqref="AJ21:AL21">
    <cfRule type="expression" dxfId="90" priority="37">
      <formula>$AK$21=0</formula>
    </cfRule>
  </conditionalFormatting>
  <conditionalFormatting sqref="AJ28:AL28">
    <cfRule type="expression" dxfId="89" priority="16">
      <formula>$AK$28=0</formula>
    </cfRule>
  </conditionalFormatting>
  <conditionalFormatting sqref="AJ24:AM24">
    <cfRule type="expression" dxfId="88" priority="27">
      <formula>$AK$24=0</formula>
    </cfRule>
  </conditionalFormatting>
  <conditionalFormatting sqref="AJ25:AM25">
    <cfRule type="expression" dxfId="87" priority="28">
      <formula>$AK$25=0</formula>
    </cfRule>
  </conditionalFormatting>
  <conditionalFormatting sqref="AJ26:AM26">
    <cfRule type="expression" dxfId="86" priority="29">
      <formula>$AK$26=0</formula>
    </cfRule>
  </conditionalFormatting>
  <conditionalFormatting sqref="AJ27:AM27">
    <cfRule type="expression" dxfId="85" priority="30">
      <formula>$AK$27=0</formula>
    </cfRule>
  </conditionalFormatting>
  <conditionalFormatting sqref="AN18:AO20">
    <cfRule type="cellIs" dxfId="84" priority="25" operator="equal">
      <formula>0</formula>
    </cfRule>
  </conditionalFormatting>
  <conditionalFormatting sqref="AN21:AO21">
    <cfRule type="expression" dxfId="83" priority="38">
      <formula>$AK$21=0</formula>
    </cfRule>
  </conditionalFormatting>
  <conditionalFormatting sqref="AN24:AO24">
    <cfRule type="expression" dxfId="82" priority="33">
      <formula>$AK$24=0</formula>
    </cfRule>
  </conditionalFormatting>
  <conditionalFormatting sqref="AN25:AO25">
    <cfRule type="expression" dxfId="81" priority="34">
      <formula>$AK$25=0</formula>
    </cfRule>
  </conditionalFormatting>
  <conditionalFormatting sqref="AN26:AO26">
    <cfRule type="expression" dxfId="80" priority="35">
      <formula>$AK$26=0</formula>
    </cfRule>
  </conditionalFormatting>
  <conditionalFormatting sqref="AN27:AO27">
    <cfRule type="expression" dxfId="79" priority="36">
      <formula>$AK$27=0</formula>
    </cfRule>
  </conditionalFormatting>
  <conditionalFormatting sqref="AN28:AO28">
    <cfRule type="expression" dxfId="78" priority="17">
      <formula>$AK$28=0</formula>
    </cfRule>
  </conditionalFormatting>
  <dataValidations count="38">
    <dataValidation type="list" allowBlank="1" showErrorMessage="1" sqref="C2:C17" xr:uid="{685C5DF8-689B-4D0E-B621-A44B9423DC5E}">
      <formula1>$BJ$2:$BJ$14</formula1>
    </dataValidation>
    <dataValidation type="list" allowBlank="1" showErrorMessage="1" sqref="AC37" xr:uid="{C5595738-09EF-4819-A4B6-B7C2E25AE0BB}">
      <formula1>$AQ$65:$AQ$164</formula1>
    </dataValidation>
    <dataValidation type="list" allowBlank="1" showErrorMessage="1" sqref="C38 K38" xr:uid="{65BED158-4C82-45BA-83D1-1CDA32521466}">
      <formula1>$AS$65:$AS$75</formula1>
    </dataValidation>
    <dataValidation type="list" allowBlank="1" showErrorMessage="1" sqref="AJ37" xr:uid="{637FC2BE-567A-4BBB-8122-8B222835D1B6}">
      <formula1>$AS$65:$AS$135</formula1>
    </dataValidation>
    <dataValidation type="list" allowBlank="1" showErrorMessage="1" sqref="AD26" xr:uid="{14CEB1D1-8B5F-437C-A0BF-A4DCC518EC75}">
      <formula1>$BL$64:$BL$69</formula1>
    </dataValidation>
    <dataValidation type="list" allowBlank="1" showErrorMessage="1" sqref="W26 Z35" xr:uid="{DE024872-C7E0-46BD-939B-FB2971BA0405}">
      <formula1>$AY$67:$AY$71</formula1>
    </dataValidation>
    <dataValidation type="list" allowBlank="1" showErrorMessage="1" sqref="W25 AO35 AI28" xr:uid="{1FF6052E-1B50-4159-8BF3-FDCEB183724B}">
      <formula1>$AY$67:$AY$69</formula1>
    </dataValidation>
    <dataValidation type="list" allowBlank="1" showErrorMessage="1" sqref="AI27 K35" xr:uid="{18A64F3C-2E78-4438-96CE-251EC1B657FF}">
      <formula1>$AY$67:$AY$70</formula1>
    </dataValidation>
    <dataValidation type="list" allowBlank="1" showErrorMessage="1" sqref="AJ30" xr:uid="{02E4F221-997E-4CC9-BDF0-A8910DC75EEB}">
      <formula1>$BA$81:$BA$86</formula1>
    </dataValidation>
    <dataValidation type="list" allowBlank="1" showErrorMessage="1" sqref="W24 W21" xr:uid="{D40D771E-06CE-44C9-939F-CA0F5C5064EA}">
      <formula1>$AY$67:$AY$73</formula1>
    </dataValidation>
    <dataValidation type="list" allowBlank="1" showErrorMessage="1" sqref="C37 W37 K37" xr:uid="{E58523EB-D5B1-4851-AA0C-B6C36C96EBA6}">
      <formula1>$AX$67:$AX$88</formula1>
    </dataValidation>
    <dataValidation type="list" allowBlank="1" showErrorMessage="1" sqref="W22" xr:uid="{934D85ED-7351-493D-B842-D53C0D11798A}">
      <formula1>$AY$67:$AY$75</formula1>
    </dataValidation>
    <dataValidation type="list" allowBlank="1" showErrorMessage="1" sqref="C35" xr:uid="{0CD08B1B-614C-47C2-B29C-7973F26B9466}">
      <formula1>valorequipo</formula1>
    </dataValidation>
    <dataValidation type="list" allowBlank="1" showErrorMessage="1" sqref="P38 AJ38 AE38 Z38 U38" xr:uid="{B68C67AC-66A3-409C-A1C3-D3762E632C5E}">
      <formula1>$AS$65:$AS$85</formula1>
    </dataValidation>
    <dataValidation type="list" allowBlank="1" showErrorMessage="1" sqref="AD24" xr:uid="{6CB6B279-5A78-4482-8EC4-2553AC192765}">
      <formula1>$BD$64:$BD$74</formula1>
    </dataValidation>
    <dataValidation type="list" allowBlank="1" showErrorMessage="1" sqref="P35 AJ35 AE35 U35" xr:uid="{D108AC57-EC4A-4EB5-BA69-6874848F243A}">
      <formula1>$BB$73:$BB$74</formula1>
    </dataValidation>
    <dataValidation type="list" allowBlank="1" showErrorMessage="1" sqref="W27:W28 AI21:AI22 AI24:AI26" xr:uid="{47CFB614-5F5B-46BF-830D-7EDCAF8E2D82}">
      <formula1>$AY$67:$AY$68</formula1>
    </dataValidation>
    <dataValidation type="list" allowBlank="1" showErrorMessage="1" sqref="W23" xr:uid="{87E35EF3-098B-41F2-B533-D9467680B90C}">
      <formula1>$AY$67:$AY$77</formula1>
    </dataValidation>
    <dataValidation type="list" allowBlank="1" showErrorMessage="1" sqref="J24:Q24" xr:uid="{AF4094EF-ABBD-4BE5-94EF-B544B7305F0F}">
      <formula1>$BA$67:$BA$71</formula1>
    </dataValidation>
    <dataValidation type="list" allowBlank="1" showErrorMessage="1" sqref="AD27:AH27" xr:uid="{1F0043BB-1C46-459C-8B36-AA0A82C2E52F}">
      <formula1>$BO$64:$BO$78</formula1>
    </dataValidation>
    <dataValidation type="list" allowBlank="1" showErrorMessage="1" sqref="AD25:AH25" xr:uid="{2E600332-CD7F-4571-8177-7A637F1AD499}">
      <formula1>$BD$64:$BD$75</formula1>
    </dataValidation>
    <dataValidation type="list" allowBlank="1" showErrorMessage="1" sqref="AG17 AD17 AJ17" xr:uid="{5630D27A-2594-4C4F-A872-8EE364992DC8}">
      <formula1>$CV$65:$CV$139</formula1>
    </dataValidation>
    <dataValidation type="list" allowBlank="1" showErrorMessage="1" sqref="AG16 AD16 AJ16" xr:uid="{2F15B1BB-1BFF-4B50-B30C-7D1B09607C13}">
      <formula1>$CU$65:$CU$139</formula1>
    </dataValidation>
    <dataValidation type="list" allowBlank="1" showErrorMessage="1" sqref="AG15 AD15 AJ15" xr:uid="{6783027C-8D6F-4AFB-A516-EA00586D9975}">
      <formula1>$CT$65:$CT$139</formula1>
    </dataValidation>
    <dataValidation type="list" allowBlank="1" showErrorMessage="1" sqref="AG14 AD14 AJ14" xr:uid="{BADCF4D2-FAAB-4AA1-AD04-90700DA3B409}">
      <formula1>$CS$65:$CS$139</formula1>
    </dataValidation>
    <dataValidation type="list" allowBlank="1" showErrorMessage="1" sqref="AG13 AD13 AJ13" xr:uid="{63D6F1B7-9E6F-4A34-8583-F565D4B43652}">
      <formula1>$CR$65:$CR$139</formula1>
    </dataValidation>
    <dataValidation type="list" allowBlank="1" showErrorMessage="1" sqref="AG12 AD12 AJ12" xr:uid="{9CD2EB98-1D49-4CF9-81B8-518E7D2987E9}">
      <formula1>$CQ$65:$CQ$139</formula1>
    </dataValidation>
    <dataValidation type="list" allowBlank="1" showErrorMessage="1" sqref="AG11 AD11 AJ11" xr:uid="{508B06AA-ED43-4A39-8EC5-D6272A33C2E9}">
      <formula1>$CP$65:$CP$139</formula1>
    </dataValidation>
    <dataValidation type="list" allowBlank="1" showErrorMessage="1" sqref="AG10 AD10 AJ10" xr:uid="{EF675989-2506-46AC-9A73-8328E06B6A4D}">
      <formula1>$CO$65:$CO$139</formula1>
    </dataValidation>
    <dataValidation type="list" allowBlank="1" showErrorMessage="1" sqref="AG9 AD9 AJ9" xr:uid="{D5E348C6-7E59-4D33-92A0-E88E9D76DFF2}">
      <formula1>$CN$65:$CN$139</formula1>
    </dataValidation>
    <dataValidation type="list" allowBlank="1" showErrorMessage="1" sqref="AG8 AD8 AJ8" xr:uid="{717D6FC0-8DBC-4132-8FB3-1BB7E8CCBEB4}">
      <formula1>$CM$65:$CM$139</formula1>
    </dataValidation>
    <dataValidation type="list" allowBlank="1" showErrorMessage="1" sqref="AG7 AD7 AJ7" xr:uid="{24FCC926-11D9-4392-8FC6-6D1CD1DA0FFE}">
      <formula1>$CL$65:$CL$139</formula1>
    </dataValidation>
    <dataValidation type="list" allowBlank="1" showErrorMessage="1" sqref="AG6 AD6 AJ6" xr:uid="{6F8373EF-12F4-42D7-B634-79EC7D22D9F0}">
      <formula1>$CK$65:$CK$139</formula1>
    </dataValidation>
    <dataValidation type="list" allowBlank="1" showErrorMessage="1" sqref="AG5 AD5 AJ5" xr:uid="{9A243DB2-0C78-4958-8E58-C6FC1C167D92}">
      <formula1>$CJ$65:$CJ$139</formula1>
    </dataValidation>
    <dataValidation type="list" allowBlank="1" showErrorMessage="1" sqref="AG4 AD4 AJ4" xr:uid="{41EC595C-2C57-4F41-928E-1E01B97B8FCF}">
      <formula1>$CI$65:$CI$139</formula1>
    </dataValidation>
    <dataValidation type="list" allowBlank="1" showErrorMessage="1" sqref="AG3 AD3 AJ3" xr:uid="{C1BB57EF-4925-48B5-A83C-518806217678}">
      <formula1>$CH$65:$CH$139</formula1>
    </dataValidation>
    <dataValidation type="list" allowBlank="1" showErrorMessage="1" sqref="AJ2 AD2 AG2" xr:uid="{5BF0588F-AF14-4A4A-B322-134314067C67}">
      <formula1>$CG$65:$CG$139</formula1>
    </dataValidation>
    <dataValidation type="list" allowBlank="1" showErrorMessage="1" sqref="J23:Q23" xr:uid="{1184B69D-E3BB-4458-9B84-FB42F010F0DA}">
      <formula1>$BM$3:$BM$36</formula1>
    </dataValidation>
  </dataValidations>
  <pageMargins left="0.19685039370078741" right="0.19685039370078741" top="0.39370078740157483" bottom="0.19685039370078741" header="0" footer="0"/>
  <pageSetup paperSize="9" scale="53"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Z406"/>
  <sheetViews>
    <sheetView zoomScale="80" zoomScaleNormal="80" workbookViewId="0"/>
  </sheetViews>
  <sheetFormatPr baseColWidth="10" defaultColWidth="0" defaultRowHeight="15" customHeight="1" zeroHeight="1" x14ac:dyDescent="0.2"/>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3" width="8" hidden="1" customWidth="1"/>
    <col min="44" max="44" width="10.7109375" hidden="1" customWidth="1"/>
    <col min="45" max="45" width="8" hidden="1" customWidth="1"/>
    <col min="46" max="46" width="7.28515625" hidden="1" customWidth="1"/>
    <col min="47"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15" hidden="1" customWidth="1"/>
    <col min="83" max="86" width="10.28515625" style="15" hidden="1" customWidth="1"/>
    <col min="87" max="94" width="8" hidden="1" customWidth="1"/>
    <col min="95" max="95" width="7.5703125" hidden="1" customWidth="1"/>
    <col min="96" max="104" width="8" hidden="1" customWidth="1"/>
    <col min="105" max="16384" width="9.140625" hidden="1"/>
  </cols>
  <sheetData>
    <row r="1" spans="1:104" ht="30" customHeight="1" x14ac:dyDescent="0.2">
      <c r="A1" s="33" t="s">
        <v>9</v>
      </c>
      <c r="B1" s="34" t="str">
        <f>IF(J24="Italiano","NOME GIOCATORE",(IF(J24="Español","NOMBRE JUGADOR",(IF(J24="Deutsch","NAME",(IF(J24="Français","NOM DU JOUEUR","PLAYER NAME")))))))</f>
        <v>NOMBRE JUGADOR</v>
      </c>
      <c r="C1" s="217" t="str">
        <f>IF(J24="Italiano","TIPO",(IF(J24="Español","TIPO",(IF(J24="Deutsch","POSITION",(IF(J24="Français","POSTE","TYPE")))))))</f>
        <v>TIPO</v>
      </c>
      <c r="D1" s="173"/>
      <c r="E1" s="173"/>
      <c r="F1" s="174"/>
      <c r="G1" s="218" t="str">
        <f>IF(J24="Italiano","QTA",(IF(J24="Español","CANT",(IF(J24="Deutsch","An- zahl",(IF(J24="Français","QTT","QTY")))))))</f>
        <v>CANT</v>
      </c>
      <c r="H1" s="173"/>
      <c r="I1" s="174"/>
      <c r="J1" s="34" t="str">
        <f>IF(J24="Español","MO",(IF(J24="Deutsch","BE",(IF(J24="Français","M","MA")))))</f>
        <v>MO</v>
      </c>
      <c r="K1" s="34" t="str">
        <f>IF(J24="Español","FU",(IF(J24="Français","F","ST")))</f>
        <v>FU</v>
      </c>
      <c r="L1" s="34" t="str">
        <f>IF(J24="Deutsch","GE","AG")</f>
        <v>AG</v>
      </c>
      <c r="M1" s="34" t="str">
        <f>IF(J24="Deutsch","WG",(IF(J24="Français","CP","PA")))</f>
        <v>PA</v>
      </c>
      <c r="N1" s="34" t="str">
        <f>IF(J24="Español","AR",(IF(J24="Deutsch","RW",(IF(J24="Français","AR","AV")))))</f>
        <v>AR</v>
      </c>
      <c r="O1" s="217" t="str">
        <f>IF(J24="Italiano","ABILITÀ",(IF(J24="Español","HABILIDADES",(IF(J24="Deutsch","FERTIGKEITEN",(IF(J24="Français","COMPÉTENCES","SKILLS")))))))</f>
        <v>HABILIDADES</v>
      </c>
      <c r="P1" s="219"/>
      <c r="Q1" s="219"/>
      <c r="R1" s="219"/>
      <c r="S1" s="219"/>
      <c r="T1" s="219"/>
      <c r="U1" s="219"/>
      <c r="V1" s="219"/>
      <c r="W1" s="219"/>
      <c r="X1" s="219"/>
      <c r="Y1" s="219"/>
      <c r="Z1" s="219"/>
      <c r="AA1" s="219"/>
      <c r="AB1" s="219"/>
      <c r="AC1" s="219"/>
      <c r="AD1" s="220"/>
      <c r="AE1" s="218" t="str">
        <f>IF(J24="Italiano","AVANZAMENTO 1",(IF(J24="Español","MEJORA 1",(IF(J24="Deutsch","VERBES- SERUNG 1",(IF(J24="Français","AMÉLIORATION 1","UPGRADE 1")))))))</f>
        <v>MEJORA 1</v>
      </c>
      <c r="AF1" s="221"/>
      <c r="AG1" s="221"/>
      <c r="AH1" s="222"/>
      <c r="AI1" s="218" t="str">
        <f>IF(J24="Italiano","AVANZAMENTO 2",(IF(J24="Español","MEJORA 2",(IF(J24="Deutsch","VERBES- SERUNG 2",(IF(J24="Français","AMÉLIORATION 2","UPGRADE 2")))))))</f>
        <v>MEJORA 2</v>
      </c>
      <c r="AJ1" s="221"/>
      <c r="AK1" s="221"/>
      <c r="AL1" s="222"/>
      <c r="AM1" s="218" t="str">
        <f>IF(J24="Italiano","COSTO",(IF(J24="Español","PRECIO",(IF(J24="Deutsch","WERT",(IF(J24="Français","VALEUR","COST")))))))</f>
        <v>PRECIO</v>
      </c>
      <c r="AN1" s="221"/>
      <c r="AO1" s="222"/>
      <c r="AP1" s="213"/>
      <c r="AQ1" s="1" t="s">
        <v>10</v>
      </c>
      <c r="AR1" s="2" t="s">
        <v>11</v>
      </c>
      <c r="AS1" s="2"/>
      <c r="AT1" s="2"/>
      <c r="AU1" s="2"/>
      <c r="AV1" s="2"/>
      <c r="AW1" s="2"/>
      <c r="AX1" s="214" t="s">
        <v>12</v>
      </c>
      <c r="AY1" s="215"/>
      <c r="AZ1" s="215"/>
      <c r="BA1" s="215"/>
      <c r="BB1" s="215"/>
      <c r="BC1" s="215"/>
      <c r="BD1" s="215"/>
      <c r="BE1" s="215"/>
      <c r="BF1" s="216"/>
      <c r="BG1" s="2"/>
      <c r="BH1" s="2"/>
      <c r="BI1" s="2"/>
      <c r="BJ1" s="2"/>
      <c r="BK1" s="2"/>
      <c r="BL1" s="2"/>
      <c r="BM1" s="2"/>
      <c r="BN1" s="2"/>
      <c r="BO1" s="2" t="str">
        <f>INDEX(BY3:BY32,(SUM(BY2:CB2)))</f>
        <v>Norse</v>
      </c>
      <c r="BP1" s="2"/>
      <c r="BQ1" s="2"/>
      <c r="BR1" s="2"/>
      <c r="BS1" s="2"/>
      <c r="BT1" s="2"/>
      <c r="BU1" s="3"/>
      <c r="BV1" s="3"/>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1:104" ht="37.5" customHeight="1" x14ac:dyDescent="0.2">
      <c r="A2" s="33">
        <v>1</v>
      </c>
      <c r="B2" s="28"/>
      <c r="C2" s="205"/>
      <c r="D2" s="206"/>
      <c r="E2" s="206"/>
      <c r="F2" s="207"/>
      <c r="G2" s="35">
        <f>IF(C2="",0,(COUNTIF(C2:F17,C2)))</f>
        <v>0</v>
      </c>
      <c r="H2" s="36" t="s">
        <v>13</v>
      </c>
      <c r="I2" s="37">
        <f>IFERROR((VLOOKUP($BO$1&amp;C2,TeamsBB2020!D:M,10,0)),0)</f>
        <v>0</v>
      </c>
      <c r="J2" s="38">
        <f t="shared" ref="J2:K2" si="0">IFERROR(K66,0)</f>
        <v>0</v>
      </c>
      <c r="K2" s="38">
        <f t="shared" si="0"/>
        <v>0</v>
      </c>
      <c r="L2" s="38" t="str">
        <f t="shared" ref="L2:N2" si="1">IFERROR(M66&amp;"+",0)</f>
        <v>0+</v>
      </c>
      <c r="M2" s="38" t="str">
        <f t="shared" si="1"/>
        <v>0+</v>
      </c>
      <c r="N2" s="38" t="str">
        <f t="shared" si="1"/>
        <v>0+</v>
      </c>
      <c r="O2" s="200">
        <f>IFERROR((IF(AV2="YES",(VLOOKUP($BO$1&amp;C2,TeamsBB2020!D:M,7,0)),AW2)),"")</f>
        <v>0</v>
      </c>
      <c r="P2" s="201"/>
      <c r="Q2" s="201"/>
      <c r="R2" s="201"/>
      <c r="S2" s="201"/>
      <c r="T2" s="201"/>
      <c r="U2" s="201"/>
      <c r="V2" s="201"/>
      <c r="W2" s="201"/>
      <c r="X2" s="201"/>
      <c r="Y2" s="201"/>
      <c r="Z2" s="201"/>
      <c r="AA2" s="201"/>
      <c r="AB2" s="201"/>
      <c r="AC2" s="201"/>
      <c r="AD2" s="202"/>
      <c r="AE2" s="208"/>
      <c r="AF2" s="209"/>
      <c r="AG2" s="209"/>
      <c r="AH2" s="210"/>
      <c r="AI2" s="208"/>
      <c r="AJ2" s="209"/>
      <c r="AK2" s="209"/>
      <c r="AL2" s="210"/>
      <c r="AM2" s="203">
        <f>IFERROR((VLOOKUP($BO$1&amp;C2,TeamsBB2020!D:M,8,0)),0)</f>
        <v>0</v>
      </c>
      <c r="AN2" s="211"/>
      <c r="AO2" s="204"/>
      <c r="AP2" s="213"/>
      <c r="AQ2" s="1">
        <f>IFERROR((((VLOOKUP($BO$1&amp;C2,TeamsBB2020!D:M,9,0)+(AK2/1000)))),0)</f>
        <v>0</v>
      </c>
      <c r="AR2" s="2">
        <f>IFERROR((VLOOKUP($BO$1&amp;C2,TeamsBB2020!D:N,11,0)),0)</f>
        <v>0</v>
      </c>
      <c r="AS2" s="2" t="str">
        <f>IF(G2&gt;I2,(IF($J$24="Italiano","Limite del giocatore superato... Stai barando!",(IF($J$24="Español","Límite de jugadores excedido… ¡Estás haciendo trampas!",(IF($J$24="Deutsch","Spieler-Limit überschritten… Du schummelst!",(IF($J$24="Français","Tu as trop de joueurs… Tricheur!","Player limit exceded… You are cheating!")))))))),"")</f>
        <v/>
      </c>
      <c r="AT2" s="2" t="str">
        <f>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2"/>
      <c r="AV2" s="2" t="str">
        <f>IF(AS2&lt;&gt;"","NO",IF(AT2&lt;&gt;"","NO",IF(AU2&lt;&gt;"","NO","YES")))</f>
        <v>YES</v>
      </c>
      <c r="AW2" s="2" t="str">
        <f t="shared" ref="AW2:AW17" si="2">IF(AS2&lt;&gt;"",AS2,(IF(AT2&lt;&gt;"",AT2,(IF(AU2&lt;&gt;"",AU2,"")))))</f>
        <v/>
      </c>
      <c r="AX2" s="39" t="str">
        <f t="shared" ref="AX2:AX17" si="3">IF(Y2&lt;&gt;"",(IF(OR(Y2="+ MA", Y2="+ST", Y2="- PA", Y2="+ AV", Y2="+ MO", Y2="+ FU", Y2="+ M", Y2="+ F", Y2="- CP", Y2="- AG", Y2="+ AR", Y2="+ BE", Y2="+ ST", Y2="- WG", Y2="- GE", Y2="+ RW"),"",BG2&amp;Y2)),"")</f>
        <v/>
      </c>
      <c r="AY2" s="39" t="str">
        <f t="shared" ref="AY2:AY17" si="4">IF(AA2&lt;&gt;"",(IF(OR(AA2="+ MA", AA2="+ST", AA2="- PA", AA2="+ AV", AA2="+ MO", AA2="+ FU", AA2="+ M", AA2="+ F", AA2="- CP", AA2="- AG", AA2="+ AR", AA2="+ BE", AA2="+ ST", AA2="- WG", AA2="- GE", AA2="+ RW"),"",", "&amp;AA2)),"")</f>
        <v/>
      </c>
      <c r="AZ2" s="39" t="str">
        <f t="shared" ref="AZ2:AZ17" si="5">IF(AC2&lt;&gt;"",(IF(OR(AC2="+ MA", AC2="+ST", AC2="- PA", AC2="+ AV", AC2="+ MO", AC2="+ FU", AC2="+ M", AC2="+ F", AC2="- CP", AC2="- AG", AC2="+ AR", AC2="+ BE", AC2="+ ST", AC2="- WG", AC2="- GE", AC2="+ RW"),"",", "&amp;AC2)),"")</f>
        <v/>
      </c>
      <c r="BA2" s="39" t="str">
        <f t="shared" ref="BA2:BA17" si="6">IF(AE2&lt;&gt;"",(IF(OR(AE2="+ MA", AE2="+ST", AE2="- PA", AE2="+ AV", AE2="+ MO", AE2="+ FU", AE2="+ M", AE2="+ F", AE2="- CP", AE2="- AG", AE2="+ AR", AE2="+ BE", AE2="+ ST", AE2="- WG", AE2="- GE", AE2="+ RW"),"",", "&amp;AE2)),"")</f>
        <v/>
      </c>
      <c r="BB2" s="39"/>
      <c r="BC2" s="39"/>
      <c r="BD2" s="39" t="str">
        <f t="shared" ref="BD2:BD17" si="7">IF(AC43=0,"",BH2&amp;AC43)</f>
        <v/>
      </c>
      <c r="BE2" s="39" t="str">
        <f t="shared" ref="BE2:BE17" si="8">((IF(AJ43&gt;0," - "&amp;AJ43&amp;" NI", "")))</f>
        <v/>
      </c>
      <c r="BF2" s="40" t="e">
        <f>IF(#REF!&lt;0,"",AX2&amp;AY2&amp;AZ2&amp;BA2&amp;BB2&amp;BC2&amp;BD2&amp;BE2)</f>
        <v>#REF!</v>
      </c>
      <c r="BG2" s="4" t="str">
        <f>IFERROR((IF((VLOOKUP($BO$1&amp;C2,TeamsBB2020!D:M,7,0))="","",", ")),"")</f>
        <v xml:space="preserve">, </v>
      </c>
      <c r="BH2" t="str">
        <f>IF(AND((VLOOKUP($BO$1&amp;C2,TeamsBB2020!D:M,7,0))="",AX2=""),"",", ")</f>
        <v xml:space="preserve">, </v>
      </c>
      <c r="BI2" s="2" t="str">
        <f>$BO$1&amp;1</f>
        <v>Norse1</v>
      </c>
      <c r="BJ2" t="str">
        <f>IFERROR(IF((VLOOKUP(BI2,TeamsBB2020!B:C,2,FALSE))=0,"",(VLOOKUP(BI2,TeamsBB2020!B:C,2,FALSE))),"")</f>
        <v/>
      </c>
      <c r="BK2" s="2"/>
      <c r="BL2" s="2"/>
      <c r="BM2" s="5"/>
      <c r="BN2" s="5" t="s">
        <v>14</v>
      </c>
      <c r="BO2" s="2" t="str">
        <f>INDEX(BN3:BN36,(SUM(BY2:CB2)))</f>
        <v>Lizardman</v>
      </c>
      <c r="BP2" s="5" t="s">
        <v>15</v>
      </c>
      <c r="BQ2" s="5" t="s">
        <v>16</v>
      </c>
      <c r="BR2" s="5" t="s">
        <v>17</v>
      </c>
      <c r="BS2" s="6" t="s">
        <v>18</v>
      </c>
      <c r="BT2" s="6" t="s">
        <v>19</v>
      </c>
      <c r="BU2" s="3" t="str">
        <f>VLOOKUP(BO1,BL:BT,9,FALSE)</f>
        <v>OldWorldClassicFavouredof</v>
      </c>
      <c r="BV2" s="3">
        <f>VLOOKUP(BO1,BL1:BU44,10,FALSE)</f>
        <v>0</v>
      </c>
      <c r="BW2" s="3">
        <f>VLOOKUP(BO1,BL1:BV44,11,FALSE)</f>
        <v>0</v>
      </c>
      <c r="BX2" s="6"/>
      <c r="BY2" s="5">
        <f>IFERROR(MATCH($J$23,BY3:BY50,0),0)</f>
        <v>0</v>
      </c>
      <c r="BZ2" s="5">
        <f>IFERROR(MATCH($J$23,BZ3:BZ50,0),0)</f>
        <v>18</v>
      </c>
      <c r="CA2" s="5">
        <f>IFERROR(MATCH($J$23,CA3:CA50,0),0)</f>
        <v>0</v>
      </c>
      <c r="CB2" s="5">
        <f>IFERROR(MATCH($J$23,CB3:CB50,0),0)</f>
        <v>0</v>
      </c>
      <c r="CC2" s="5"/>
      <c r="CD2" s="5"/>
      <c r="CE2" s="41" t="s">
        <v>1083</v>
      </c>
      <c r="CF2" s="41" t="s">
        <v>1084</v>
      </c>
      <c r="CG2" s="41" t="s">
        <v>1085</v>
      </c>
      <c r="CH2" s="41" t="s">
        <v>1086</v>
      </c>
      <c r="CI2" s="2"/>
      <c r="CJ2" s="2"/>
      <c r="CK2" s="2"/>
      <c r="CL2" s="2"/>
      <c r="CM2" s="2"/>
      <c r="CN2" s="2"/>
      <c r="CO2" s="2"/>
      <c r="CP2" s="2"/>
      <c r="CQ2" s="2"/>
      <c r="CR2" s="2"/>
      <c r="CS2" s="2"/>
      <c r="CT2" s="2"/>
      <c r="CU2" s="2"/>
      <c r="CV2" s="2"/>
      <c r="CW2" s="2"/>
      <c r="CX2" s="2"/>
      <c r="CY2" s="2"/>
      <c r="CZ2" s="2"/>
    </row>
    <row r="3" spans="1:104" ht="37.5" customHeight="1" x14ac:dyDescent="0.2">
      <c r="A3" s="33">
        <v>2</v>
      </c>
      <c r="B3" s="29"/>
      <c r="C3" s="205"/>
      <c r="D3" s="206"/>
      <c r="E3" s="206"/>
      <c r="F3" s="207"/>
      <c r="G3" s="35">
        <f>IF(C3="",0,(COUNTIF(C2:F17,C3)))</f>
        <v>0</v>
      </c>
      <c r="H3" s="36" t="s">
        <v>13</v>
      </c>
      <c r="I3" s="37">
        <f>IFERROR((VLOOKUP($BO$1&amp;C3,TeamsBB2020!D:M,10,0)),0)</f>
        <v>0</v>
      </c>
      <c r="J3" s="38">
        <f t="shared" ref="J3:K3" si="9">IFERROR(K67,0)</f>
        <v>0</v>
      </c>
      <c r="K3" s="38">
        <f t="shared" si="9"/>
        <v>0</v>
      </c>
      <c r="L3" s="38" t="str">
        <f t="shared" ref="L3:N3" si="10">IFERROR(M67&amp;"+",0)</f>
        <v>0+</v>
      </c>
      <c r="M3" s="38" t="str">
        <f t="shared" si="10"/>
        <v>0+</v>
      </c>
      <c r="N3" s="38" t="str">
        <f t="shared" si="10"/>
        <v>0+</v>
      </c>
      <c r="O3" s="200">
        <f>IFERROR((IF(AV3="YES",(VLOOKUP($BO$1&amp;C3,TeamsBB2020!D:M,7,0)),AW3)),"")</f>
        <v>0</v>
      </c>
      <c r="P3" s="201"/>
      <c r="Q3" s="201"/>
      <c r="R3" s="201"/>
      <c r="S3" s="201"/>
      <c r="T3" s="201"/>
      <c r="U3" s="201"/>
      <c r="V3" s="201"/>
      <c r="W3" s="201"/>
      <c r="X3" s="201"/>
      <c r="Y3" s="201"/>
      <c r="Z3" s="201"/>
      <c r="AA3" s="201"/>
      <c r="AB3" s="201"/>
      <c r="AC3" s="201"/>
      <c r="AD3" s="202"/>
      <c r="AE3" s="208"/>
      <c r="AF3" s="209"/>
      <c r="AG3" s="209"/>
      <c r="AH3" s="210"/>
      <c r="AI3" s="208"/>
      <c r="AJ3" s="209"/>
      <c r="AK3" s="209"/>
      <c r="AL3" s="210"/>
      <c r="AM3" s="203">
        <f>IFERROR((VLOOKUP($BO$1&amp;C3,TeamsBB2020!D:M,8,0)),0)</f>
        <v>0</v>
      </c>
      <c r="AN3" s="211"/>
      <c r="AO3" s="204"/>
      <c r="AP3" s="213"/>
      <c r="AQ3" s="1">
        <f>IFERROR((((VLOOKUP($BO$1&amp;C3,TeamsBB2020!D:M,9,0)+(AK3/1000)))),0)</f>
        <v>0</v>
      </c>
      <c r="AR3" s="2">
        <f>IFERROR((VLOOKUP($BO$1&amp;C3,TeamsBB2020!D:N,11,0)),0)</f>
        <v>0</v>
      </c>
      <c r="AS3" s="2" t="str">
        <f t="shared" ref="AS3:AS17" si="11">IF(G3&gt;I3,(IF($J$24="Italiano","Limite del giocatore superato... Stai barando!",(IF($J$24="Español","Límite de jugadores excedido… ¡Estás haciendo trampas!",(IF($J$24="Deutsch","Spieler-Limit überschritten… Du schummelst!",(IF($J$24="Français","Tu as trop de joueurs… Tricheur!","Player limit exceded… You are cheating!")))))))),"")</f>
        <v/>
      </c>
      <c r="AT3" s="2" t="str">
        <f t="shared" ref="AT3:AT15" si="12">IF(AR3&gt;0,(IF($BA$77&gt;$BA$79,(IF($J$24="Italiano","Il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3" s="2"/>
      <c r="AV3" s="2" t="str">
        <f t="shared" ref="AV3:AV17" si="13">IF(AS3&lt;&gt;"","NO",IF(AT3&lt;&gt;"","NO",IF(AU3&lt;&gt;"","NO","YES")))</f>
        <v>YES</v>
      </c>
      <c r="AW3" s="2" t="str">
        <f t="shared" si="2"/>
        <v/>
      </c>
      <c r="AX3" s="39" t="str">
        <f t="shared" si="3"/>
        <v/>
      </c>
      <c r="AY3" s="39" t="str">
        <f t="shared" si="4"/>
        <v/>
      </c>
      <c r="AZ3" s="39" t="str">
        <f t="shared" si="5"/>
        <v/>
      </c>
      <c r="BA3" s="39" t="str">
        <f t="shared" si="6"/>
        <v/>
      </c>
      <c r="BB3" s="39"/>
      <c r="BC3" s="39"/>
      <c r="BD3" s="39" t="str">
        <f t="shared" si="7"/>
        <v/>
      </c>
      <c r="BE3" s="39" t="str">
        <f t="shared" si="8"/>
        <v/>
      </c>
      <c r="BF3" s="40" t="e">
        <f>IF(#REF!&lt;0,"",AX3&amp;AY3&amp;AZ3&amp;BA3&amp;BB3&amp;BC3&amp;BD3&amp;BE3)</f>
        <v>#REF!</v>
      </c>
      <c r="BG3" s="4" t="str">
        <f>IFERROR((IF((VLOOKUP($BO$1&amp;C3,TeamsBB2020!D:M,7,0))="","",", ")),"")</f>
        <v xml:space="preserve">, </v>
      </c>
      <c r="BH3" t="str">
        <f>IF(AND((VLOOKUP($BO$1&amp;C3,TeamsBB2020!D:M,7,0))="",AX3=""),"",", ")</f>
        <v xml:space="preserve">, </v>
      </c>
      <c r="BI3" s="2" t="str">
        <f>$BO$1&amp;2</f>
        <v>Norse2</v>
      </c>
      <c r="BJ3" t="str">
        <f>IFERROR(IF((VLOOKUP(BI3,TeamsBB2020!B:C,2,FALSE))=0,"",(VLOOKUP(BI3,TeamsBB2020!B:C,2,FALSE))),"")</f>
        <v>Raider Lineman</v>
      </c>
      <c r="BK3" s="2"/>
      <c r="BL3" s="2"/>
      <c r="BM3" s="21" t="str">
        <f>IF($J$24="Español",CF3,(IF($J$24="Deutsch",CG3,(IF($J$24="Français",CH3,CE3)))))</f>
        <v>Alianza del Viejo Mundo</v>
      </c>
      <c r="BN3" s="2"/>
      <c r="BO3" s="2"/>
      <c r="BP3" s="2">
        <v>50000</v>
      </c>
      <c r="BQ3" s="2">
        <v>50000</v>
      </c>
      <c r="BR3" s="2">
        <v>0</v>
      </c>
      <c r="BS3" s="42" t="str">
        <f>IF($J$24="Español","Superliga Lustriana",(IF($J$24="Deutsch","Lustria-Superliga",(IF($J$24="Français","Super-Ligue de Lustrie","Lustrian Superleague")))))</f>
        <v>Superliga Lustriana</v>
      </c>
      <c r="BT3" s="3" t="s">
        <v>21</v>
      </c>
      <c r="BU3" s="3"/>
      <c r="BV3" s="3"/>
      <c r="BW3" s="3"/>
      <c r="BX3" s="3"/>
      <c r="BY3" s="2" t="s">
        <v>20</v>
      </c>
      <c r="BZ3" s="2" t="s">
        <v>1680</v>
      </c>
      <c r="CA3" s="44" t="s">
        <v>1681</v>
      </c>
      <c r="CB3" s="1" t="s">
        <v>1682</v>
      </c>
      <c r="CC3" s="25"/>
      <c r="CD3" s="25"/>
      <c r="CE3" s="2" t="s">
        <v>20</v>
      </c>
      <c r="CF3" s="2" t="s">
        <v>120</v>
      </c>
      <c r="CG3" s="44" t="s">
        <v>1681</v>
      </c>
      <c r="CH3" s="1" t="s">
        <v>122</v>
      </c>
      <c r="CI3" s="2"/>
      <c r="CJ3" s="2"/>
      <c r="CK3" s="2"/>
      <c r="CL3" s="23" t="s">
        <v>1475</v>
      </c>
      <c r="CM3" s="23" t="s">
        <v>1486</v>
      </c>
      <c r="CN3" s="43" t="s">
        <v>1488</v>
      </c>
      <c r="CO3" s="25" t="s">
        <v>1487</v>
      </c>
      <c r="CQ3" s="2"/>
      <c r="CR3" s="2"/>
      <c r="CS3" s="2"/>
      <c r="CT3" s="2"/>
      <c r="CU3" s="2"/>
      <c r="CV3" s="2"/>
      <c r="CW3" s="2"/>
      <c r="CX3" s="2"/>
      <c r="CY3" s="2"/>
      <c r="CZ3" s="2"/>
    </row>
    <row r="4" spans="1:104" ht="37.5" customHeight="1" x14ac:dyDescent="0.2">
      <c r="A4" s="33">
        <v>3</v>
      </c>
      <c r="B4" s="29"/>
      <c r="C4" s="205"/>
      <c r="D4" s="206"/>
      <c r="E4" s="206"/>
      <c r="F4" s="207"/>
      <c r="G4" s="35">
        <f>IF(C4="",0,(COUNTIF(C2:F17,C4)))</f>
        <v>0</v>
      </c>
      <c r="H4" s="36" t="s">
        <v>13</v>
      </c>
      <c r="I4" s="37">
        <f>IFERROR((VLOOKUP($BO$1&amp;C4,TeamsBB2020!D:M,10,0)),0)</f>
        <v>0</v>
      </c>
      <c r="J4" s="38">
        <f t="shared" ref="J4:K4" si="14">IFERROR(K68,0)</f>
        <v>0</v>
      </c>
      <c r="K4" s="38">
        <f t="shared" si="14"/>
        <v>0</v>
      </c>
      <c r="L4" s="38" t="str">
        <f t="shared" ref="L4:N4" si="15">IFERROR(M68&amp;"+",0)</f>
        <v>0+</v>
      </c>
      <c r="M4" s="38" t="str">
        <f t="shared" si="15"/>
        <v>0+</v>
      </c>
      <c r="N4" s="38" t="str">
        <f t="shared" si="15"/>
        <v>0+</v>
      </c>
      <c r="O4" s="200">
        <f>IFERROR((IF(AV4="YES",(VLOOKUP($BO$1&amp;C4,TeamsBB2020!D:M,7,0)),AW4)),"")</f>
        <v>0</v>
      </c>
      <c r="P4" s="201"/>
      <c r="Q4" s="201"/>
      <c r="R4" s="201"/>
      <c r="S4" s="201"/>
      <c r="T4" s="201"/>
      <c r="U4" s="201"/>
      <c r="V4" s="201"/>
      <c r="W4" s="201"/>
      <c r="X4" s="201"/>
      <c r="Y4" s="201"/>
      <c r="Z4" s="201"/>
      <c r="AA4" s="201"/>
      <c r="AB4" s="201"/>
      <c r="AC4" s="201"/>
      <c r="AD4" s="202"/>
      <c r="AE4" s="208"/>
      <c r="AF4" s="209"/>
      <c r="AG4" s="209"/>
      <c r="AH4" s="210"/>
      <c r="AI4" s="208"/>
      <c r="AJ4" s="209"/>
      <c r="AK4" s="209"/>
      <c r="AL4" s="210"/>
      <c r="AM4" s="203">
        <f>IFERROR((VLOOKUP($BO$1&amp;C4,TeamsBB2020!D:M,8,0)),0)</f>
        <v>0</v>
      </c>
      <c r="AN4" s="211"/>
      <c r="AO4" s="204"/>
      <c r="AP4" s="213"/>
      <c r="AQ4" s="1">
        <f>IFERROR((((VLOOKUP($BO$1&amp;C4,TeamsBB2020!D:M,9,0)+(AK4/1000)))),0)</f>
        <v>0</v>
      </c>
      <c r="AR4" s="2">
        <f>IFERROR((VLOOKUP($BO$1&amp;C4,TeamsBB2020!D:N,11,0)),0)</f>
        <v>0</v>
      </c>
      <c r="AS4" s="2" t="str">
        <f t="shared" si="11"/>
        <v/>
      </c>
      <c r="AT4" s="2" t="str">
        <f t="shared" si="12"/>
        <v/>
      </c>
      <c r="AU4" s="2"/>
      <c r="AV4" s="2" t="str">
        <f t="shared" si="13"/>
        <v>YES</v>
      </c>
      <c r="AW4" s="2" t="str">
        <f t="shared" si="2"/>
        <v/>
      </c>
      <c r="AX4" s="39" t="str">
        <f t="shared" si="3"/>
        <v/>
      </c>
      <c r="AY4" s="39" t="str">
        <f t="shared" si="4"/>
        <v/>
      </c>
      <c r="AZ4" s="39" t="str">
        <f t="shared" si="5"/>
        <v/>
      </c>
      <c r="BA4" s="39" t="str">
        <f t="shared" si="6"/>
        <v/>
      </c>
      <c r="BB4" s="39"/>
      <c r="BC4" s="39"/>
      <c r="BD4" s="39" t="str">
        <f t="shared" si="7"/>
        <v/>
      </c>
      <c r="BE4" s="39" t="str">
        <f t="shared" si="8"/>
        <v/>
      </c>
      <c r="BF4" s="40" t="e">
        <f>IF(#REF!&lt;0,"",AX4&amp;AY4&amp;AZ4&amp;BA4&amp;BB4&amp;BC4&amp;BD4&amp;BE4)</f>
        <v>#REF!</v>
      </c>
      <c r="BG4" s="4" t="str">
        <f>IFERROR((IF((VLOOKUP($BO$1&amp;C4,TeamsBB2020!D:M,7,0))="","",", ")),"")</f>
        <v xml:space="preserve">, </v>
      </c>
      <c r="BH4" t="str">
        <f>IF(AND((VLOOKUP($BO$1&amp;C4,TeamsBB2020!D:M,7,0))="",AX4=""),"",", ")</f>
        <v xml:space="preserve">, </v>
      </c>
      <c r="BI4" s="2" t="str">
        <f>$BO$1&amp;3</f>
        <v>Norse3</v>
      </c>
      <c r="BJ4" t="str">
        <f>IFERROR(IF((VLOOKUP(BI4,TeamsBB2020!B:C,2,FALSE))=0,"",(VLOOKUP(BI4,TeamsBB2020!B:C,2,FALSE))),"")</f>
        <v>Beer Boar</v>
      </c>
      <c r="BK4" s="2"/>
      <c r="BL4" s="2" t="s">
        <v>20</v>
      </c>
      <c r="BM4" s="21" t="str">
        <f t="shared" ref="BM4:BM32" si="16">IF($J$24="Español",CF4,(IF($J$24="Deutsch",CG4,(IF($J$24="Français",CH4,CE4)))))</f>
        <v>Altos Elfos</v>
      </c>
      <c r="BN4" s="2" t="s">
        <v>20</v>
      </c>
      <c r="BO4" s="23"/>
      <c r="BP4" s="23">
        <v>60000</v>
      </c>
      <c r="BQ4" s="23">
        <v>50000</v>
      </c>
      <c r="BR4" s="23">
        <v>0</v>
      </c>
      <c r="BS4" s="24" t="str">
        <f>IF($K$25="Español","Superliga Lustriana",(IF($K$25="Deutsch","Lustria-Superliga",(IF($K$25="Français","Super-Ligue de Lustrie","Lustrian Superleague")))))</f>
        <v>Lustrian Superleague</v>
      </c>
      <c r="BT4" s="24" t="s">
        <v>21</v>
      </c>
      <c r="BW4" s="3"/>
      <c r="BX4" s="3"/>
      <c r="BY4" s="23" t="s">
        <v>22</v>
      </c>
      <c r="BZ4" s="23" t="s">
        <v>26</v>
      </c>
      <c r="CA4" s="43" t="s">
        <v>27</v>
      </c>
      <c r="CB4" s="25" t="s">
        <v>28</v>
      </c>
      <c r="CC4" s="25"/>
      <c r="CD4" s="25"/>
      <c r="CE4" s="23" t="s">
        <v>22</v>
      </c>
      <c r="CF4" s="23" t="s">
        <v>74</v>
      </c>
      <c r="CG4" s="43" t="s">
        <v>27</v>
      </c>
      <c r="CH4" s="1" t="s">
        <v>1682</v>
      </c>
      <c r="CI4" s="2"/>
      <c r="CJ4" s="2"/>
      <c r="CK4" s="2"/>
      <c r="CL4" s="2"/>
      <c r="CM4" s="2"/>
      <c r="CN4" s="2"/>
      <c r="CO4" s="2"/>
      <c r="CP4" s="2"/>
      <c r="CQ4" s="2"/>
      <c r="CR4" s="2"/>
      <c r="CS4" s="2"/>
      <c r="CT4" s="2"/>
      <c r="CU4" s="2"/>
      <c r="CV4" s="2"/>
      <c r="CW4" s="2"/>
      <c r="CX4" s="2"/>
      <c r="CY4" s="2"/>
      <c r="CZ4" s="2"/>
    </row>
    <row r="5" spans="1:104" ht="37.5" customHeight="1" x14ac:dyDescent="0.2">
      <c r="A5" s="33">
        <v>4</v>
      </c>
      <c r="B5" s="29"/>
      <c r="C5" s="205"/>
      <c r="D5" s="206"/>
      <c r="E5" s="206"/>
      <c r="F5" s="207"/>
      <c r="G5" s="35">
        <f>IF(C5="",0,(COUNTIF(C2:F17,C5)))</f>
        <v>0</v>
      </c>
      <c r="H5" s="36" t="s">
        <v>13</v>
      </c>
      <c r="I5" s="37">
        <f>IFERROR((VLOOKUP($BO$1&amp;C5,TeamsBB2020!D:M,10,0)),0)</f>
        <v>0</v>
      </c>
      <c r="J5" s="38">
        <f t="shared" ref="J5:K5" si="17">IFERROR(K69,0)</f>
        <v>0</v>
      </c>
      <c r="K5" s="38">
        <f t="shared" si="17"/>
        <v>0</v>
      </c>
      <c r="L5" s="38" t="str">
        <f t="shared" ref="L5:N5" si="18">IFERROR(M69&amp;"+",0)</f>
        <v>0+</v>
      </c>
      <c r="M5" s="38" t="str">
        <f t="shared" si="18"/>
        <v>0+</v>
      </c>
      <c r="N5" s="38" t="str">
        <f t="shared" si="18"/>
        <v>0+</v>
      </c>
      <c r="O5" s="200">
        <f>IFERROR((IF(AV5="YES",(VLOOKUP($BO$1&amp;C5,TeamsBB2020!D:M,7,0)),AW5)),"")</f>
        <v>0</v>
      </c>
      <c r="P5" s="201"/>
      <c r="Q5" s="201"/>
      <c r="R5" s="201"/>
      <c r="S5" s="201"/>
      <c r="T5" s="201"/>
      <c r="U5" s="201"/>
      <c r="V5" s="201"/>
      <c r="W5" s="201"/>
      <c r="X5" s="201"/>
      <c r="Y5" s="201"/>
      <c r="Z5" s="201"/>
      <c r="AA5" s="201"/>
      <c r="AB5" s="201"/>
      <c r="AC5" s="201"/>
      <c r="AD5" s="202"/>
      <c r="AE5" s="208"/>
      <c r="AF5" s="209"/>
      <c r="AG5" s="209"/>
      <c r="AH5" s="210"/>
      <c r="AI5" s="208"/>
      <c r="AJ5" s="209"/>
      <c r="AK5" s="209"/>
      <c r="AL5" s="210"/>
      <c r="AM5" s="203">
        <f>IFERROR((VLOOKUP($BO$1&amp;C5,TeamsBB2020!D:M,8,0)),0)</f>
        <v>0</v>
      </c>
      <c r="AN5" s="211"/>
      <c r="AO5" s="204"/>
      <c r="AP5" s="213"/>
      <c r="AQ5" s="1">
        <f>IFERROR((((VLOOKUP($BO$1&amp;C5,TeamsBB2020!D:M,9,0)+(AK5/1000)))),0)</f>
        <v>0</v>
      </c>
      <c r="AR5" s="2">
        <f>IFERROR((VLOOKUP($BO$1&amp;C5,TeamsBB2020!D:N,11,0)),0)</f>
        <v>0</v>
      </c>
      <c r="AS5" s="2" t="str">
        <f t="shared" si="11"/>
        <v/>
      </c>
      <c r="AT5" s="2" t="str">
        <f t="shared" si="12"/>
        <v/>
      </c>
      <c r="AU5" s="2"/>
      <c r="AV5" s="2" t="str">
        <f t="shared" si="13"/>
        <v>YES</v>
      </c>
      <c r="AW5" s="2" t="str">
        <f t="shared" si="2"/>
        <v/>
      </c>
      <c r="AX5" s="39" t="str">
        <f t="shared" si="3"/>
        <v/>
      </c>
      <c r="AY5" s="39" t="str">
        <f t="shared" si="4"/>
        <v/>
      </c>
      <c r="AZ5" s="39" t="str">
        <f t="shared" si="5"/>
        <v/>
      </c>
      <c r="BA5" s="39" t="str">
        <f t="shared" si="6"/>
        <v/>
      </c>
      <c r="BB5" s="39"/>
      <c r="BC5" s="39"/>
      <c r="BD5" s="39" t="str">
        <f t="shared" si="7"/>
        <v/>
      </c>
      <c r="BE5" s="39" t="str">
        <f t="shared" si="8"/>
        <v/>
      </c>
      <c r="BF5" s="40" t="e">
        <f>IF(#REF!&lt;0,"",AX5&amp;AY5&amp;AZ5&amp;BA5&amp;BB5&amp;BC5&amp;BD5&amp;BE5)</f>
        <v>#REF!</v>
      </c>
      <c r="BG5" s="4" t="str">
        <f>IFERROR((IF((VLOOKUP($BO$1&amp;C5,TeamsBB2020!D:M,7,0))="","",", ")),"")</f>
        <v xml:space="preserve">, </v>
      </c>
      <c r="BH5" t="str">
        <f>IF(AND((VLOOKUP($BO$1&amp;C5,TeamsBB2020!D:M,7,0))="",AX5=""),"",", ")</f>
        <v xml:space="preserve">, </v>
      </c>
      <c r="BI5" s="2" t="str">
        <f>$BO$1&amp;4</f>
        <v>Norse4</v>
      </c>
      <c r="BJ5" t="str">
        <f>IFERROR(IF((VLOOKUP(BI5,TeamsBB2020!B:C,2,FALSE))=0,"",(VLOOKUP(BI5,TeamsBB2020!B:C,2,FALSE))),"")</f>
        <v>Berserker</v>
      </c>
      <c r="BK5" s="2"/>
      <c r="BL5" s="2" t="s">
        <v>22</v>
      </c>
      <c r="BM5" s="21" t="str">
        <f t="shared" si="16"/>
        <v>Amazonas</v>
      </c>
      <c r="BN5" s="2" t="s">
        <v>23</v>
      </c>
      <c r="BO5" s="2"/>
      <c r="BP5" s="2">
        <v>60000</v>
      </c>
      <c r="BQ5" s="2">
        <v>50000</v>
      </c>
      <c r="BR5" s="2">
        <v>1</v>
      </c>
      <c r="BS5" s="42" t="str">
        <f>IF($J$24="Español","Reyerta en las Yermas y Sobornos y Corrupción",(IF($J$24="Deutsch","Düsterland-Rauferei, Bestechung und Korruption",(IF($J$24="Français","Bagarre des Terres Arides et Chantage &amp; Corruption","Badlands Brawl and Bribery and Corruption")))))</f>
        <v>Reyerta en las Yermas y Sobornos y Corrupción</v>
      </c>
      <c r="BT5" s="3" t="s">
        <v>24</v>
      </c>
      <c r="BU5" s="3" t="s">
        <v>25</v>
      </c>
      <c r="BV5" s="3"/>
      <c r="BW5" s="3"/>
      <c r="BX5" s="3"/>
      <c r="BY5" s="23" t="s">
        <v>29</v>
      </c>
      <c r="BZ5" s="23" t="s">
        <v>32</v>
      </c>
      <c r="CA5" s="43" t="s">
        <v>33</v>
      </c>
      <c r="CB5" s="25" t="s">
        <v>34</v>
      </c>
      <c r="CC5" s="25"/>
      <c r="CD5" s="25"/>
      <c r="CE5" s="23" t="s">
        <v>29</v>
      </c>
      <c r="CF5" s="2" t="s">
        <v>1680</v>
      </c>
      <c r="CG5" s="43" t="s">
        <v>33</v>
      </c>
      <c r="CH5" s="1" t="s">
        <v>158</v>
      </c>
      <c r="CI5" s="2"/>
      <c r="CJ5" s="2"/>
      <c r="CK5" s="2"/>
      <c r="CL5" s="2"/>
      <c r="CM5" s="2"/>
      <c r="CN5" s="2"/>
      <c r="CO5" s="2"/>
      <c r="CP5" s="2"/>
      <c r="CQ5" s="2"/>
      <c r="CR5" s="2"/>
      <c r="CS5" s="2"/>
      <c r="CT5" s="2"/>
      <c r="CU5" s="2"/>
      <c r="CV5" s="2"/>
      <c r="CW5" s="2"/>
      <c r="CX5" s="2"/>
      <c r="CY5" s="2"/>
      <c r="CZ5" s="2"/>
    </row>
    <row r="6" spans="1:104" ht="37.5" customHeight="1" x14ac:dyDescent="0.2">
      <c r="A6" s="33">
        <v>5</v>
      </c>
      <c r="B6" s="29"/>
      <c r="C6" s="205"/>
      <c r="D6" s="206"/>
      <c r="E6" s="206"/>
      <c r="F6" s="207"/>
      <c r="G6" s="35">
        <f>IF(C6="",0,(COUNTIF(C2:F17,C6)))</f>
        <v>0</v>
      </c>
      <c r="H6" s="36" t="s">
        <v>13</v>
      </c>
      <c r="I6" s="37">
        <f>IFERROR((VLOOKUP($BO$1&amp;C6,TeamsBB2020!D:M,10,0)),0)</f>
        <v>0</v>
      </c>
      <c r="J6" s="38">
        <f t="shared" ref="J6:K6" si="19">IFERROR(K70,0)</f>
        <v>0</v>
      </c>
      <c r="K6" s="38">
        <f t="shared" si="19"/>
        <v>0</v>
      </c>
      <c r="L6" s="38" t="str">
        <f t="shared" ref="L6:N6" si="20">IFERROR(M70&amp;"+",0)</f>
        <v>0+</v>
      </c>
      <c r="M6" s="38" t="str">
        <f t="shared" si="20"/>
        <v>0+</v>
      </c>
      <c r="N6" s="38" t="str">
        <f t="shared" si="20"/>
        <v>0+</v>
      </c>
      <c r="O6" s="200">
        <f>IFERROR((IF(AV6="YES",(VLOOKUP($BO$1&amp;C6,TeamsBB2020!D:M,7,0)),AW6)),"")</f>
        <v>0</v>
      </c>
      <c r="P6" s="201"/>
      <c r="Q6" s="201"/>
      <c r="R6" s="201"/>
      <c r="S6" s="201"/>
      <c r="T6" s="201"/>
      <c r="U6" s="201"/>
      <c r="V6" s="201"/>
      <c r="W6" s="201"/>
      <c r="X6" s="201"/>
      <c r="Y6" s="201"/>
      <c r="Z6" s="201"/>
      <c r="AA6" s="201"/>
      <c r="AB6" s="201"/>
      <c r="AC6" s="201"/>
      <c r="AD6" s="202"/>
      <c r="AE6" s="208"/>
      <c r="AF6" s="209"/>
      <c r="AG6" s="209"/>
      <c r="AH6" s="210"/>
      <c r="AI6" s="208"/>
      <c r="AJ6" s="209"/>
      <c r="AK6" s="209"/>
      <c r="AL6" s="210"/>
      <c r="AM6" s="203">
        <f>IFERROR((VLOOKUP($BO$1&amp;C6,TeamsBB2020!D:M,8,0)),0)</f>
        <v>0</v>
      </c>
      <c r="AN6" s="211"/>
      <c r="AO6" s="204"/>
      <c r="AP6" s="213"/>
      <c r="AQ6" s="1">
        <f>IFERROR((((VLOOKUP($BO$1&amp;C6,TeamsBB2020!D:M,9,0)+(AK6/1000)))),0)</f>
        <v>0</v>
      </c>
      <c r="AR6" s="2">
        <f>IFERROR((VLOOKUP($BO$1&amp;C6,TeamsBB2020!D:N,11,0)),0)</f>
        <v>0</v>
      </c>
      <c r="AS6" s="2" t="str">
        <f t="shared" si="11"/>
        <v/>
      </c>
      <c r="AT6" s="2" t="str">
        <f t="shared" si="12"/>
        <v/>
      </c>
      <c r="AU6" s="2"/>
      <c r="AV6" s="2" t="str">
        <f t="shared" si="13"/>
        <v>YES</v>
      </c>
      <c r="AW6" s="2" t="str">
        <f t="shared" si="2"/>
        <v/>
      </c>
      <c r="AX6" s="39" t="str">
        <f t="shared" si="3"/>
        <v/>
      </c>
      <c r="AY6" s="39" t="str">
        <f t="shared" si="4"/>
        <v/>
      </c>
      <c r="AZ6" s="39" t="str">
        <f t="shared" si="5"/>
        <v/>
      </c>
      <c r="BA6" s="39" t="str">
        <f t="shared" si="6"/>
        <v/>
      </c>
      <c r="BB6" s="39"/>
      <c r="BC6" s="39"/>
      <c r="BD6" s="39" t="str">
        <f t="shared" si="7"/>
        <v/>
      </c>
      <c r="BE6" s="39" t="str">
        <f t="shared" si="8"/>
        <v/>
      </c>
      <c r="BF6" s="40" t="e">
        <f>IF(#REF!&lt;0,"",AX6&amp;AY6&amp;AZ6&amp;BA6&amp;BB6&amp;BC6&amp;BD6&amp;BE6)</f>
        <v>#REF!</v>
      </c>
      <c r="BG6" s="4" t="str">
        <f>IFERROR((IF((VLOOKUP($BO$1&amp;C6,TeamsBB2020!D:M,7,0))="","",", ")),"")</f>
        <v xml:space="preserve">, </v>
      </c>
      <c r="BH6" t="str">
        <f>IF(AND((VLOOKUP($BO$1&amp;C6,TeamsBB2020!D:M,7,0))="",AX6=""),"",", ")</f>
        <v xml:space="preserve">, </v>
      </c>
      <c r="BI6" s="2" t="str">
        <f>$BO$1&amp;5</f>
        <v>Norse5</v>
      </c>
      <c r="BJ6" t="str">
        <f>IFERROR(IF((VLOOKUP(BI6,TeamsBB2020!B:C,2,FALSE))=0,"",(VLOOKUP(BI6,TeamsBB2020!B:C,2,FALSE))),"")</f>
        <v>Valkyrie</v>
      </c>
      <c r="BK6" s="2"/>
      <c r="BL6" s="2" t="s">
        <v>29</v>
      </c>
      <c r="BM6" s="21" t="str">
        <f t="shared" si="16"/>
        <v>Caos</v>
      </c>
      <c r="BN6" s="2" t="s">
        <v>30</v>
      </c>
      <c r="BO6" s="2"/>
      <c r="BP6" s="2">
        <v>60000</v>
      </c>
      <c r="BQ6" s="2">
        <v>50000</v>
      </c>
      <c r="BR6" s="2">
        <v>1</v>
      </c>
      <c r="BS6" s="42" t="str">
        <f>IF($J$24="Español","Elegido de…",(IF($J$24="Deutsch","Auserwählte des…",(IF($J$24="Français","Favoris de...","Favoured of…")))))</f>
        <v>Elegido de…</v>
      </c>
      <c r="BT6" s="3" t="s">
        <v>31</v>
      </c>
      <c r="BU6" s="3"/>
      <c r="BV6" s="3"/>
      <c r="BW6" s="3"/>
      <c r="BX6" s="3"/>
      <c r="BY6" s="2" t="s">
        <v>35</v>
      </c>
      <c r="BZ6" s="2" t="s">
        <v>38</v>
      </c>
      <c r="CA6" s="44" t="s">
        <v>39</v>
      </c>
      <c r="CB6" s="1" t="s">
        <v>40</v>
      </c>
      <c r="CE6" s="2" t="s">
        <v>35</v>
      </c>
      <c r="CF6" s="23" t="s">
        <v>32</v>
      </c>
      <c r="CG6" s="43" t="s">
        <v>44</v>
      </c>
      <c r="CH6" s="23" t="s">
        <v>51</v>
      </c>
      <c r="CI6" s="2"/>
      <c r="CJ6" s="2"/>
      <c r="CK6" s="2"/>
      <c r="CL6" s="2"/>
      <c r="CM6" s="2"/>
      <c r="CN6" s="2"/>
      <c r="CO6" s="2"/>
      <c r="CP6" s="2"/>
      <c r="CQ6" s="2"/>
      <c r="CR6" s="2"/>
      <c r="CS6" s="2"/>
      <c r="CT6" s="2"/>
      <c r="CU6" s="2"/>
      <c r="CV6" s="2"/>
      <c r="CW6" s="2"/>
      <c r="CX6" s="2"/>
      <c r="CY6" s="2"/>
      <c r="CZ6" s="2"/>
    </row>
    <row r="7" spans="1:104" ht="37.5" customHeight="1" x14ac:dyDescent="0.2">
      <c r="A7" s="33">
        <v>6</v>
      </c>
      <c r="B7" s="29"/>
      <c r="C7" s="205"/>
      <c r="D7" s="206"/>
      <c r="E7" s="206"/>
      <c r="F7" s="207"/>
      <c r="G7" s="35">
        <f>IF(C7="",0,(COUNTIF(C2:F17,C7)))</f>
        <v>0</v>
      </c>
      <c r="H7" s="36" t="s">
        <v>13</v>
      </c>
      <c r="I7" s="37">
        <f>IFERROR((VLOOKUP($BO$1&amp;C7,TeamsBB2020!D:M,10,0)),0)</f>
        <v>0</v>
      </c>
      <c r="J7" s="38">
        <f t="shared" ref="J7:K7" si="21">IFERROR(K71,0)</f>
        <v>0</v>
      </c>
      <c r="K7" s="38">
        <f t="shared" si="21"/>
        <v>0</v>
      </c>
      <c r="L7" s="38" t="str">
        <f t="shared" ref="L7:N7" si="22">IFERROR(M71&amp;"+",0)</f>
        <v>0+</v>
      </c>
      <c r="M7" s="38" t="str">
        <f t="shared" si="22"/>
        <v>0+</v>
      </c>
      <c r="N7" s="38" t="str">
        <f t="shared" si="22"/>
        <v>0+</v>
      </c>
      <c r="O7" s="200">
        <f>IFERROR((IF(AV7="YES",(VLOOKUP($BO$1&amp;C7,TeamsBB2020!D:M,7,0)),AW7)),"")</f>
        <v>0</v>
      </c>
      <c r="P7" s="201"/>
      <c r="Q7" s="201"/>
      <c r="R7" s="201"/>
      <c r="S7" s="201"/>
      <c r="T7" s="201"/>
      <c r="U7" s="201"/>
      <c r="V7" s="201"/>
      <c r="W7" s="201"/>
      <c r="X7" s="201"/>
      <c r="Y7" s="201"/>
      <c r="Z7" s="201"/>
      <c r="AA7" s="201"/>
      <c r="AB7" s="201"/>
      <c r="AC7" s="201"/>
      <c r="AD7" s="202"/>
      <c r="AE7" s="208"/>
      <c r="AF7" s="209"/>
      <c r="AG7" s="209"/>
      <c r="AH7" s="210"/>
      <c r="AI7" s="208"/>
      <c r="AJ7" s="209"/>
      <c r="AK7" s="209"/>
      <c r="AL7" s="210"/>
      <c r="AM7" s="203">
        <f>IFERROR((VLOOKUP($BO$1&amp;C7,TeamsBB2020!D:M,8,0)),0)</f>
        <v>0</v>
      </c>
      <c r="AN7" s="211"/>
      <c r="AO7" s="204"/>
      <c r="AP7" s="213"/>
      <c r="AQ7" s="1">
        <f>IFERROR((((VLOOKUP($BO$1&amp;C7,TeamsBB2020!D:M,9,0)+(AK7/1000)))),0)</f>
        <v>0</v>
      </c>
      <c r="AR7" s="2">
        <f>IFERROR((VLOOKUP($BO$1&amp;C7,TeamsBB2020!D:N,11,0)),0)</f>
        <v>0</v>
      </c>
      <c r="AS7" s="2" t="str">
        <f t="shared" si="11"/>
        <v/>
      </c>
      <c r="AT7" s="2" t="str">
        <f t="shared" si="12"/>
        <v/>
      </c>
      <c r="AU7" s="2"/>
      <c r="AV7" s="2" t="str">
        <f t="shared" si="13"/>
        <v>YES</v>
      </c>
      <c r="AW7" s="2" t="str">
        <f t="shared" si="2"/>
        <v/>
      </c>
      <c r="AX7" s="39" t="str">
        <f t="shared" si="3"/>
        <v/>
      </c>
      <c r="AY7" s="39" t="str">
        <f t="shared" si="4"/>
        <v/>
      </c>
      <c r="AZ7" s="39" t="str">
        <f t="shared" si="5"/>
        <v/>
      </c>
      <c r="BA7" s="39" t="str">
        <f t="shared" si="6"/>
        <v/>
      </c>
      <c r="BB7" s="39"/>
      <c r="BC7" s="39"/>
      <c r="BD7" s="39" t="str">
        <f t="shared" si="7"/>
        <v/>
      </c>
      <c r="BE7" s="39" t="str">
        <f t="shared" si="8"/>
        <v/>
      </c>
      <c r="BF7" s="40" t="e">
        <f>IF(#REF!&lt;0,"",AX7&amp;AY7&amp;AZ7&amp;BA7&amp;BB7&amp;BC7&amp;BD7&amp;BE7)</f>
        <v>#REF!</v>
      </c>
      <c r="BG7" s="4" t="str">
        <f>IFERROR((IF((VLOOKUP($BO$1&amp;C7,TeamsBB2020!D:M,7,0))="","",", ")),"")</f>
        <v xml:space="preserve">, </v>
      </c>
      <c r="BH7" t="str">
        <f>IF(AND((VLOOKUP($BO$1&amp;C7,TeamsBB2020!D:M,7,0))="",AX7=""),"",", ")</f>
        <v xml:space="preserve">, </v>
      </c>
      <c r="BI7" s="2" t="str">
        <f>$BO$1&amp;6</f>
        <v>Norse6</v>
      </c>
      <c r="BJ7" t="str">
        <f>IFERROR(IF((VLOOKUP(BI7,TeamsBB2020!B:C,2,FALSE))=0,"",(VLOOKUP(BI7,TeamsBB2020!B:C,2,FALSE))),"")</f>
        <v>Ulfwerener</v>
      </c>
      <c r="BK7" s="2"/>
      <c r="BL7" s="2"/>
      <c r="BM7" s="21" t="str">
        <f t="shared" si="16"/>
        <v>Elfos Oscuros</v>
      </c>
      <c r="BN7" s="2"/>
      <c r="BO7" s="2"/>
      <c r="BP7" s="2">
        <v>70000</v>
      </c>
      <c r="BQ7" s="2">
        <v>50000</v>
      </c>
      <c r="BR7" s="2">
        <v>1</v>
      </c>
      <c r="BS7" s="42"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Superliga del Fin del Mundo, Reyerta en las Yermas y Elegido de…</v>
      </c>
      <c r="BT7" s="3" t="s">
        <v>37</v>
      </c>
      <c r="BU7" s="3"/>
      <c r="BV7" s="3"/>
      <c r="BW7" s="3"/>
      <c r="BX7" s="3"/>
      <c r="BY7" s="23" t="s">
        <v>41</v>
      </c>
      <c r="BZ7" s="23" t="s">
        <v>43</v>
      </c>
      <c r="CA7" s="43" t="s">
        <v>44</v>
      </c>
      <c r="CB7" s="1" t="s">
        <v>45</v>
      </c>
      <c r="CC7" s="25"/>
      <c r="CD7" s="25"/>
      <c r="CE7" s="23" t="s">
        <v>41</v>
      </c>
      <c r="CF7" s="23" t="s">
        <v>49</v>
      </c>
      <c r="CG7" s="44" t="s">
        <v>39</v>
      </c>
      <c r="CH7" s="1" t="s">
        <v>164</v>
      </c>
      <c r="CI7" s="2"/>
      <c r="CJ7" s="2"/>
      <c r="CK7" s="2"/>
      <c r="CL7" s="2"/>
      <c r="CM7" s="2"/>
      <c r="CN7" s="2"/>
      <c r="CO7" s="2"/>
      <c r="CP7" s="2"/>
      <c r="CQ7" s="2"/>
      <c r="CR7" s="2"/>
      <c r="CS7" s="2"/>
      <c r="CT7" s="2"/>
      <c r="CU7" s="2"/>
      <c r="CV7" s="2"/>
      <c r="CW7" s="2"/>
      <c r="CX7" s="2"/>
      <c r="CY7" s="2"/>
      <c r="CZ7" s="2"/>
    </row>
    <row r="8" spans="1:104" ht="37.5" customHeight="1" x14ac:dyDescent="0.2">
      <c r="A8" s="33">
        <v>7</v>
      </c>
      <c r="B8" s="29"/>
      <c r="C8" s="205"/>
      <c r="D8" s="206"/>
      <c r="E8" s="206"/>
      <c r="F8" s="207"/>
      <c r="G8" s="35">
        <f>IF(C8="",0,(COUNTIF(C2:F17,C8)))</f>
        <v>0</v>
      </c>
      <c r="H8" s="36" t="s">
        <v>13</v>
      </c>
      <c r="I8" s="37">
        <f>IFERROR((VLOOKUP($BO$1&amp;C8,TeamsBB2020!D:M,10,0)),0)</f>
        <v>0</v>
      </c>
      <c r="J8" s="38">
        <f t="shared" ref="J8:K8" si="23">IFERROR(K72,0)</f>
        <v>0</v>
      </c>
      <c r="K8" s="38">
        <f t="shared" si="23"/>
        <v>0</v>
      </c>
      <c r="L8" s="38" t="str">
        <f t="shared" ref="L8:N8" si="24">IFERROR(M72&amp;"+",0)</f>
        <v>0+</v>
      </c>
      <c r="M8" s="38" t="str">
        <f t="shared" si="24"/>
        <v>0+</v>
      </c>
      <c r="N8" s="38" t="str">
        <f t="shared" si="24"/>
        <v>0+</v>
      </c>
      <c r="O8" s="200">
        <f>IFERROR((IF(AV8="YES",(VLOOKUP($BO$1&amp;C8,TeamsBB2020!D:M,7,0)),AW8)),"")</f>
        <v>0</v>
      </c>
      <c r="P8" s="201"/>
      <c r="Q8" s="201"/>
      <c r="R8" s="201"/>
      <c r="S8" s="201"/>
      <c r="T8" s="201"/>
      <c r="U8" s="201"/>
      <c r="V8" s="201"/>
      <c r="W8" s="201"/>
      <c r="X8" s="201"/>
      <c r="Y8" s="201"/>
      <c r="Z8" s="201"/>
      <c r="AA8" s="201"/>
      <c r="AB8" s="201"/>
      <c r="AC8" s="201"/>
      <c r="AD8" s="202"/>
      <c r="AE8" s="208"/>
      <c r="AF8" s="209"/>
      <c r="AG8" s="209"/>
      <c r="AH8" s="210"/>
      <c r="AI8" s="208"/>
      <c r="AJ8" s="209"/>
      <c r="AK8" s="209"/>
      <c r="AL8" s="210"/>
      <c r="AM8" s="203">
        <f>IFERROR((VLOOKUP($BO$1&amp;C8,TeamsBB2020!D:M,8,0)),0)</f>
        <v>0</v>
      </c>
      <c r="AN8" s="211"/>
      <c r="AO8" s="204"/>
      <c r="AP8" s="213"/>
      <c r="AQ8" s="1">
        <f>IFERROR((((VLOOKUP($BO$1&amp;C8,TeamsBB2020!D:M,9,0)+(AK8/1000)))),0)</f>
        <v>0</v>
      </c>
      <c r="AR8" s="2">
        <f>IFERROR((VLOOKUP($BO$1&amp;C8,TeamsBB2020!D:N,11,0)),0)</f>
        <v>0</v>
      </c>
      <c r="AS8" s="2" t="str">
        <f t="shared" si="11"/>
        <v/>
      </c>
      <c r="AT8" s="2" t="str">
        <f t="shared" si="12"/>
        <v/>
      </c>
      <c r="AU8" s="2"/>
      <c r="AV8" s="2" t="str">
        <f t="shared" si="13"/>
        <v>YES</v>
      </c>
      <c r="AW8" s="2" t="str">
        <f t="shared" si="2"/>
        <v/>
      </c>
      <c r="AX8" s="39" t="str">
        <f t="shared" si="3"/>
        <v/>
      </c>
      <c r="AY8" s="39" t="str">
        <f t="shared" si="4"/>
        <v/>
      </c>
      <c r="AZ8" s="39" t="str">
        <f t="shared" si="5"/>
        <v/>
      </c>
      <c r="BA8" s="39" t="str">
        <f t="shared" si="6"/>
        <v/>
      </c>
      <c r="BB8" s="39"/>
      <c r="BC8" s="39"/>
      <c r="BD8" s="39" t="str">
        <f t="shared" si="7"/>
        <v/>
      </c>
      <c r="BE8" s="39" t="str">
        <f t="shared" si="8"/>
        <v/>
      </c>
      <c r="BF8" s="40" t="e">
        <f>IF(#REF!&lt;0,"",AX8&amp;AY8&amp;AZ8&amp;BA8&amp;BB8&amp;BC8&amp;BD8&amp;BE8)</f>
        <v>#REF!</v>
      </c>
      <c r="BG8" s="4" t="str">
        <f>IFERROR((IF((VLOOKUP($BO$1&amp;C8,TeamsBB2020!D:M,7,0))="","",", ")),"")</f>
        <v xml:space="preserve">, </v>
      </c>
      <c r="BH8" t="str">
        <f>IF(AND((VLOOKUP($BO$1&amp;C8,TeamsBB2020!D:M,7,0))="",AX8=""),"",", ")</f>
        <v xml:space="preserve">, </v>
      </c>
      <c r="BI8" s="2" t="str">
        <f>$BO$1&amp;7</f>
        <v>Norse7</v>
      </c>
      <c r="BJ8" t="str">
        <f>IFERROR(IF((VLOOKUP(BI8,TeamsBB2020!B:C,2,FALSE))=0,"",(VLOOKUP(BI8,TeamsBB2020!B:C,2,FALSE))),"")</f>
        <v>Yhetee</v>
      </c>
      <c r="BK8" s="2"/>
      <c r="BL8" s="2" t="s">
        <v>35</v>
      </c>
      <c r="BM8" s="21" t="str">
        <f>IF($J$24="Español",CF8,(IF($J$24="Deutsch",CG8,(IF($J$24="Français",CH8,CE8)))))</f>
        <v>Elfos Pro</v>
      </c>
      <c r="BN8" s="2" t="s">
        <v>36</v>
      </c>
      <c r="BP8" s="2">
        <v>70000</v>
      </c>
      <c r="BQ8" s="2">
        <v>50000</v>
      </c>
      <c r="BR8" s="2">
        <v>1</v>
      </c>
      <c r="BS8" s="42" t="str">
        <f>IF($J$24="Español","Reyerta en las Yermas y Elegido de Hashut",(IF($J$24="Deutsch","Düsterland-Rauferei und Auserwählte des Hashut",(IF($J$24="Français","Baggare des Terres Arides et Favoris de Hashut","Badlands Brawl and Favoured of Hashut")))))</f>
        <v>Reyerta en las Yermas y Elegido de Hashut</v>
      </c>
      <c r="BT8" s="3" t="s">
        <v>1508</v>
      </c>
      <c r="BW8" s="3"/>
      <c r="BX8" s="3"/>
      <c r="BY8" s="23" t="s">
        <v>46</v>
      </c>
      <c r="BZ8" s="23" t="s">
        <v>49</v>
      </c>
      <c r="CA8" s="24" t="s">
        <v>50</v>
      </c>
      <c r="CB8" s="23" t="s">
        <v>51</v>
      </c>
      <c r="CC8" s="25"/>
      <c r="CD8" s="25"/>
      <c r="CE8" s="23" t="s">
        <v>46</v>
      </c>
      <c r="CF8" s="23" t="s">
        <v>59</v>
      </c>
      <c r="CG8" s="24" t="s">
        <v>50</v>
      </c>
      <c r="CH8" s="25" t="s">
        <v>34</v>
      </c>
      <c r="CI8" s="2"/>
      <c r="CJ8" s="2"/>
      <c r="CK8" s="2"/>
      <c r="CL8" s="2"/>
      <c r="CM8" s="2"/>
      <c r="CN8" s="2"/>
      <c r="CO8" s="2"/>
      <c r="CP8" s="2"/>
      <c r="CQ8" s="2"/>
      <c r="CR8" s="2"/>
      <c r="CS8" s="2"/>
      <c r="CT8" s="2"/>
      <c r="CU8" s="2"/>
      <c r="CV8" s="2"/>
      <c r="CW8" s="2"/>
      <c r="CX8" s="2"/>
      <c r="CY8" s="2"/>
      <c r="CZ8" s="2"/>
    </row>
    <row r="9" spans="1:104" ht="37.5" customHeight="1" x14ac:dyDescent="0.2">
      <c r="A9" s="33">
        <v>8</v>
      </c>
      <c r="B9" s="29"/>
      <c r="C9" s="205"/>
      <c r="D9" s="206"/>
      <c r="E9" s="206"/>
      <c r="F9" s="207"/>
      <c r="G9" s="35">
        <f>IF(C9="",0,(COUNTIF(C2:F17,C9)))</f>
        <v>0</v>
      </c>
      <c r="H9" s="36" t="s">
        <v>13</v>
      </c>
      <c r="I9" s="37">
        <f>IFERROR((VLOOKUP($BO$1&amp;C9,TeamsBB2020!D:M,10,0)),0)</f>
        <v>0</v>
      </c>
      <c r="J9" s="38">
        <f t="shared" ref="J9:K9" si="25">IFERROR(K73,0)</f>
        <v>0</v>
      </c>
      <c r="K9" s="38">
        <f t="shared" si="25"/>
        <v>0</v>
      </c>
      <c r="L9" s="38" t="str">
        <f t="shared" ref="L9:N9" si="26">IFERROR(M73&amp;"+",0)</f>
        <v>0+</v>
      </c>
      <c r="M9" s="38" t="str">
        <f t="shared" si="26"/>
        <v>0+</v>
      </c>
      <c r="N9" s="38" t="str">
        <f t="shared" si="26"/>
        <v>0+</v>
      </c>
      <c r="O9" s="200">
        <f>IFERROR((IF(AV9="YES",(VLOOKUP($BO$1&amp;C9,TeamsBB2020!D:M,7,0)),AW9)),"")</f>
        <v>0</v>
      </c>
      <c r="P9" s="201"/>
      <c r="Q9" s="201"/>
      <c r="R9" s="201"/>
      <c r="S9" s="201"/>
      <c r="T9" s="201"/>
      <c r="U9" s="201"/>
      <c r="V9" s="201"/>
      <c r="W9" s="201"/>
      <c r="X9" s="201"/>
      <c r="Y9" s="201"/>
      <c r="Z9" s="201"/>
      <c r="AA9" s="201"/>
      <c r="AB9" s="201"/>
      <c r="AC9" s="201"/>
      <c r="AD9" s="202"/>
      <c r="AE9" s="208"/>
      <c r="AF9" s="209"/>
      <c r="AG9" s="209"/>
      <c r="AH9" s="210"/>
      <c r="AI9" s="208"/>
      <c r="AJ9" s="209"/>
      <c r="AK9" s="209"/>
      <c r="AL9" s="210"/>
      <c r="AM9" s="203">
        <f>IFERROR((VLOOKUP($BO$1&amp;C9,TeamsBB2020!D:M,8,0)),0)</f>
        <v>0</v>
      </c>
      <c r="AN9" s="211"/>
      <c r="AO9" s="204"/>
      <c r="AP9" s="213"/>
      <c r="AQ9" s="1">
        <f>IFERROR((((VLOOKUP($BO$1&amp;C9,TeamsBB2020!D:M,9,0)+(AK9/1000)))),0)</f>
        <v>0</v>
      </c>
      <c r="AR9" s="2">
        <f>IFERROR((VLOOKUP($BO$1&amp;C9,TeamsBB2020!D:N,11,0)),0)</f>
        <v>0</v>
      </c>
      <c r="AS9" s="2" t="str">
        <f t="shared" si="11"/>
        <v/>
      </c>
      <c r="AT9" s="2" t="str">
        <f t="shared" si="12"/>
        <v/>
      </c>
      <c r="AU9" s="2"/>
      <c r="AV9" s="2" t="str">
        <f t="shared" si="13"/>
        <v>YES</v>
      </c>
      <c r="AW9" s="2" t="str">
        <f t="shared" si="2"/>
        <v/>
      </c>
      <c r="AX9" s="39" t="str">
        <f t="shared" si="3"/>
        <v/>
      </c>
      <c r="AY9" s="39" t="str">
        <f t="shared" si="4"/>
        <v/>
      </c>
      <c r="AZ9" s="39" t="str">
        <f t="shared" si="5"/>
        <v/>
      </c>
      <c r="BA9" s="39" t="str">
        <f t="shared" si="6"/>
        <v/>
      </c>
      <c r="BB9" s="39"/>
      <c r="BC9" s="39"/>
      <c r="BD9" s="39" t="str">
        <f t="shared" si="7"/>
        <v/>
      </c>
      <c r="BE9" s="39" t="str">
        <f t="shared" si="8"/>
        <v/>
      </c>
      <c r="BF9" s="40" t="e">
        <f>IF(#REF!&lt;0,"",AX9&amp;AY9&amp;AZ9&amp;BA9&amp;BB9&amp;BC9&amp;BD9&amp;BE9)</f>
        <v>#REF!</v>
      </c>
      <c r="BG9" s="4" t="str">
        <f>IFERROR((IF((VLOOKUP($BO$1&amp;C9,TeamsBB2020!D:M,7,0))="","",", ")),"")</f>
        <v xml:space="preserve">, </v>
      </c>
      <c r="BH9" t="str">
        <f>IF(AND((VLOOKUP($BO$1&amp;C9,TeamsBB2020!D:M,7,0))="",AX9=""),"",", ")</f>
        <v xml:space="preserve">, </v>
      </c>
      <c r="BI9" s="2" t="str">
        <f>$BO$1&amp;8</f>
        <v>Norse8</v>
      </c>
      <c r="BJ9" t="str">
        <f>IFERROR(IF((VLOOKUP(BI9,TeamsBB2020!B:C,2,FALSE))=0,"",(VLOOKUP(BI9,TeamsBB2020!B:C,2,FALSE))),"")</f>
        <v/>
      </c>
      <c r="BK9" s="2"/>
      <c r="BL9" s="2" t="s">
        <v>41</v>
      </c>
      <c r="BM9" s="21" t="str">
        <f t="shared" si="16"/>
        <v>Elfos Silvanos</v>
      </c>
      <c r="BN9" s="2" t="s">
        <v>42</v>
      </c>
      <c r="BO9" s="2"/>
      <c r="BP9" s="2">
        <v>70000</v>
      </c>
      <c r="BQ9" s="2">
        <v>50000</v>
      </c>
      <c r="BR9" s="2">
        <v>3</v>
      </c>
      <c r="BS9" s="42" t="str">
        <f>IF($J$24="Español","Elegido de…",(IF($J$24="Deutsch","Auserwählte des…",(IF($J$24="Français","Favoris de...","Favoured of…")))))</f>
        <v>Elegido de…</v>
      </c>
      <c r="BT9" s="3" t="s">
        <v>31</v>
      </c>
      <c r="BU9" s="3"/>
      <c r="BV9" s="3"/>
      <c r="BW9" s="3"/>
      <c r="BX9" s="3"/>
      <c r="BY9" s="23" t="s">
        <v>52</v>
      </c>
      <c r="BZ9" s="23" t="s">
        <v>54</v>
      </c>
      <c r="CA9" s="24" t="s">
        <v>55</v>
      </c>
      <c r="CB9" s="23" t="s">
        <v>56</v>
      </c>
      <c r="CC9" s="23"/>
      <c r="CD9" s="25"/>
      <c r="CE9" s="23" t="s">
        <v>52</v>
      </c>
      <c r="CF9" s="2" t="s">
        <v>162</v>
      </c>
      <c r="CG9" s="3" t="s">
        <v>60</v>
      </c>
      <c r="CH9" s="25" t="s">
        <v>1451</v>
      </c>
      <c r="CI9" s="2"/>
      <c r="CJ9" s="2"/>
      <c r="CK9" s="2"/>
      <c r="CL9" s="2"/>
      <c r="CM9" s="2"/>
      <c r="CN9" s="2"/>
      <c r="CO9" s="2"/>
      <c r="CP9" s="2"/>
      <c r="CQ9" s="2"/>
      <c r="CR9" s="2"/>
      <c r="CS9" s="2"/>
      <c r="CT9" s="2"/>
      <c r="CU9" s="2"/>
      <c r="CV9" s="2"/>
      <c r="CW9" s="2"/>
      <c r="CX9" s="2"/>
      <c r="CY9" s="2"/>
      <c r="CZ9" s="2"/>
    </row>
    <row r="10" spans="1:104" ht="37.5" customHeight="1" x14ac:dyDescent="0.2">
      <c r="A10" s="33">
        <v>9</v>
      </c>
      <c r="B10" s="29"/>
      <c r="C10" s="205"/>
      <c r="D10" s="206"/>
      <c r="E10" s="206"/>
      <c r="F10" s="207"/>
      <c r="G10" s="35">
        <f>IF(C10="",0,(COUNTIF(C2:F17,C10)))</f>
        <v>0</v>
      </c>
      <c r="H10" s="36" t="s">
        <v>13</v>
      </c>
      <c r="I10" s="37">
        <f>IFERROR((VLOOKUP($BO$1&amp;C10,TeamsBB2020!D:M,10,0)),0)</f>
        <v>0</v>
      </c>
      <c r="J10" s="38">
        <f t="shared" ref="J10:K10" si="27">IFERROR(K74,0)</f>
        <v>0</v>
      </c>
      <c r="K10" s="38">
        <f t="shared" si="27"/>
        <v>0</v>
      </c>
      <c r="L10" s="38" t="str">
        <f t="shared" ref="L10:N10" si="28">IFERROR(M74&amp;"+",0)</f>
        <v>0+</v>
      </c>
      <c r="M10" s="38" t="str">
        <f t="shared" si="28"/>
        <v>0+</v>
      </c>
      <c r="N10" s="38" t="str">
        <f t="shared" si="28"/>
        <v>0+</v>
      </c>
      <c r="O10" s="200">
        <f>IFERROR((IF(AV10="YES",(VLOOKUP($BO$1&amp;C10,TeamsBB2020!D:M,7,0)),AW10)),"")</f>
        <v>0</v>
      </c>
      <c r="P10" s="201"/>
      <c r="Q10" s="201"/>
      <c r="R10" s="201"/>
      <c r="S10" s="201"/>
      <c r="T10" s="201"/>
      <c r="U10" s="201"/>
      <c r="V10" s="201"/>
      <c r="W10" s="201"/>
      <c r="X10" s="201"/>
      <c r="Y10" s="201"/>
      <c r="Z10" s="201"/>
      <c r="AA10" s="201"/>
      <c r="AB10" s="201"/>
      <c r="AC10" s="201"/>
      <c r="AD10" s="202"/>
      <c r="AE10" s="208"/>
      <c r="AF10" s="209"/>
      <c r="AG10" s="209"/>
      <c r="AH10" s="210"/>
      <c r="AI10" s="208"/>
      <c r="AJ10" s="209"/>
      <c r="AK10" s="209"/>
      <c r="AL10" s="210"/>
      <c r="AM10" s="203">
        <f>IFERROR((VLOOKUP($BO$1&amp;C10,TeamsBB2020!D:M,8,0)),0)</f>
        <v>0</v>
      </c>
      <c r="AN10" s="211"/>
      <c r="AO10" s="204"/>
      <c r="AP10" s="213"/>
      <c r="AQ10" s="1">
        <f>IFERROR((((VLOOKUP($BO$1&amp;C10,TeamsBB2020!D:M,9,0)+(AK10/1000)))),0)</f>
        <v>0</v>
      </c>
      <c r="AR10" s="2">
        <f>IFERROR((VLOOKUP($BO$1&amp;C10,TeamsBB2020!D:N,11,0)),0)</f>
        <v>0</v>
      </c>
      <c r="AS10" s="2" t="str">
        <f t="shared" si="11"/>
        <v/>
      </c>
      <c r="AT10" s="2" t="str">
        <f t="shared" si="12"/>
        <v/>
      </c>
      <c r="AU10" s="2"/>
      <c r="AV10" s="2" t="str">
        <f t="shared" si="13"/>
        <v>YES</v>
      </c>
      <c r="AW10" s="2" t="str">
        <f t="shared" si="2"/>
        <v/>
      </c>
      <c r="AX10" s="39" t="str">
        <f t="shared" si="3"/>
        <v/>
      </c>
      <c r="AY10" s="39" t="str">
        <f t="shared" si="4"/>
        <v/>
      </c>
      <c r="AZ10" s="39" t="str">
        <f t="shared" si="5"/>
        <v/>
      </c>
      <c r="BA10" s="39" t="str">
        <f t="shared" si="6"/>
        <v/>
      </c>
      <c r="BB10" s="39"/>
      <c r="BC10" s="39"/>
      <c r="BD10" s="39" t="str">
        <f t="shared" si="7"/>
        <v/>
      </c>
      <c r="BE10" s="39" t="str">
        <f t="shared" si="8"/>
        <v/>
      </c>
      <c r="BF10" s="40" t="e">
        <f>IF(#REF!&lt;0,"",AX10&amp;AY10&amp;AZ10&amp;BA10&amp;BB10&amp;BC10&amp;BD10&amp;BE10)</f>
        <v>#REF!</v>
      </c>
      <c r="BG10" s="4" t="str">
        <f>IFERROR((IF((VLOOKUP($BO$1&amp;C10,TeamsBB2020!D:M,7,0))="","",", ")),"")</f>
        <v xml:space="preserve">, </v>
      </c>
      <c r="BH10" t="str">
        <f>IF(AND((VLOOKUP($BO$1&amp;C10,TeamsBB2020!D:M,7,0))="",AX10=""),"",", ")</f>
        <v xml:space="preserve">, </v>
      </c>
      <c r="BI10" s="2" t="str">
        <f>$BO$1&amp;9</f>
        <v>Norse9</v>
      </c>
      <c r="BJ10" t="str">
        <f>IFERROR(IF((VLOOKUP(BI10,TeamsBB2020!B:C,2,FALSE))=0,"",(VLOOKUP(BI10,TeamsBB2020!B:C,2,FALSE))),"")</f>
        <v/>
      </c>
      <c r="BK10" s="2"/>
      <c r="BL10" s="2" t="s">
        <v>46</v>
      </c>
      <c r="BM10" s="21" t="str">
        <f t="shared" si="16"/>
        <v>Enanos</v>
      </c>
      <c r="BN10" s="2" t="s">
        <v>47</v>
      </c>
      <c r="BO10" s="2"/>
      <c r="BP10" s="2">
        <v>50000</v>
      </c>
      <c r="BQ10" s="2">
        <v>50000</v>
      </c>
      <c r="BR10" s="2">
        <v>0</v>
      </c>
      <c r="BS10" s="42" t="str">
        <f>IF($J$24="Español","Liga de los Reinos Elfos",(IF($J$24="Deutsch","Liga der Elfenkönigreiche",(IF($J$24="Français","Ligue des Royaumes Elfiques","Elven Kingdoms League")))))</f>
        <v>Liga de los Reinos Elfos</v>
      </c>
      <c r="BT10" s="3" t="s">
        <v>48</v>
      </c>
      <c r="BU10" s="3"/>
      <c r="BV10" s="3"/>
      <c r="BW10" s="3"/>
      <c r="BX10" s="3"/>
      <c r="BY10" s="23" t="s">
        <v>57</v>
      </c>
      <c r="BZ10" s="23" t="s">
        <v>59</v>
      </c>
      <c r="CA10" s="3" t="s">
        <v>60</v>
      </c>
      <c r="CB10" s="23" t="s">
        <v>61</v>
      </c>
      <c r="CC10" s="23"/>
      <c r="CD10" s="25"/>
      <c r="CE10" s="23" t="s">
        <v>57</v>
      </c>
      <c r="CF10" s="23" t="s">
        <v>54</v>
      </c>
      <c r="CG10" s="15" t="s">
        <v>1490</v>
      </c>
      <c r="CH10" s="2" t="s">
        <v>66</v>
      </c>
      <c r="CI10" s="2"/>
      <c r="CJ10" s="2"/>
      <c r="CK10" s="2"/>
      <c r="CL10" s="2"/>
      <c r="CM10" s="2"/>
      <c r="CN10" s="2"/>
      <c r="CO10" s="2"/>
      <c r="CP10" s="2"/>
      <c r="CQ10" s="2"/>
      <c r="CR10" s="2"/>
      <c r="CS10" s="2"/>
      <c r="CT10" s="2"/>
      <c r="CU10" s="2"/>
      <c r="CV10" s="2"/>
      <c r="CW10" s="2"/>
      <c r="CX10" s="2"/>
      <c r="CY10" s="2"/>
      <c r="CZ10" s="2"/>
    </row>
    <row r="11" spans="1:104" ht="37.5" customHeight="1" x14ac:dyDescent="0.2">
      <c r="A11" s="33">
        <v>10</v>
      </c>
      <c r="B11" s="29"/>
      <c r="C11" s="205"/>
      <c r="D11" s="206"/>
      <c r="E11" s="206"/>
      <c r="F11" s="207"/>
      <c r="G11" s="35">
        <f>IF(C11="",0,(COUNTIF(C2:F17,C11)))</f>
        <v>0</v>
      </c>
      <c r="H11" s="36" t="s">
        <v>13</v>
      </c>
      <c r="I11" s="37">
        <f>IFERROR((VLOOKUP($BO$1&amp;C11,TeamsBB2020!D:M,10,0)),0)</f>
        <v>0</v>
      </c>
      <c r="J11" s="38">
        <f t="shared" ref="J11:K11" si="29">IFERROR(K75,0)</f>
        <v>0</v>
      </c>
      <c r="K11" s="38">
        <f t="shared" si="29"/>
        <v>0</v>
      </c>
      <c r="L11" s="38" t="str">
        <f t="shared" ref="L11:N11" si="30">IFERROR(M75&amp;"+",0)</f>
        <v>0+</v>
      </c>
      <c r="M11" s="38" t="str">
        <f t="shared" si="30"/>
        <v>0+</v>
      </c>
      <c r="N11" s="38" t="str">
        <f t="shared" si="30"/>
        <v>0+</v>
      </c>
      <c r="O11" s="200">
        <f>IFERROR((IF(AV11="YES",(VLOOKUP($BO$1&amp;C11,TeamsBB2020!D:M,7,0)),AW11)),"")</f>
        <v>0</v>
      </c>
      <c r="P11" s="201"/>
      <c r="Q11" s="201"/>
      <c r="R11" s="201"/>
      <c r="S11" s="201"/>
      <c r="T11" s="201"/>
      <c r="U11" s="201"/>
      <c r="V11" s="201"/>
      <c r="W11" s="201"/>
      <c r="X11" s="201"/>
      <c r="Y11" s="201"/>
      <c r="Z11" s="201"/>
      <c r="AA11" s="201"/>
      <c r="AB11" s="201"/>
      <c r="AC11" s="201"/>
      <c r="AD11" s="202"/>
      <c r="AE11" s="208"/>
      <c r="AF11" s="209"/>
      <c r="AG11" s="209"/>
      <c r="AH11" s="210"/>
      <c r="AI11" s="208"/>
      <c r="AJ11" s="209"/>
      <c r="AK11" s="209"/>
      <c r="AL11" s="210"/>
      <c r="AM11" s="203">
        <f>IFERROR((VLOOKUP($BO$1&amp;C11,TeamsBB2020!D:M,8,0)),0)</f>
        <v>0</v>
      </c>
      <c r="AN11" s="211"/>
      <c r="AO11" s="204"/>
      <c r="AP11" s="213"/>
      <c r="AQ11" s="1">
        <f>IFERROR((((VLOOKUP($BO$1&amp;C11,TeamsBB2020!D:M,9,0)+(AK11/1000)))),0)</f>
        <v>0</v>
      </c>
      <c r="AR11" s="2">
        <f>IFERROR((VLOOKUP($BO$1&amp;C11,TeamsBB2020!D:N,11,0)),0)</f>
        <v>0</v>
      </c>
      <c r="AS11" s="2" t="str">
        <f t="shared" si="11"/>
        <v/>
      </c>
      <c r="AT11" s="2" t="str">
        <f t="shared" si="12"/>
        <v/>
      </c>
      <c r="AU11" s="2"/>
      <c r="AV11" s="2" t="str">
        <f t="shared" si="13"/>
        <v>YES</v>
      </c>
      <c r="AW11" s="2" t="str">
        <f t="shared" si="2"/>
        <v/>
      </c>
      <c r="AX11" s="39" t="str">
        <f t="shared" si="3"/>
        <v/>
      </c>
      <c r="AY11" s="39" t="str">
        <f t="shared" si="4"/>
        <v/>
      </c>
      <c r="AZ11" s="39" t="str">
        <f t="shared" si="5"/>
        <v/>
      </c>
      <c r="BA11" s="39" t="str">
        <f t="shared" si="6"/>
        <v/>
      </c>
      <c r="BB11" s="39"/>
      <c r="BC11" s="39"/>
      <c r="BD11" s="39" t="str">
        <f t="shared" si="7"/>
        <v/>
      </c>
      <c r="BE11" s="39" t="str">
        <f t="shared" si="8"/>
        <v/>
      </c>
      <c r="BF11" s="40" t="e">
        <f>IF(#REF!&lt;0,"",AX11&amp;AY11&amp;AZ11&amp;BA11&amp;BB11&amp;BC11&amp;BD11&amp;BE11)</f>
        <v>#REF!</v>
      </c>
      <c r="BG11" s="4" t="str">
        <f>IFERROR((IF((VLOOKUP($BO$1&amp;C11,TeamsBB2020!D:M,7,0))="","",", ")),"")</f>
        <v xml:space="preserve">, </v>
      </c>
      <c r="BH11" t="str">
        <f>IF(AND((VLOOKUP($BO$1&amp;C11,TeamsBB2020!D:M,7,0))="",AX11=""),"",", ")</f>
        <v xml:space="preserve">, </v>
      </c>
      <c r="BI11" s="2" t="str">
        <f>$BO$1&amp;10</f>
        <v>Norse10</v>
      </c>
      <c r="BJ11" t="str">
        <f>IFERROR(IF((VLOOKUP(BI11,TeamsBB2020!B:C,2,FALSE))=0,"",(VLOOKUP(BI11,TeamsBB2020!B:C,2,FALSE))),"")</f>
        <v/>
      </c>
      <c r="BK11" s="2"/>
      <c r="BL11" s="2" t="s">
        <v>52</v>
      </c>
      <c r="BM11" s="21" t="str">
        <f t="shared" si="16"/>
        <v>Enanos del Caos</v>
      </c>
      <c r="BN11" s="2" t="s">
        <v>52</v>
      </c>
      <c r="BO11" s="2"/>
      <c r="BP11" s="2">
        <v>50000</v>
      </c>
      <c r="BQ11" s="2">
        <v>50000</v>
      </c>
      <c r="BR11" s="2">
        <v>1</v>
      </c>
      <c r="BS11" s="42" t="str">
        <f>IF($J$24="Español","Clásica del Viejo Mundo y Superliga del Fin del Mundo",(IF($J$24="Deutsch","Alte-Welt-Klassiker und Weltrandsuperliga",(IF($J$24="Français","Classique du Vieux Monde et Super-Ligue du Bord du Monde","Old World Classic and Worlds Edge Superleague")))))</f>
        <v>Clásica del Viejo Mundo y Superliga del Fin del Mundo</v>
      </c>
      <c r="BT11" s="3" t="s">
        <v>53</v>
      </c>
      <c r="BU11" s="3"/>
      <c r="BV11" s="3"/>
      <c r="BW11" s="3"/>
      <c r="BX11" s="3"/>
      <c r="BY11" s="23" t="s">
        <v>62</v>
      </c>
      <c r="BZ11" s="23" t="s">
        <v>64</v>
      </c>
      <c r="CA11" s="24" t="s">
        <v>65</v>
      </c>
      <c r="CB11" s="2" t="s">
        <v>66</v>
      </c>
      <c r="CC11" s="23"/>
      <c r="CD11" s="25"/>
      <c r="CE11" s="25" t="s">
        <v>1431</v>
      </c>
      <c r="CF11" s="2" t="s">
        <v>38</v>
      </c>
      <c r="CG11" s="24" t="s">
        <v>65</v>
      </c>
      <c r="CH11" s="23" t="s">
        <v>71</v>
      </c>
      <c r="CI11" s="2"/>
      <c r="CJ11" s="2"/>
      <c r="CK11" s="2"/>
      <c r="CL11" s="2"/>
      <c r="CM11" s="2"/>
      <c r="CN11" s="2"/>
      <c r="CO11" s="2"/>
      <c r="CP11" s="2"/>
      <c r="CQ11" s="2"/>
      <c r="CR11" s="2"/>
      <c r="CS11" s="2"/>
      <c r="CT11" s="2"/>
      <c r="CU11" s="2"/>
      <c r="CV11" s="2"/>
      <c r="CW11" s="2"/>
      <c r="CX11" s="2"/>
      <c r="CY11" s="2"/>
      <c r="CZ11" s="2"/>
    </row>
    <row r="12" spans="1:104" ht="37.5" customHeight="1" x14ac:dyDescent="0.2">
      <c r="A12" s="33">
        <v>11</v>
      </c>
      <c r="B12" s="29"/>
      <c r="C12" s="205"/>
      <c r="D12" s="206"/>
      <c r="E12" s="206"/>
      <c r="F12" s="207"/>
      <c r="G12" s="35">
        <f>IF(C12="",0,(COUNTIF(C2:F17,C12)))</f>
        <v>0</v>
      </c>
      <c r="H12" s="36" t="s">
        <v>13</v>
      </c>
      <c r="I12" s="37">
        <f>IFERROR((VLOOKUP($BO$1&amp;C12,TeamsBB2020!D:M,10,0)),0)</f>
        <v>0</v>
      </c>
      <c r="J12" s="38">
        <f t="shared" ref="J12:K12" si="31">IFERROR(K76,0)</f>
        <v>0</v>
      </c>
      <c r="K12" s="38">
        <f t="shared" si="31"/>
        <v>0</v>
      </c>
      <c r="L12" s="38" t="str">
        <f t="shared" ref="L12:N12" si="32">IFERROR(M76&amp;"+",0)</f>
        <v>0+</v>
      </c>
      <c r="M12" s="38" t="str">
        <f t="shared" si="32"/>
        <v>0+</v>
      </c>
      <c r="N12" s="38" t="str">
        <f t="shared" si="32"/>
        <v>0+</v>
      </c>
      <c r="O12" s="200">
        <f>IFERROR((IF(AV12="YES",(VLOOKUP($BO$1&amp;C12,TeamsBB2020!D:M,7,0)),AW12)),"")</f>
        <v>0</v>
      </c>
      <c r="P12" s="201"/>
      <c r="Q12" s="201"/>
      <c r="R12" s="201"/>
      <c r="S12" s="201"/>
      <c r="T12" s="201"/>
      <c r="U12" s="201"/>
      <c r="V12" s="201"/>
      <c r="W12" s="201"/>
      <c r="X12" s="201"/>
      <c r="Y12" s="201"/>
      <c r="Z12" s="201"/>
      <c r="AA12" s="201"/>
      <c r="AB12" s="201"/>
      <c r="AC12" s="201"/>
      <c r="AD12" s="202"/>
      <c r="AE12" s="208"/>
      <c r="AF12" s="209"/>
      <c r="AG12" s="209"/>
      <c r="AH12" s="210"/>
      <c r="AI12" s="208"/>
      <c r="AJ12" s="209"/>
      <c r="AK12" s="209"/>
      <c r="AL12" s="210"/>
      <c r="AM12" s="203">
        <f>IFERROR((VLOOKUP($BO$1&amp;C12,TeamsBB2020!D:M,8,0)),0)</f>
        <v>0</v>
      </c>
      <c r="AN12" s="211"/>
      <c r="AO12" s="204"/>
      <c r="AP12" s="213"/>
      <c r="AQ12" s="1">
        <f>IFERROR((((VLOOKUP($BO$1&amp;C12,TeamsBB2020!D:M,9,0)+(AK12/1000)))),0)</f>
        <v>0</v>
      </c>
      <c r="AR12" s="2">
        <f>IFERROR((VLOOKUP($BO$1&amp;C12,TeamsBB2020!D:N,11,0)),0)</f>
        <v>0</v>
      </c>
      <c r="AS12" s="2" t="str">
        <f t="shared" si="11"/>
        <v/>
      </c>
      <c r="AT12" s="2" t="str">
        <f t="shared" si="12"/>
        <v/>
      </c>
      <c r="AU12" s="2"/>
      <c r="AV12" s="2" t="str">
        <f t="shared" si="13"/>
        <v>YES</v>
      </c>
      <c r="AW12" s="2" t="str">
        <f t="shared" si="2"/>
        <v/>
      </c>
      <c r="AX12" s="39" t="str">
        <f t="shared" si="3"/>
        <v/>
      </c>
      <c r="AY12" s="39" t="str">
        <f t="shared" si="4"/>
        <v/>
      </c>
      <c r="AZ12" s="39" t="str">
        <f t="shared" si="5"/>
        <v/>
      </c>
      <c r="BA12" s="39" t="str">
        <f t="shared" si="6"/>
        <v/>
      </c>
      <c r="BB12" s="39"/>
      <c r="BC12" s="39"/>
      <c r="BD12" s="39" t="str">
        <f t="shared" si="7"/>
        <v/>
      </c>
      <c r="BE12" s="39" t="str">
        <f t="shared" si="8"/>
        <v/>
      </c>
      <c r="BF12" s="40" t="e">
        <f>IF(#REF!&lt;0,"",AX12&amp;AY12&amp;AZ12&amp;BA12&amp;BB12&amp;BC12&amp;BD12&amp;BE12)</f>
        <v>#REF!</v>
      </c>
      <c r="BG12" s="4" t="str">
        <f>IFERROR((IF((VLOOKUP($BO$1&amp;C12,TeamsBB2020!D:M,7,0))="","",", ")),"")</f>
        <v xml:space="preserve">, </v>
      </c>
      <c r="BH12" t="str">
        <f>IF(AND((VLOOKUP($BO$1&amp;C12,TeamsBB2020!D:M,7,0))="",AX12=""),"",", ")</f>
        <v xml:space="preserve">, </v>
      </c>
      <c r="BI12" s="2" t="str">
        <f>$BO$1&amp;11</f>
        <v>Norse11</v>
      </c>
      <c r="BJ12" t="str">
        <f>IFERROR(IF((VLOOKUP(BI12,TeamsBB2020!B:C,2,FALSE))=0,"",(VLOOKUP(BI12,TeamsBB2020!B:C,2,FALSE))),"")</f>
        <v/>
      </c>
      <c r="BK12" s="2"/>
      <c r="BL12" s="2" t="s">
        <v>57</v>
      </c>
      <c r="BM12" s="21" t="str">
        <f t="shared" si="16"/>
        <v>Gnomos</v>
      </c>
      <c r="BN12" s="2" t="s">
        <v>58</v>
      </c>
      <c r="BO12" s="2"/>
      <c r="BP12" s="2">
        <v>50000</v>
      </c>
      <c r="BQ12" s="2">
        <v>50000</v>
      </c>
      <c r="BR12" s="2">
        <v>0</v>
      </c>
      <c r="BS12" s="42" t="str">
        <f>IF($J$24="Español","Liga de los Reinos Elfos",(IF($J$24="Deutsch","Liga der Elfenkönigreiche",(IF($J$24="Français","Ligue des Royaumes Elfiques","Elven Kingdoms League")))))</f>
        <v>Liga de los Reinos Elfos</v>
      </c>
      <c r="BT12" s="3" t="s">
        <v>48</v>
      </c>
      <c r="BU12" s="3"/>
      <c r="BV12" s="3"/>
      <c r="BW12" s="3"/>
      <c r="BX12" s="3"/>
      <c r="BY12" s="25" t="s">
        <v>1431</v>
      </c>
      <c r="BZ12" s="25" t="s">
        <v>1450</v>
      </c>
      <c r="CA12" s="15" t="s">
        <v>1490</v>
      </c>
      <c r="CB12" s="25" t="s">
        <v>1451</v>
      </c>
      <c r="CC12" s="23"/>
      <c r="CD12" s="25"/>
      <c r="CE12" s="23" t="s">
        <v>62</v>
      </c>
      <c r="CF12" s="25" t="s">
        <v>1450</v>
      </c>
      <c r="CG12" s="24" t="s">
        <v>70</v>
      </c>
      <c r="CH12" s="25" t="s">
        <v>76</v>
      </c>
      <c r="CI12" s="2"/>
      <c r="CJ12" s="2"/>
      <c r="CK12" s="2"/>
      <c r="CL12" s="2"/>
      <c r="CM12" s="2"/>
      <c r="CN12" s="2"/>
      <c r="CO12" s="2"/>
      <c r="CP12" s="2"/>
      <c r="CQ12" s="2"/>
      <c r="CR12" s="2"/>
      <c r="CS12" s="2"/>
      <c r="CT12" s="2"/>
      <c r="CU12" s="2"/>
      <c r="CV12" s="2"/>
      <c r="CW12" s="2"/>
      <c r="CX12" s="2"/>
      <c r="CY12" s="2"/>
      <c r="CZ12" s="2"/>
    </row>
    <row r="13" spans="1:104" ht="37.5" customHeight="1" x14ac:dyDescent="0.2">
      <c r="A13" s="33">
        <v>12</v>
      </c>
      <c r="B13" s="29"/>
      <c r="C13" s="205"/>
      <c r="D13" s="206"/>
      <c r="E13" s="206"/>
      <c r="F13" s="207"/>
      <c r="G13" s="35">
        <f>IF(C13="",0,(COUNTIF(C2:F17,C13)))</f>
        <v>0</v>
      </c>
      <c r="H13" s="36" t="s">
        <v>13</v>
      </c>
      <c r="I13" s="37">
        <f>IFERROR((VLOOKUP($BO$1&amp;C13,TeamsBB2020!D:M,10,0)),0)</f>
        <v>0</v>
      </c>
      <c r="J13" s="38">
        <f t="shared" ref="J13:K13" si="33">IFERROR(K77,0)</f>
        <v>0</v>
      </c>
      <c r="K13" s="38">
        <f t="shared" si="33"/>
        <v>0</v>
      </c>
      <c r="L13" s="38" t="str">
        <f t="shared" ref="L13:N13" si="34">IFERROR(M77&amp;"+",0)</f>
        <v>0+</v>
      </c>
      <c r="M13" s="38" t="str">
        <f t="shared" si="34"/>
        <v>0+</v>
      </c>
      <c r="N13" s="38" t="str">
        <f t="shared" si="34"/>
        <v>0+</v>
      </c>
      <c r="O13" s="200">
        <f>IFERROR((IF(AV13="YES",(VLOOKUP($BO$1&amp;C13,TeamsBB2020!D:M,7,0)),AW13)),"")</f>
        <v>0</v>
      </c>
      <c r="P13" s="201"/>
      <c r="Q13" s="201"/>
      <c r="R13" s="201"/>
      <c r="S13" s="201"/>
      <c r="T13" s="201"/>
      <c r="U13" s="201"/>
      <c r="V13" s="201"/>
      <c r="W13" s="201"/>
      <c r="X13" s="201"/>
      <c r="Y13" s="201"/>
      <c r="Z13" s="201"/>
      <c r="AA13" s="201"/>
      <c r="AB13" s="201"/>
      <c r="AC13" s="201"/>
      <c r="AD13" s="202"/>
      <c r="AE13" s="208"/>
      <c r="AF13" s="209"/>
      <c r="AG13" s="209"/>
      <c r="AH13" s="210"/>
      <c r="AI13" s="208"/>
      <c r="AJ13" s="209"/>
      <c r="AK13" s="209"/>
      <c r="AL13" s="210"/>
      <c r="AM13" s="203">
        <f>IFERROR((VLOOKUP($BO$1&amp;C13,TeamsBB2020!D:M,8,0)),0)</f>
        <v>0</v>
      </c>
      <c r="AN13" s="211"/>
      <c r="AO13" s="204"/>
      <c r="AP13" s="213"/>
      <c r="AQ13" s="1">
        <f>IFERROR((((VLOOKUP($BO$1&amp;C13,TeamsBB2020!D:M,9,0)+(AK13/1000)))),0)</f>
        <v>0</v>
      </c>
      <c r="AR13" s="2">
        <f>IFERROR((VLOOKUP($BO$1&amp;C13,TeamsBB2020!D:N,11,0)),0)</f>
        <v>0</v>
      </c>
      <c r="AS13" s="2" t="str">
        <f t="shared" si="11"/>
        <v/>
      </c>
      <c r="AT13" s="2" t="str">
        <f t="shared" si="12"/>
        <v/>
      </c>
      <c r="AU13" s="2"/>
      <c r="AV13" s="2" t="str">
        <f t="shared" si="13"/>
        <v>YES</v>
      </c>
      <c r="AW13" s="2" t="str">
        <f t="shared" si="2"/>
        <v/>
      </c>
      <c r="AX13" s="39" t="str">
        <f t="shared" si="3"/>
        <v/>
      </c>
      <c r="AY13" s="39" t="str">
        <f t="shared" si="4"/>
        <v/>
      </c>
      <c r="AZ13" s="39" t="str">
        <f t="shared" si="5"/>
        <v/>
      </c>
      <c r="BA13" s="39" t="str">
        <f t="shared" si="6"/>
        <v/>
      </c>
      <c r="BB13" s="39"/>
      <c r="BC13" s="39"/>
      <c r="BD13" s="39" t="str">
        <f t="shared" si="7"/>
        <v/>
      </c>
      <c r="BE13" s="39" t="str">
        <f t="shared" si="8"/>
        <v/>
      </c>
      <c r="BF13" s="40" t="e">
        <f>IF(#REF!&lt;0,"",AX13&amp;AY13&amp;AZ13&amp;BA13&amp;BB13&amp;BC13&amp;BD13&amp;BE13)</f>
        <v>#REF!</v>
      </c>
      <c r="BG13" s="4" t="str">
        <f>IFERROR((IF((VLOOKUP($BO$1&amp;C13,TeamsBB2020!D:M,7,0))="","",", ")),"")</f>
        <v xml:space="preserve">, </v>
      </c>
      <c r="BH13" t="str">
        <f>IF(AND((VLOOKUP($BO$1&amp;C13,TeamsBB2020!D:M,7,0))="",AX13=""),"",", ")</f>
        <v xml:space="preserve">, </v>
      </c>
      <c r="BI13" s="2" t="str">
        <f>$BO$1&amp;12</f>
        <v>Norse12</v>
      </c>
      <c r="BJ13" t="str">
        <f>IFERROR(IF((VLOOKUP(BI13,TeamsBB2020!B:C,2,FALSE))=0,"",(VLOOKUP(BI13,TeamsBB2020!B:C,2,FALSE))),"")</f>
        <v/>
      </c>
      <c r="BK13" s="2"/>
      <c r="BL13" s="2" t="s">
        <v>62</v>
      </c>
      <c r="BM13" s="21" t="str">
        <f t="shared" si="16"/>
        <v>Goblins</v>
      </c>
      <c r="BN13" s="2" t="s">
        <v>62</v>
      </c>
      <c r="BO13" s="2"/>
      <c r="BP13" s="2">
        <v>60000</v>
      </c>
      <c r="BQ13" s="2">
        <v>50000</v>
      </c>
      <c r="BR13" s="2">
        <v>2</v>
      </c>
      <c r="BS13" s="42"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Reyerta en las Yermas, Reto del Inframundo y Sobornos y Corrupción</v>
      </c>
      <c r="BT13" s="3" t="s">
        <v>63</v>
      </c>
      <c r="BU13" s="3" t="s">
        <v>25</v>
      </c>
      <c r="BV13" s="3"/>
      <c r="BW13" s="3"/>
      <c r="BX13" s="3"/>
      <c r="BY13" s="23" t="s">
        <v>67</v>
      </c>
      <c r="BZ13" s="23" t="s">
        <v>69</v>
      </c>
      <c r="CA13" s="24" t="s">
        <v>70</v>
      </c>
      <c r="CB13" s="23" t="s">
        <v>71</v>
      </c>
      <c r="CC13" s="23"/>
      <c r="CD13" s="25"/>
      <c r="CE13" s="23" t="s">
        <v>67</v>
      </c>
      <c r="CF13" s="23" t="s">
        <v>64</v>
      </c>
      <c r="CG13" s="43" t="s">
        <v>75</v>
      </c>
      <c r="CH13" s="1" t="s">
        <v>95</v>
      </c>
      <c r="CI13" s="2"/>
      <c r="CJ13" s="2"/>
      <c r="CK13" s="2"/>
      <c r="CL13" s="2"/>
      <c r="CM13" s="2"/>
      <c r="CN13" s="2"/>
      <c r="CO13" s="2"/>
      <c r="CP13" s="2"/>
      <c r="CQ13" s="2"/>
      <c r="CR13" s="2"/>
      <c r="CS13" s="2"/>
      <c r="CT13" s="2"/>
      <c r="CU13" s="2"/>
      <c r="CV13" s="2"/>
      <c r="CW13" s="2"/>
      <c r="CX13" s="2"/>
      <c r="CY13" s="2"/>
      <c r="CZ13" s="2"/>
    </row>
    <row r="14" spans="1:104" ht="37.5" customHeight="1" x14ac:dyDescent="0.2">
      <c r="A14" s="33">
        <v>13</v>
      </c>
      <c r="B14" s="29"/>
      <c r="C14" s="205"/>
      <c r="D14" s="206"/>
      <c r="E14" s="206"/>
      <c r="F14" s="207"/>
      <c r="G14" s="35">
        <f>IF(C14="",0,(COUNTIF(C2:F17,C14)))</f>
        <v>0</v>
      </c>
      <c r="H14" s="36" t="s">
        <v>13</v>
      </c>
      <c r="I14" s="37">
        <f>IFERROR((VLOOKUP($BO$1&amp;C14,TeamsBB2020!D:M,10,0)),0)</f>
        <v>0</v>
      </c>
      <c r="J14" s="38">
        <f t="shared" ref="J14:K14" si="35">IFERROR(K78,0)</f>
        <v>0</v>
      </c>
      <c r="K14" s="38">
        <f t="shared" si="35"/>
        <v>0</v>
      </c>
      <c r="L14" s="38" t="str">
        <f t="shared" ref="L14:N14" si="36">IFERROR(M78&amp;"+",0)</f>
        <v>0+</v>
      </c>
      <c r="M14" s="38" t="str">
        <f t="shared" si="36"/>
        <v>0+</v>
      </c>
      <c r="N14" s="38" t="str">
        <f t="shared" si="36"/>
        <v>0+</v>
      </c>
      <c r="O14" s="200">
        <f>IFERROR((IF(AV14="YES",(VLOOKUP($BO$1&amp;C14,TeamsBB2020!D:M,7,0)),AW14)),"")</f>
        <v>0</v>
      </c>
      <c r="P14" s="201"/>
      <c r="Q14" s="201"/>
      <c r="R14" s="201"/>
      <c r="S14" s="201"/>
      <c r="T14" s="201"/>
      <c r="U14" s="201"/>
      <c r="V14" s="201"/>
      <c r="W14" s="201"/>
      <c r="X14" s="201"/>
      <c r="Y14" s="201"/>
      <c r="Z14" s="201"/>
      <c r="AA14" s="201"/>
      <c r="AB14" s="201"/>
      <c r="AC14" s="201"/>
      <c r="AD14" s="202"/>
      <c r="AE14" s="208"/>
      <c r="AF14" s="209"/>
      <c r="AG14" s="209"/>
      <c r="AH14" s="210"/>
      <c r="AI14" s="208"/>
      <c r="AJ14" s="209"/>
      <c r="AK14" s="209"/>
      <c r="AL14" s="210"/>
      <c r="AM14" s="203">
        <f>IFERROR((VLOOKUP($BO$1&amp;C14,TeamsBB2020!D:M,8,0)),0)</f>
        <v>0</v>
      </c>
      <c r="AN14" s="211"/>
      <c r="AO14" s="204"/>
      <c r="AP14" s="213"/>
      <c r="AQ14" s="1">
        <f>IFERROR((((VLOOKUP($BO$1&amp;C14,TeamsBB2020!D:M,9,0)+(AK14/1000)))),0)</f>
        <v>0</v>
      </c>
      <c r="AR14" s="2">
        <f>IFERROR((VLOOKUP($BO$1&amp;C14,TeamsBB2020!D:N,11,0)),0)</f>
        <v>0</v>
      </c>
      <c r="AS14" s="2" t="str">
        <f t="shared" si="11"/>
        <v/>
      </c>
      <c r="AT14" s="2" t="str">
        <f t="shared" si="12"/>
        <v/>
      </c>
      <c r="AU14" s="2"/>
      <c r="AV14" s="2" t="str">
        <f t="shared" si="13"/>
        <v>YES</v>
      </c>
      <c r="AW14" s="2" t="str">
        <f t="shared" si="2"/>
        <v/>
      </c>
      <c r="AX14" s="39" t="str">
        <f t="shared" si="3"/>
        <v/>
      </c>
      <c r="AY14" s="39" t="str">
        <f t="shared" si="4"/>
        <v/>
      </c>
      <c r="AZ14" s="39" t="str">
        <f t="shared" si="5"/>
        <v/>
      </c>
      <c r="BA14" s="39" t="str">
        <f t="shared" si="6"/>
        <v/>
      </c>
      <c r="BB14" s="39"/>
      <c r="BC14" s="39"/>
      <c r="BD14" s="39" t="str">
        <f t="shared" si="7"/>
        <v/>
      </c>
      <c r="BE14" s="39" t="str">
        <f t="shared" si="8"/>
        <v/>
      </c>
      <c r="BF14" s="40" t="e">
        <f>IF(#REF!&lt;0,"",AX14&amp;AY14&amp;AZ14&amp;BA14&amp;BB14&amp;BC14&amp;BD14&amp;BE14)</f>
        <v>#REF!</v>
      </c>
      <c r="BG14" s="4" t="str">
        <f>IFERROR((IF((VLOOKUP($BO$1&amp;C14,TeamsBB2020!D:M,7,0))="","",", ")),"")</f>
        <v xml:space="preserve">, </v>
      </c>
      <c r="BH14" t="str">
        <f>IF(AND((VLOOKUP($BO$1&amp;C14,TeamsBB2020!D:M,7,0))="",AX14=""),"",", ")</f>
        <v xml:space="preserve">, </v>
      </c>
      <c r="BI14" s="2" t="str">
        <f>$BO$1&amp;13</f>
        <v>Norse13</v>
      </c>
      <c r="BJ14" t="str">
        <f>IFERROR(IF((VLOOKUP(BI14,TeamsBB2020!B:C,2,FALSE))=0,"",(VLOOKUP(BI14,TeamsBB2020!B:C,2,FALSE))),"")</f>
        <v/>
      </c>
      <c r="BK14" s="2"/>
      <c r="BL14" s="25" t="s">
        <v>1431</v>
      </c>
      <c r="BM14" s="21" t="str">
        <f t="shared" si="16"/>
        <v>Halflings</v>
      </c>
      <c r="BN14" s="25" t="s">
        <v>1431</v>
      </c>
      <c r="BP14" s="2">
        <v>50000</v>
      </c>
      <c r="BQ14" s="2">
        <v>50000</v>
      </c>
      <c r="BR14" s="2">
        <v>2</v>
      </c>
      <c r="BS14" s="42" t="str">
        <f>IF($J$24="Español","Copa Dedal Halfling",(IF($J$24="Deutsch","Halbling-Fingerhut-Pokal",(IF($J$24="Français","Coupe Dé à Coudre Halfling","Halfling Thimble Cup")))))</f>
        <v>Copa Dedal Halfling</v>
      </c>
      <c r="BT14" s="3" t="s">
        <v>1035</v>
      </c>
      <c r="BW14" s="3"/>
      <c r="BX14" s="3"/>
      <c r="BY14" s="23" t="s">
        <v>72</v>
      </c>
      <c r="BZ14" s="23" t="s">
        <v>74</v>
      </c>
      <c r="CA14" s="43" t="s">
        <v>75</v>
      </c>
      <c r="CB14" s="25" t="s">
        <v>76</v>
      </c>
      <c r="CC14" s="23"/>
      <c r="CD14" s="25"/>
      <c r="CE14" s="23" t="s">
        <v>72</v>
      </c>
      <c r="CF14" s="23" t="s">
        <v>69</v>
      </c>
      <c r="CG14" s="43" t="s">
        <v>85</v>
      </c>
      <c r="CH14" s="1" t="s">
        <v>101</v>
      </c>
      <c r="CI14" s="2"/>
      <c r="CJ14" s="2"/>
      <c r="CK14" s="2"/>
      <c r="CL14" s="2"/>
      <c r="CM14" s="2"/>
      <c r="CN14" s="2"/>
      <c r="CO14" s="2"/>
      <c r="CP14" s="2"/>
      <c r="CQ14" s="2"/>
      <c r="CR14" s="2"/>
      <c r="CS14" s="2"/>
      <c r="CT14" s="2"/>
      <c r="CU14" s="2"/>
      <c r="CV14" s="2"/>
      <c r="CW14" s="2"/>
      <c r="CX14" s="2"/>
      <c r="CY14" s="2"/>
      <c r="CZ14" s="2"/>
    </row>
    <row r="15" spans="1:104" ht="37.5" customHeight="1" x14ac:dyDescent="0.2">
      <c r="A15" s="33">
        <v>14</v>
      </c>
      <c r="B15" s="29"/>
      <c r="C15" s="205"/>
      <c r="D15" s="206"/>
      <c r="E15" s="206"/>
      <c r="F15" s="207"/>
      <c r="G15" s="35">
        <f>IF(C15="",0,(COUNTIF(C2:F17,C15)))</f>
        <v>0</v>
      </c>
      <c r="H15" s="36" t="s">
        <v>13</v>
      </c>
      <c r="I15" s="37">
        <f>IFERROR((VLOOKUP($BO$1&amp;C15,TeamsBB2020!D:M,10,0)),0)</f>
        <v>0</v>
      </c>
      <c r="J15" s="38">
        <f t="shared" ref="J15:K15" si="37">IFERROR(K79,0)</f>
        <v>0</v>
      </c>
      <c r="K15" s="38">
        <f t="shared" si="37"/>
        <v>0</v>
      </c>
      <c r="L15" s="38" t="str">
        <f t="shared" ref="L15:N15" si="38">IFERROR(M79&amp;"+",0)</f>
        <v>0+</v>
      </c>
      <c r="M15" s="38" t="str">
        <f t="shared" si="38"/>
        <v>0+</v>
      </c>
      <c r="N15" s="38" t="str">
        <f t="shared" si="38"/>
        <v>0+</v>
      </c>
      <c r="O15" s="200">
        <f>IFERROR((IF(AV15="YES",(VLOOKUP($BO$1&amp;C15,TeamsBB2020!D:M,7,0)),AW15)),"")</f>
        <v>0</v>
      </c>
      <c r="P15" s="201"/>
      <c r="Q15" s="201"/>
      <c r="R15" s="201"/>
      <c r="S15" s="201"/>
      <c r="T15" s="201"/>
      <c r="U15" s="201"/>
      <c r="V15" s="201"/>
      <c r="W15" s="201"/>
      <c r="X15" s="201"/>
      <c r="Y15" s="201"/>
      <c r="Z15" s="201"/>
      <c r="AA15" s="201"/>
      <c r="AB15" s="201"/>
      <c r="AC15" s="201"/>
      <c r="AD15" s="202"/>
      <c r="AE15" s="208"/>
      <c r="AF15" s="209"/>
      <c r="AG15" s="209"/>
      <c r="AH15" s="210"/>
      <c r="AI15" s="208"/>
      <c r="AJ15" s="209"/>
      <c r="AK15" s="209"/>
      <c r="AL15" s="210"/>
      <c r="AM15" s="203">
        <f>IFERROR((VLOOKUP($BO$1&amp;C15,TeamsBB2020!D:M,8,0)),0)</f>
        <v>0</v>
      </c>
      <c r="AN15" s="211"/>
      <c r="AO15" s="204"/>
      <c r="AP15" s="213"/>
      <c r="AQ15" s="1">
        <f>IFERROR((((VLOOKUP($BO$1&amp;C15,TeamsBB2020!D:M,9,0)+(AK15/1000)))),0)</f>
        <v>0</v>
      </c>
      <c r="AR15" s="2">
        <f>IFERROR((VLOOKUP($BO$1&amp;C15,TeamsBB2020!D:N,11,0)),0)</f>
        <v>0</v>
      </c>
      <c r="AS15" s="2" t="str">
        <f t="shared" si="11"/>
        <v/>
      </c>
      <c r="AT15" s="2" t="str">
        <f t="shared" si="12"/>
        <v/>
      </c>
      <c r="AU15" s="2"/>
      <c r="AV15" s="2" t="str">
        <f t="shared" si="13"/>
        <v>YES</v>
      </c>
      <c r="AW15" s="2" t="str">
        <f t="shared" si="2"/>
        <v/>
      </c>
      <c r="AX15" s="39" t="str">
        <f t="shared" si="3"/>
        <v/>
      </c>
      <c r="AY15" s="39" t="str">
        <f t="shared" si="4"/>
        <v/>
      </c>
      <c r="AZ15" s="39" t="str">
        <f t="shared" si="5"/>
        <v/>
      </c>
      <c r="BA15" s="39" t="str">
        <f t="shared" si="6"/>
        <v/>
      </c>
      <c r="BB15" s="39"/>
      <c r="BC15" s="39"/>
      <c r="BD15" s="39" t="str">
        <f t="shared" si="7"/>
        <v/>
      </c>
      <c r="BE15" s="39" t="str">
        <f t="shared" si="8"/>
        <v/>
      </c>
      <c r="BF15" s="40" t="e">
        <f>IF(#REF!&lt;0,"",AX15&amp;AY15&amp;AZ15&amp;BA15&amp;BB15&amp;BC15&amp;BD15&amp;BE15)</f>
        <v>#REF!</v>
      </c>
      <c r="BG15" s="4" t="str">
        <f>IFERROR((IF((VLOOKUP($BO$1&amp;C15,TeamsBB2020!D:M,7,0))="","",", ")),"")</f>
        <v xml:space="preserve">, </v>
      </c>
      <c r="BH15" t="str">
        <f>IF(AND((VLOOKUP($BO$1&amp;C15,TeamsBB2020!D:M,7,0))="",AX15=""),"",", ")</f>
        <v xml:space="preserve">, </v>
      </c>
      <c r="BI15" s="2"/>
      <c r="BK15" s="2"/>
      <c r="BL15" s="2" t="s">
        <v>67</v>
      </c>
      <c r="BM15" s="21" t="str">
        <f t="shared" si="16"/>
        <v>Humanos</v>
      </c>
      <c r="BN15" s="2" t="s">
        <v>67</v>
      </c>
      <c r="BO15" s="2"/>
      <c r="BP15" s="2">
        <v>60000</v>
      </c>
      <c r="BQ15" s="2">
        <v>50000</v>
      </c>
      <c r="BR15" s="2">
        <v>2</v>
      </c>
      <c r="BS15" s="42" t="str">
        <f>IF($J$24="Español","Copa Dedal Halfling",(IF($J$24="Deutsch","Halbling-Fingerhut-Pokal",(IF($J$24="Français","Coupe Dé à Coudre Halfling","Halfling Thimble Cup")))))</f>
        <v>Copa Dedal Halfling</v>
      </c>
      <c r="BT15" s="3" t="s">
        <v>68</v>
      </c>
      <c r="BU15" s="3"/>
      <c r="BV15" s="3"/>
      <c r="BW15" s="3"/>
      <c r="BX15" s="3"/>
      <c r="BY15" s="23" t="s">
        <v>77</v>
      </c>
      <c r="BZ15" s="23" t="s">
        <v>79</v>
      </c>
      <c r="CA15" s="43" t="s">
        <v>80</v>
      </c>
      <c r="CB15" s="25" t="s">
        <v>81</v>
      </c>
      <c r="CC15" s="25"/>
      <c r="CD15" s="25"/>
      <c r="CE15" s="23" t="s">
        <v>77</v>
      </c>
      <c r="CF15" s="23" t="s">
        <v>79</v>
      </c>
      <c r="CG15" s="46" t="s">
        <v>89</v>
      </c>
      <c r="CH15" s="25" t="s">
        <v>81</v>
      </c>
      <c r="CI15" s="2"/>
      <c r="CJ15" s="2"/>
      <c r="CK15" s="2"/>
      <c r="CL15" s="2"/>
      <c r="CM15" s="2"/>
      <c r="CN15" s="2"/>
      <c r="CO15" s="2"/>
      <c r="CP15" s="2"/>
      <c r="CQ15" s="2"/>
      <c r="CR15" s="2"/>
      <c r="CS15" s="2"/>
      <c r="CT15" s="2"/>
      <c r="CU15" s="2"/>
      <c r="CV15" s="2"/>
      <c r="CW15" s="2"/>
      <c r="CX15" s="2"/>
      <c r="CY15" s="2"/>
      <c r="CZ15" s="2"/>
    </row>
    <row r="16" spans="1:104" ht="37.5" customHeight="1" x14ac:dyDescent="0.2">
      <c r="A16" s="33">
        <v>15</v>
      </c>
      <c r="B16" s="29"/>
      <c r="C16" s="205"/>
      <c r="D16" s="206"/>
      <c r="E16" s="206"/>
      <c r="F16" s="207"/>
      <c r="G16" s="35">
        <f t="shared" ref="G16:G17" si="39">IF(C16="",0,(COUNTIF(C2:F17,C16)))</f>
        <v>0</v>
      </c>
      <c r="H16" s="36" t="s">
        <v>13</v>
      </c>
      <c r="I16" s="37">
        <f>IFERROR((VLOOKUP($BO$1&amp;C16,TeamsBB2020!D:M,10,0)),0)</f>
        <v>0</v>
      </c>
      <c r="J16" s="38">
        <f t="shared" ref="J16:K16" si="40">IFERROR(K80,0)</f>
        <v>0</v>
      </c>
      <c r="K16" s="38">
        <f t="shared" si="40"/>
        <v>0</v>
      </c>
      <c r="L16" s="38" t="str">
        <f t="shared" ref="L16:N16" si="41">IFERROR(M80&amp;"+",0)</f>
        <v>0+</v>
      </c>
      <c r="M16" s="38" t="str">
        <f t="shared" si="41"/>
        <v>0+</v>
      </c>
      <c r="N16" s="38" t="str">
        <f t="shared" si="41"/>
        <v>0+</v>
      </c>
      <c r="O16" s="200">
        <f>IFERROR((IF(AV16="YES",(VLOOKUP($BO$1&amp;C16,TeamsBB2020!D:M,7,0)),AW16)),"")</f>
        <v>0</v>
      </c>
      <c r="P16" s="201"/>
      <c r="Q16" s="201"/>
      <c r="R16" s="201"/>
      <c r="S16" s="201"/>
      <c r="T16" s="201"/>
      <c r="U16" s="201"/>
      <c r="V16" s="201"/>
      <c r="W16" s="201"/>
      <c r="X16" s="201"/>
      <c r="Y16" s="201"/>
      <c r="Z16" s="201"/>
      <c r="AA16" s="201"/>
      <c r="AB16" s="201"/>
      <c r="AC16" s="201"/>
      <c r="AD16" s="202"/>
      <c r="AE16" s="208"/>
      <c r="AF16" s="209"/>
      <c r="AG16" s="209"/>
      <c r="AH16" s="210"/>
      <c r="AI16" s="208"/>
      <c r="AJ16" s="209"/>
      <c r="AK16" s="209"/>
      <c r="AL16" s="210"/>
      <c r="AM16" s="203">
        <f>IFERROR((VLOOKUP($BO$1&amp;C16,TeamsBB2020!D:M,8,0)),0)</f>
        <v>0</v>
      </c>
      <c r="AN16" s="211"/>
      <c r="AO16" s="204"/>
      <c r="AP16" s="213"/>
      <c r="AQ16" s="1">
        <f>IFERROR((((VLOOKUP($BO$1&amp;C16,TeamsBB2020!D:M,9,0)+(AK16/1000)))),0)</f>
        <v>0</v>
      </c>
      <c r="AR16" s="2">
        <f>IFERROR((VLOOKUP($BO$1&amp;C16,TeamsBB2020!D:N,11,0)),0)</f>
        <v>0</v>
      </c>
      <c r="AS16" s="2" t="str">
        <f t="shared" si="11"/>
        <v/>
      </c>
      <c r="AT16" s="2" t="str">
        <f>IF(AR16&gt;0,(IF($BA$77&gt;$BA$79,(IF($J$24="Italiano","Il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6" s="2"/>
      <c r="AV16" s="2" t="str">
        <f t="shared" si="13"/>
        <v>YES</v>
      </c>
      <c r="AW16" s="2" t="str">
        <f t="shared" si="2"/>
        <v/>
      </c>
      <c r="AX16" s="39" t="str">
        <f t="shared" si="3"/>
        <v/>
      </c>
      <c r="AY16" s="39" t="str">
        <f t="shared" si="4"/>
        <v/>
      </c>
      <c r="AZ16" s="39" t="str">
        <f t="shared" si="5"/>
        <v/>
      </c>
      <c r="BA16" s="39" t="str">
        <f t="shared" si="6"/>
        <v/>
      </c>
      <c r="BB16" s="39"/>
      <c r="BC16" s="39"/>
      <c r="BD16" s="39" t="str">
        <f t="shared" si="7"/>
        <v/>
      </c>
      <c r="BE16" s="39" t="str">
        <f t="shared" si="8"/>
        <v/>
      </c>
      <c r="BF16" s="40" t="e">
        <f>IF(#REF!&lt;0,"",AX16&amp;AY16&amp;AZ16&amp;BA16&amp;BB16&amp;BC16&amp;BD16&amp;BE16)</f>
        <v>#REF!</v>
      </c>
      <c r="BG16" s="4" t="str">
        <f>IFERROR((IF((VLOOKUP($BO$1&amp;C16,TeamsBB2020!D:M,7,0))="","",", ")),"")</f>
        <v xml:space="preserve">, </v>
      </c>
      <c r="BH16" t="str">
        <f>IF(AND((VLOOKUP($BO$1&amp;C16,TeamsBB2020!D:M,7,0))="",AX16=""),"",", ")</f>
        <v xml:space="preserve">, </v>
      </c>
      <c r="BK16" s="2"/>
      <c r="BL16" s="2" t="s">
        <v>72</v>
      </c>
      <c r="BM16" s="21" t="str">
        <f t="shared" si="16"/>
        <v>Inframundo</v>
      </c>
      <c r="BN16" s="2" t="s">
        <v>73</v>
      </c>
      <c r="BO16" s="2"/>
      <c r="BP16" s="2">
        <v>50000</v>
      </c>
      <c r="BQ16" s="2">
        <v>50000</v>
      </c>
      <c r="BR16" s="2">
        <v>0</v>
      </c>
      <c r="BS16" s="42" t="str">
        <f>IF($J$24="Español","Liga de los Reinos Elfos",(IF($J$24="Deutsch","Liga der Elfenkönigreiche",(IF($J$24="Français","Ligue des Royaumes Elfiques","Elven Kingdoms League")))))</f>
        <v>Liga de los Reinos Elfos</v>
      </c>
      <c r="BT16" s="3" t="s">
        <v>48</v>
      </c>
      <c r="BU16" s="3"/>
      <c r="BV16" s="3"/>
      <c r="BW16" s="3"/>
      <c r="BX16" s="3"/>
      <c r="BY16" s="23" t="s">
        <v>82</v>
      </c>
      <c r="BZ16" s="23" t="s">
        <v>84</v>
      </c>
      <c r="CA16" s="43" t="s">
        <v>85</v>
      </c>
      <c r="CB16" s="25" t="s">
        <v>86</v>
      </c>
      <c r="CC16" s="25"/>
      <c r="CD16" s="25"/>
      <c r="CE16" s="23" t="s">
        <v>82</v>
      </c>
      <c r="CF16" s="2" t="s">
        <v>156</v>
      </c>
      <c r="CG16" s="46" t="s">
        <v>94</v>
      </c>
      <c r="CH16" s="1" t="s">
        <v>90</v>
      </c>
      <c r="CI16" s="2"/>
      <c r="CJ16" s="2"/>
      <c r="CK16" s="2"/>
      <c r="CL16" s="2"/>
      <c r="CM16" s="2"/>
      <c r="CN16" s="2"/>
      <c r="CO16" s="2"/>
      <c r="CP16" s="2"/>
      <c r="CQ16" s="2"/>
      <c r="CR16" s="2"/>
      <c r="CS16" s="2"/>
      <c r="CT16" s="2"/>
      <c r="CU16" s="2"/>
      <c r="CV16" s="2"/>
      <c r="CW16" s="2"/>
      <c r="CX16" s="2"/>
      <c r="CY16" s="2"/>
      <c r="CZ16" s="2"/>
    </row>
    <row r="17" spans="1:104" ht="37.5" customHeight="1" x14ac:dyDescent="0.2">
      <c r="A17" s="33">
        <v>16</v>
      </c>
      <c r="B17" s="29"/>
      <c r="C17" s="205"/>
      <c r="D17" s="206"/>
      <c r="E17" s="206"/>
      <c r="F17" s="207"/>
      <c r="G17" s="35">
        <f t="shared" si="39"/>
        <v>0</v>
      </c>
      <c r="H17" s="36" t="s">
        <v>13</v>
      </c>
      <c r="I17" s="37">
        <f>IFERROR((VLOOKUP($BO$1&amp;C17,TeamsBB2020!D:M,10,0)),0)</f>
        <v>0</v>
      </c>
      <c r="J17" s="38">
        <f t="shared" ref="J17:K17" si="42">IFERROR(K81,0)</f>
        <v>0</v>
      </c>
      <c r="K17" s="38">
        <f t="shared" si="42"/>
        <v>0</v>
      </c>
      <c r="L17" s="38" t="str">
        <f t="shared" ref="L17:N17" si="43">IFERROR(M81&amp;"+",0)</f>
        <v>0+</v>
      </c>
      <c r="M17" s="38" t="str">
        <f t="shared" si="43"/>
        <v>0+</v>
      </c>
      <c r="N17" s="38" t="str">
        <f t="shared" si="43"/>
        <v>0+</v>
      </c>
      <c r="O17" s="200">
        <f>IFERROR((IF(AV17="YES",(VLOOKUP($BO$1&amp;C17,TeamsBB2020!D:M,7,0)),AW17)),"")</f>
        <v>0</v>
      </c>
      <c r="P17" s="201"/>
      <c r="Q17" s="201"/>
      <c r="R17" s="201"/>
      <c r="S17" s="201"/>
      <c r="T17" s="201"/>
      <c r="U17" s="201"/>
      <c r="V17" s="201"/>
      <c r="W17" s="201"/>
      <c r="X17" s="201"/>
      <c r="Y17" s="201"/>
      <c r="Z17" s="201"/>
      <c r="AA17" s="201"/>
      <c r="AB17" s="201"/>
      <c r="AC17" s="201"/>
      <c r="AD17" s="202"/>
      <c r="AE17" s="208"/>
      <c r="AF17" s="209"/>
      <c r="AG17" s="209"/>
      <c r="AH17" s="210"/>
      <c r="AI17" s="208"/>
      <c r="AJ17" s="209"/>
      <c r="AK17" s="209"/>
      <c r="AL17" s="210"/>
      <c r="AM17" s="203">
        <f>IFERROR((VLOOKUP($BO$1&amp;C17,TeamsBB2020!D:M,8,0)),0)</f>
        <v>0</v>
      </c>
      <c r="AN17" s="211"/>
      <c r="AO17" s="204"/>
      <c r="AP17" s="213"/>
      <c r="AQ17" s="1">
        <f>IFERROR((((VLOOKUP($BO$1&amp;C17,TeamsBB2020!D:M,9,0)+(AK17/1000)))),0)</f>
        <v>0</v>
      </c>
      <c r="AR17" s="2">
        <f>IFERROR((VLOOKUP($BO$1&amp;C17,TeamsBB2020!D:N,11,0)),0)</f>
        <v>0</v>
      </c>
      <c r="AS17" s="2" t="str">
        <f t="shared" si="11"/>
        <v/>
      </c>
      <c r="AT17" s="2" t="str">
        <f>IF(AR17&gt;0,(IF($BA$77&gt;$BA$79,(IF($J$24="Italiano","Il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7" s="2"/>
      <c r="AV17" s="2" t="str">
        <f t="shared" si="13"/>
        <v>YES</v>
      </c>
      <c r="AW17" s="2" t="str">
        <f t="shared" si="2"/>
        <v/>
      </c>
      <c r="AX17" s="39" t="str">
        <f t="shared" si="3"/>
        <v/>
      </c>
      <c r="AY17" s="39" t="str">
        <f t="shared" si="4"/>
        <v/>
      </c>
      <c r="AZ17" s="39" t="str">
        <f t="shared" si="5"/>
        <v/>
      </c>
      <c r="BA17" s="39" t="str">
        <f t="shared" si="6"/>
        <v/>
      </c>
      <c r="BB17" s="39"/>
      <c r="BC17" s="39"/>
      <c r="BD17" s="39" t="str">
        <f t="shared" si="7"/>
        <v/>
      </c>
      <c r="BE17" s="39" t="str">
        <f t="shared" si="8"/>
        <v/>
      </c>
      <c r="BF17" s="40" t="e">
        <f>IF(#REF!&lt;0,"",AX17&amp;AY17&amp;AZ17&amp;BA17&amp;BB17&amp;BC17&amp;BD17&amp;BE17)</f>
        <v>#REF!</v>
      </c>
      <c r="BG17" s="4" t="str">
        <f>IFERROR((IF((VLOOKUP($BO$1&amp;C17,TeamsBB2020!D:M,7,0))="","",", ")),"")</f>
        <v xml:space="preserve">, </v>
      </c>
      <c r="BH17" t="str">
        <f>IF(AND((VLOOKUP($BO$1&amp;C17,TeamsBB2020!D:M,7,0))="",AX17=""),"",", ")</f>
        <v xml:space="preserve">, </v>
      </c>
      <c r="BK17" s="2"/>
      <c r="BL17" s="2" t="s">
        <v>77</v>
      </c>
      <c r="BM17" s="21" t="str">
        <f t="shared" si="16"/>
        <v>Khemri</v>
      </c>
      <c r="BN17" s="2" t="s">
        <v>77</v>
      </c>
      <c r="BO17" s="2"/>
      <c r="BP17" s="2">
        <v>50000</v>
      </c>
      <c r="BQ17" s="2">
        <v>50000</v>
      </c>
      <c r="BR17" s="2">
        <v>1</v>
      </c>
      <c r="BS17" s="42" t="str">
        <f>IF($J$24="Español","Clásica del Viejo Mundo",(IF($J$24="Deutsch","Alte-Welt-Klassiker",(IF($J$24="Français","Classique du Vieux Monde","Old World Classic")))))</f>
        <v>Clásica del Viejo Mundo</v>
      </c>
      <c r="BT17" s="3" t="s">
        <v>78</v>
      </c>
      <c r="BU17" s="3"/>
      <c r="BV17" s="3"/>
      <c r="BW17" s="3"/>
      <c r="BX17" s="3"/>
      <c r="BY17" s="2" t="s">
        <v>87</v>
      </c>
      <c r="BZ17" s="2" t="s">
        <v>88</v>
      </c>
      <c r="CA17" s="46" t="s">
        <v>89</v>
      </c>
      <c r="CB17" s="1" t="s">
        <v>90</v>
      </c>
      <c r="CC17" s="1"/>
      <c r="CD17" s="1"/>
      <c r="CE17" s="2" t="s">
        <v>87</v>
      </c>
      <c r="CF17" s="2" t="s">
        <v>151</v>
      </c>
      <c r="CG17" s="43" t="s">
        <v>80</v>
      </c>
      <c r="CH17" s="1" t="s">
        <v>132</v>
      </c>
      <c r="CI17" s="2"/>
      <c r="CJ17" s="2"/>
      <c r="CK17" s="2"/>
      <c r="CL17" s="2"/>
      <c r="CM17" s="2"/>
      <c r="CN17" s="2"/>
      <c r="CO17" s="2"/>
      <c r="CP17" s="2"/>
      <c r="CQ17" s="2"/>
      <c r="CR17" s="2"/>
      <c r="CS17" s="2"/>
      <c r="CT17" s="2"/>
      <c r="CU17" s="2"/>
      <c r="CV17" s="2"/>
      <c r="CW17" s="2"/>
      <c r="CX17" s="2"/>
      <c r="CY17" s="2"/>
      <c r="CZ17" s="2"/>
    </row>
    <row r="18" spans="1:104" ht="45" customHeight="1" x14ac:dyDescent="0.2">
      <c r="A18" s="33" t="s">
        <v>91</v>
      </c>
      <c r="B18" s="45" t="str">
        <f>IF($J$24="Italiano","Star Player",(IF($J$24="Español","Jugadores Estrella",(IF($J$24="Français","Star Player",(IF($J$24="Deutsch","Starspielers","Star Player")))))))</f>
        <v>Jugadores Estrella</v>
      </c>
      <c r="C18" s="205"/>
      <c r="D18" s="206"/>
      <c r="E18" s="206"/>
      <c r="F18" s="207"/>
      <c r="G18" s="35">
        <f>IF(C18=" ",0,(COUNTIF(C18:F20,C18)))</f>
        <v>0</v>
      </c>
      <c r="H18" s="36" t="s">
        <v>13</v>
      </c>
      <c r="I18" s="37">
        <f>IFERROR((VLOOKUP(C18,StarPlayersBB2020!B:K,10,0)),0)</f>
        <v>0</v>
      </c>
      <c r="J18" s="38">
        <f>IFERROR((VLOOKUP(C18,StarPlayersBB2020!B:K,2,0)),0)</f>
        <v>0</v>
      </c>
      <c r="K18" s="38">
        <f>IFERROR((VLOOKUP(C18,StarPlayersBB2020!B:K,3,0)),0)</f>
        <v>0</v>
      </c>
      <c r="L18" s="38">
        <f>IFERROR((VLOOKUP(C18,StarPlayersBB2020!B:K,4,0)),0)</f>
        <v>0</v>
      </c>
      <c r="M18" s="38">
        <f>IFERROR((VLOOKUP(C18,StarPlayersBB2020!B:K,5,0)),0)</f>
        <v>0</v>
      </c>
      <c r="N18" s="38">
        <f>IFERROR((VLOOKUP(C18,StarPlayersBB2020!B:K,6,0)),0)</f>
        <v>0</v>
      </c>
      <c r="O18" s="200">
        <f>IFERROR((IF(AV18="NO",AW18,VLOOKUP(C18,StarPlayersBB2020!B:K,7,0))),0)</f>
        <v>0</v>
      </c>
      <c r="P18" s="201"/>
      <c r="Q18" s="201"/>
      <c r="R18" s="201"/>
      <c r="S18" s="201"/>
      <c r="T18" s="201"/>
      <c r="U18" s="201"/>
      <c r="V18" s="201"/>
      <c r="W18" s="201"/>
      <c r="X18" s="201"/>
      <c r="Y18" s="201"/>
      <c r="Z18" s="202"/>
      <c r="AA18" s="200">
        <f>IFERROR((IF(AV18="NO",AW18,VLOOKUP(C18,StarPlayersBB2020!B:K,8,0))),0)</f>
        <v>0</v>
      </c>
      <c r="AB18" s="201"/>
      <c r="AC18" s="201"/>
      <c r="AD18" s="201"/>
      <c r="AE18" s="201"/>
      <c r="AF18" s="201"/>
      <c r="AG18" s="201"/>
      <c r="AH18" s="201"/>
      <c r="AI18" s="201"/>
      <c r="AJ18" s="201"/>
      <c r="AK18" s="201"/>
      <c r="AL18" s="201"/>
      <c r="AM18" s="202"/>
      <c r="AN18" s="203">
        <f>IFERROR((VLOOKUP(C18,StarPlayersBB2020!B:K,9,0)),0)</f>
        <v>0</v>
      </c>
      <c r="AO18" s="204"/>
      <c r="AP18" s="213"/>
      <c r="AQ18" s="1">
        <f t="shared" ref="AQ18:AQ19" si="44">IFERROR(AN18/1000,0)</f>
        <v>0</v>
      </c>
      <c r="AR18" s="2" t="str">
        <f>IF(G18&gt;I18,(IF($J$24="English","Star player not allowed… You are cheating!",(IF($J$24="Español","Jugador estrella no permitido… ¡Estás haciendo trampas!",(IF($J$24="Deutsch","Starspieler nicht erlaubt… Du schummelst!",(IF($J$24="Français","Le joueur vedette n'est pas autorisé… Tricheur!","")))))))),"")</f>
        <v/>
      </c>
      <c r="AS18" s="2" t="str">
        <f>IF(OR((AND(C18="Dribl",C19&lt;&gt;"Drull")),(AND(C18="Drull",C19&lt;&gt;"Dribl"))),(IF($J$24="English","Dribl and Drull must go together in the team!",(IF($J$24="Español","¡Dribl y Drull deben ir juntos en el equipo!",(IF($J$24="Deutsch","Dribl und Drull müssen zusammen in die Mannschaft gehen!",(IF($J$24="Français","Dribl et Drull doivent aller ensemble dans l'équipe!","")))))))),"")</f>
        <v/>
      </c>
      <c r="AT18" s="1" t="str">
        <f>IF(OR((AND(C18="Grak",C19&lt;&gt;"Crumbleberry")),(AND(C18="Crumbleberry",C19&lt;&gt;"Grak"))),(IF($J$24="English","Grak and Crumbleberry must go together in the team!",(IF($J$24="Español","¡Grak y Crumbleberry deben ir juntos en el equipo!",(IF($J$24="Deutsch","Grak und Crumbleberry müssen zusammen in die Mannschaft gehen!",(IF($J$24="Français","Grak et Crumbleberry doivent aller ensemble dans l'équipe!","")))))))),"")</f>
        <v/>
      </c>
      <c r="AU18" s="1" t="str">
        <f>IF(OR((AND(C18="Lucien Swift",C19&lt;&gt;"Valen Swift")),(AND(C18="Valen Swift",C19&lt;&gt;"Lucien Swift"))),(IF($J$24="English","Lucien Swift and Valen Swift must go together in the team!",(IF($J$24="Español","¡Lucien Swift y Valen Swift deben ir juntos en el equipo!",(IF($J$24="Deutsch","Lucien Swift und Valen Swift müssen zusammen in die Mannschaft gehen!",(IF($J$24="Français","Lucien Swift et Valen Swift doivent aller ensemble dans l'équipe!","")))))))),"")</f>
        <v/>
      </c>
      <c r="AV18" s="1" t="str">
        <f>IF(OR(AR18&lt;&gt;"",AS18&lt;&gt;"",AT18&lt;&gt;"",AU18&lt;&gt;""),"NO","YES")</f>
        <v>YES</v>
      </c>
      <c r="AW18" s="1" t="str">
        <f>_xlfn.CONCAT(AS18," ",AR18," ",AT18," ",AU18)</f>
        <v xml:space="preserve">   </v>
      </c>
      <c r="AX18" s="2"/>
      <c r="AY18" s="2"/>
      <c r="AZ18" s="2"/>
      <c r="BA18" s="2"/>
      <c r="BB18" s="2"/>
      <c r="BC18" s="2"/>
      <c r="BD18" s="2"/>
      <c r="BE18" s="2"/>
      <c r="BK18" s="2"/>
      <c r="BL18" s="2" t="s">
        <v>82</v>
      </c>
      <c r="BM18" s="21" t="str">
        <f t="shared" si="16"/>
        <v xml:space="preserve">Khorne </v>
      </c>
      <c r="BN18" s="2" t="s">
        <v>83</v>
      </c>
      <c r="BO18" s="2"/>
      <c r="BP18" s="2">
        <v>70000</v>
      </c>
      <c r="BQ18" s="2">
        <v>50000</v>
      </c>
      <c r="BR18" s="2">
        <v>1</v>
      </c>
      <c r="BS18" s="42" t="str">
        <f>IF($J$24="Español","Clásica del Viejo Mundo",(IF($J$24="Deutsch","Alte-Welt-Klassiker",(IF($J$24="Français","Classique du Vieux Monde","Old World Classic")))))</f>
        <v>Clásica del Viejo Mundo</v>
      </c>
      <c r="BT18" s="3" t="s">
        <v>78</v>
      </c>
      <c r="BU18" s="3"/>
      <c r="BV18" s="3"/>
      <c r="BW18" s="3"/>
      <c r="BX18" s="3"/>
      <c r="BY18" s="2" t="s">
        <v>92</v>
      </c>
      <c r="BZ18" s="2" t="s">
        <v>93</v>
      </c>
      <c r="CA18" s="46" t="s">
        <v>94</v>
      </c>
      <c r="CB18" s="1" t="s">
        <v>95</v>
      </c>
      <c r="CC18" s="7"/>
      <c r="CD18" s="1"/>
      <c r="CE18" s="2" t="s">
        <v>92</v>
      </c>
      <c r="CF18" s="2" t="s">
        <v>88</v>
      </c>
      <c r="CG18" s="46" t="s">
        <v>100</v>
      </c>
      <c r="CH18" s="23" t="s">
        <v>56</v>
      </c>
      <c r="CI18" s="2"/>
      <c r="CJ18" s="2"/>
      <c r="CK18" s="2"/>
      <c r="CL18" s="2"/>
      <c r="CM18" s="2"/>
      <c r="CN18" s="2"/>
      <c r="CO18" s="2"/>
      <c r="CP18" s="2"/>
      <c r="CQ18" s="2"/>
      <c r="CR18" s="2"/>
      <c r="CS18" s="2"/>
      <c r="CT18" s="2"/>
      <c r="CU18" s="2"/>
      <c r="CV18" s="2"/>
      <c r="CW18" s="2"/>
      <c r="CX18" s="2"/>
      <c r="CY18" s="2"/>
      <c r="CZ18" s="2"/>
    </row>
    <row r="19" spans="1:104" ht="45" customHeight="1" x14ac:dyDescent="0.2">
      <c r="A19" s="47" t="s">
        <v>91</v>
      </c>
      <c r="B19" s="45" t="str">
        <f>IF($J$24="Italiano","Star Player",(IF($J$24="Español","Jugadores Estrella",(IF($J$24="Français","Star Player",(IF($J$24="Deutsch","Starspielers","Star Player")))))))</f>
        <v>Jugadores Estrella</v>
      </c>
      <c r="C19" s="205"/>
      <c r="D19" s="206"/>
      <c r="E19" s="206"/>
      <c r="F19" s="207"/>
      <c r="G19" s="48">
        <f>IF(C19=" ",0,(COUNTIF(C18:F20,C19)))</f>
        <v>0</v>
      </c>
      <c r="H19" s="49" t="s">
        <v>13</v>
      </c>
      <c r="I19" s="50">
        <f>IFERROR((VLOOKUP(C19,StarPlayersBB2020!B:K,10,0)),0)</f>
        <v>0</v>
      </c>
      <c r="J19" s="51">
        <f>IFERROR((VLOOKUP(C19,StarPlayersBB2020!B:K,2,0)),0)</f>
        <v>0</v>
      </c>
      <c r="K19" s="51">
        <f>IFERROR((VLOOKUP(C19,StarPlayersBB2020!B:K,3,0)),0)</f>
        <v>0</v>
      </c>
      <c r="L19" s="38">
        <f>IFERROR((VLOOKUP(C19,StarPlayersBB2020!B:K,4,0)),0)</f>
        <v>0</v>
      </c>
      <c r="M19" s="38">
        <f>IFERROR((VLOOKUP(C19,StarPlayersBB2020!B:K,5,0)),0)</f>
        <v>0</v>
      </c>
      <c r="N19" s="51">
        <f>IFERROR((VLOOKUP(C19,StarPlayersBB2020!B:K,6,0)),0)</f>
        <v>0</v>
      </c>
      <c r="O19" s="200">
        <f>IFERROR((IF(AV19="NO",AW19,VLOOKUP(C19,StarPlayersBB2020!B:K,7,0))),0)</f>
        <v>0</v>
      </c>
      <c r="P19" s="201"/>
      <c r="Q19" s="201"/>
      <c r="R19" s="201"/>
      <c r="S19" s="201"/>
      <c r="T19" s="201"/>
      <c r="U19" s="201"/>
      <c r="V19" s="201"/>
      <c r="W19" s="201"/>
      <c r="X19" s="201"/>
      <c r="Y19" s="201"/>
      <c r="Z19" s="202"/>
      <c r="AA19" s="200">
        <f>IFERROR((IF(AV19="NO",AW19,VLOOKUP(C19,StarPlayersBB2020!B:K,8,0))),0)</f>
        <v>0</v>
      </c>
      <c r="AB19" s="201"/>
      <c r="AC19" s="201"/>
      <c r="AD19" s="201"/>
      <c r="AE19" s="201"/>
      <c r="AF19" s="201"/>
      <c r="AG19" s="201"/>
      <c r="AH19" s="201"/>
      <c r="AI19" s="201"/>
      <c r="AJ19" s="201"/>
      <c r="AK19" s="201"/>
      <c r="AL19" s="201"/>
      <c r="AM19" s="202"/>
      <c r="AN19" s="203">
        <f>IFERROR((VLOOKUP(C19,StarPlayersBB2020!B:K,9,0)),0)</f>
        <v>0</v>
      </c>
      <c r="AO19" s="204"/>
      <c r="AP19" s="213"/>
      <c r="AQ19" s="1">
        <f t="shared" si="44"/>
        <v>0</v>
      </c>
      <c r="AR19" s="2" t="str">
        <f>IF(G19&gt;I19,(IF($J$24="English","Star player not allowed… You are cheating!",(IF($J$24="Español","Jugador estrella no permitido… ¡Estás haciendo trampas!",(IF($J$24="Deutsch","Starspieler nicht erlaubt… Du schummelst!",(IF($J$24="Français","Le joueur vedette n'est pas autorisé… Tricheur!","")))))))),"")</f>
        <v/>
      </c>
      <c r="AS19" s="2" t="str">
        <f>IF(OR((AND(C19="Dribl",C18&lt;&gt;"Drull")),(AND(C19="Drull",C18&lt;&gt;"Dribl"))),(IF($J$24="English","Dribl and Drull must go together in the team!",(IF($J$24="Español","¡Dribl y Drull deben ir juntos en el equipo!",(IF($J$24="Deutsch","Dribl und Drull müssen zusammen in die Mannschaft gehen!",(IF($J$24="Français","Dribl et Drull doivent aller ensemble dans l'équipe!","")))))))),"")</f>
        <v/>
      </c>
      <c r="AT19" s="1" t="str">
        <f>IF(OR((AND(C19="Grak",C18&lt;&gt;"Crumbleberry")),(AND(C19="Crumbleberry",C18&lt;&gt;"Grak"))),(IF($J$24="English","Grak and Crumbleberry must go together in the team!",(IF($J$24="Español","¡Grak y Crumbleberry deben ir juntos en el equipo!",(IF($J$24="Deutsch","Grak und Crumbleberry müssen zusammen in die Mannschaft gehen!",(IF($J$24="Français","Grak et Crumbleberry doivent aller ensemble dans l'équipe!","")))))))),"")</f>
        <v/>
      </c>
      <c r="AU19" s="1" t="str">
        <f>IF(OR((AND(C19="Lucien Swift",C18&lt;&gt;"Valen Swift")),(AND(C19="Valen Swift",C18&lt;&gt;"Lucien Swift"))),(IF($J$24="English","Lucien Swift and Valen Swift must go together in the team!",(IF($J$24="Español","¡Lucien Swift y Valen Swift deben ir juntos en el equipo!",(IF($J$24="Deutsch","Lucien Swift und Valen Swift müssen zusammen in die Mannschaft gehen!",(IF($J$24="Français","Lucien Swift et Valen Swift doivent aller ensemble dans l'équipe!","")))))))),"")</f>
        <v/>
      </c>
      <c r="AV19" s="1" t="str">
        <f>IF(OR(AR19&lt;&gt;"",AS19&lt;&gt;"",AT19&lt;&gt;"",AU19&lt;&gt;""),"NO","YES")</f>
        <v>YES</v>
      </c>
      <c r="AW19" s="1" t="str">
        <f>_xlfn.CONCAT(AS19," ",AR19," ",AT19," ",AU19)</f>
        <v xml:space="preserve">   </v>
      </c>
      <c r="AX19" s="2"/>
      <c r="AY19" s="2"/>
      <c r="AZ19" s="2"/>
      <c r="BA19" s="2"/>
      <c r="BB19" s="2"/>
      <c r="BC19" s="2"/>
      <c r="BD19" s="2"/>
      <c r="BE19" s="2"/>
      <c r="BK19" s="2"/>
      <c r="BL19" s="2" t="s">
        <v>87</v>
      </c>
      <c r="BM19" s="21" t="str">
        <f t="shared" si="16"/>
        <v>Lagartos</v>
      </c>
      <c r="BN19" s="2" t="s">
        <v>87</v>
      </c>
      <c r="BO19" s="2"/>
      <c r="BP19" s="2">
        <v>60000</v>
      </c>
      <c r="BQ19" s="2">
        <v>50000</v>
      </c>
      <c r="BR19" s="2">
        <v>1</v>
      </c>
      <c r="BS19" s="42" t="str">
        <f>IF($J$24="Español","Elegido de Khorne",(IF($J$24="Deutsch","Auserwählte des Khorne",(IF($J$24="Français","Favori de Khorne","Favoured of Khorne")))))</f>
        <v>Elegido de Khorne</v>
      </c>
      <c r="BT19" s="3" t="s">
        <v>31</v>
      </c>
      <c r="BW19" s="3"/>
      <c r="BX19" s="3"/>
      <c r="BY19" s="2" t="s">
        <v>96</v>
      </c>
      <c r="BZ19" s="2" t="s">
        <v>99</v>
      </c>
      <c r="CA19" s="46" t="s">
        <v>100</v>
      </c>
      <c r="CB19" s="1" t="s">
        <v>101</v>
      </c>
      <c r="CC19" s="2"/>
      <c r="CD19" s="1"/>
      <c r="CE19" s="2" t="s">
        <v>96</v>
      </c>
      <c r="CF19" s="2" t="s">
        <v>93</v>
      </c>
      <c r="CG19" s="46" t="s">
        <v>107</v>
      </c>
      <c r="CH19" s="1" t="s">
        <v>40</v>
      </c>
      <c r="CI19" s="2"/>
      <c r="CJ19" s="2"/>
      <c r="CK19" s="2"/>
      <c r="CL19" s="2"/>
      <c r="CM19" s="2"/>
      <c r="CN19" s="2"/>
      <c r="CO19" s="2"/>
      <c r="CP19" s="2"/>
      <c r="CQ19" s="2"/>
      <c r="CR19" s="2"/>
      <c r="CS19" s="2"/>
      <c r="CT19" s="2"/>
      <c r="CU19" s="2"/>
      <c r="CV19" s="2"/>
      <c r="CW19" s="2"/>
      <c r="CX19" s="2"/>
      <c r="CY19" s="2"/>
      <c r="CZ19" s="2"/>
    </row>
    <row r="20" spans="1:104" ht="45" hidden="1" customHeight="1" x14ac:dyDescent="0.2">
      <c r="A20" s="47" t="s">
        <v>91</v>
      </c>
      <c r="B20" s="45" t="str">
        <f>IF($J$24="Italiano","Star Player",(IF($J$24="Español","Jugadores Estrella",(IF($J$24="Français","Star Player",(IF($J$24="Deutsch","Starspielers","Star Player")))))))</f>
        <v>Jugadores Estrella</v>
      </c>
      <c r="C20" s="205"/>
      <c r="D20" s="206"/>
      <c r="E20" s="206"/>
      <c r="F20" s="207"/>
      <c r="G20" s="48">
        <f>IF(C20=" ",0,(COUNTIF(C18:F20,C20)))</f>
        <v>0</v>
      </c>
      <c r="H20" s="49" t="s">
        <v>13</v>
      </c>
      <c r="I20" s="50">
        <f>IFERROR((VLOOKUP(C20,StarPlayersBB2020!B:K,10,0)),0)</f>
        <v>0</v>
      </c>
      <c r="J20" s="51">
        <f>IFERROR((VLOOKUP(C20,StarPlayersBB2020!B:K,2,0)),0)</f>
        <v>0</v>
      </c>
      <c r="K20" s="51">
        <f>IFERROR((VLOOKUP(C20,StarPlayersBB2020!B:K,3,0)),0)</f>
        <v>0</v>
      </c>
      <c r="L20" s="38">
        <f>IFERROR((VLOOKUP(C20,StarPlayersBB2020!B:K,4,0)),0)</f>
        <v>0</v>
      </c>
      <c r="M20" s="38">
        <f>IFERROR((VLOOKUP(C20,StarPlayersBB2020!B:K,5,0)),0)</f>
        <v>0</v>
      </c>
      <c r="N20" s="51">
        <f>IFERROR((VLOOKUP(C20,StarPlayersBB2020!B:K,6,0)),0)</f>
        <v>0</v>
      </c>
      <c r="O20" s="200">
        <f>IFERROR((IF(G20&gt;I20,AS20,VLOOKUP(C20,StarPlayersBB2020!B:K,7,0))),0)</f>
        <v>0</v>
      </c>
      <c r="P20" s="201"/>
      <c r="Q20" s="201"/>
      <c r="R20" s="201"/>
      <c r="S20" s="201"/>
      <c r="T20" s="201"/>
      <c r="U20" s="201"/>
      <c r="V20" s="201"/>
      <c r="W20" s="201"/>
      <c r="X20" s="201"/>
      <c r="Y20" s="201"/>
      <c r="Z20" s="202"/>
      <c r="AA20" s="200">
        <f>IFERROR((IF(G20&gt;I20,AS20,VLOOKUP(C20,StarPlayersBB2020!B:K,8,0))),0)</f>
        <v>0</v>
      </c>
      <c r="AB20" s="201"/>
      <c r="AC20" s="201"/>
      <c r="AD20" s="201"/>
      <c r="AE20" s="201"/>
      <c r="AF20" s="201"/>
      <c r="AG20" s="201"/>
      <c r="AH20" s="201"/>
      <c r="AI20" s="201"/>
      <c r="AJ20" s="201"/>
      <c r="AK20" s="201"/>
      <c r="AL20" s="201"/>
      <c r="AM20" s="202"/>
      <c r="AN20" s="203">
        <f>IFERROR((VLOOKUP(C20,StarPlayersBB2020!B:K,9,0)),0)</f>
        <v>0</v>
      </c>
      <c r="AO20" s="204"/>
      <c r="AP20" s="213"/>
      <c r="AQ20" s="1">
        <f>IFERROR(AN20/1000,0)</f>
        <v>0</v>
      </c>
      <c r="AR20" s="1"/>
      <c r="AS20" s="2" t="str">
        <f t="shared" ref="AS20" si="45">IF(G20&gt;I20,(IF($J$24="English","Player limit exceded… You are cheating!",(IF($J$24="Español","Límite de jugadores excedido… ¡Estás haciendo trampas!",(IF($J$24="Deutsch","Spieler-Limit überschritten… Du schummelst!",(IF($J$24="Français","Tu as trop de joueurs… Tricheur!","")))))))),"")</f>
        <v/>
      </c>
      <c r="AT20" s="1"/>
      <c r="AU20" s="1"/>
      <c r="AV20" s="1"/>
      <c r="AW20" s="1"/>
      <c r="AX20" s="2"/>
      <c r="AY20" s="2"/>
      <c r="AZ20" s="2"/>
      <c r="BA20" s="2"/>
      <c r="BB20" s="2"/>
      <c r="BC20" s="2"/>
      <c r="BD20" s="2"/>
      <c r="BE20" s="2"/>
      <c r="BK20" s="2"/>
      <c r="BL20" s="2" t="s">
        <v>92</v>
      </c>
      <c r="BM20" s="21" t="str">
        <f t="shared" si="16"/>
        <v>Nórdicos</v>
      </c>
      <c r="BN20" s="2" t="s">
        <v>92</v>
      </c>
      <c r="BO20" s="2"/>
      <c r="BP20" s="2">
        <v>70000</v>
      </c>
      <c r="BQ20" s="2">
        <v>50000</v>
      </c>
      <c r="BR20" s="2">
        <v>1</v>
      </c>
      <c r="BS20" s="42" t="str">
        <f>IF($J$24="Español","Superliga Lustriana",(IF($J$24="Deutsch","Lustria-Superliga",(IF($J$24="Français","Super-Ligue de Lustrie","Lustrian Superleague")))))</f>
        <v>Superliga Lustriana</v>
      </c>
      <c r="BT20" s="3" t="s">
        <v>21</v>
      </c>
      <c r="BU20" s="3"/>
      <c r="BV20" s="3"/>
      <c r="BW20" s="3"/>
      <c r="BY20" s="2" t="s">
        <v>103</v>
      </c>
      <c r="BZ20" s="2" t="s">
        <v>1683</v>
      </c>
      <c r="CA20" s="46" t="s">
        <v>103</v>
      </c>
      <c r="CB20" s="1" t="s">
        <v>1684</v>
      </c>
      <c r="CC20" s="2"/>
      <c r="CD20" s="1"/>
      <c r="CE20" s="2" t="s">
        <v>103</v>
      </c>
      <c r="CF20" s="2" t="s">
        <v>1683</v>
      </c>
      <c r="CG20" s="46" t="s">
        <v>103</v>
      </c>
      <c r="CH20" s="1" t="s">
        <v>1684</v>
      </c>
      <c r="CI20" s="2"/>
      <c r="CJ20" s="2"/>
      <c r="CK20" s="2"/>
      <c r="CL20" s="2"/>
      <c r="CM20" s="2"/>
      <c r="CN20" s="2"/>
      <c r="CO20" s="2"/>
      <c r="CP20" s="2"/>
      <c r="CQ20" s="2"/>
      <c r="CR20" s="2"/>
      <c r="CS20" s="2"/>
      <c r="CT20" s="2"/>
      <c r="CU20" s="2"/>
      <c r="CV20" s="2"/>
      <c r="CW20" s="2"/>
      <c r="CX20" s="2"/>
      <c r="CY20" s="2"/>
      <c r="CZ20" s="2"/>
    </row>
    <row r="21" spans="1:104" ht="18.75" customHeight="1" x14ac:dyDescent="0.2">
      <c r="A21" s="164" t="e" vm="1">
        <v>#VALUE!</v>
      </c>
      <c r="B21" s="165"/>
      <c r="C21" s="178" t="str">
        <f>IF(J24="Italiano","ALLENATORE CAPO",(IF(J24="Español","ENTRENADOR",(IF(J24="Deutsch","CHEFTRAINER",(IF(J24="Français","COACH","COACH")))))))</f>
        <v>ENTRENADOR</v>
      </c>
      <c r="D21" s="179"/>
      <c r="E21" s="179"/>
      <c r="F21" s="179"/>
      <c r="G21" s="179"/>
      <c r="H21" s="179"/>
      <c r="I21" s="180"/>
      <c r="J21" s="188"/>
      <c r="K21" s="189"/>
      <c r="L21" s="189"/>
      <c r="M21" s="189"/>
      <c r="N21" s="189"/>
      <c r="O21" s="189"/>
      <c r="P21" s="189"/>
      <c r="Q21" s="190"/>
      <c r="R21" s="178" t="str">
        <f>IF(J24="Italiano","TIFOSI SFEGATATI",(IF(J24="Español","FANS DEDICADOS",(IF(J24="Deutsch","TREUE FANS",(IF(J24="Français","FANS DÉVOUÉS","DEDICATED FANS")))))))</f>
        <v>FANS DEDICADOS</v>
      </c>
      <c r="S21" s="179"/>
      <c r="T21" s="179"/>
      <c r="U21" s="179"/>
      <c r="V21" s="180"/>
      <c r="W21" s="30">
        <v>0</v>
      </c>
      <c r="X21" s="52" t="s">
        <v>102</v>
      </c>
      <c r="Y21" s="157">
        <v>10000</v>
      </c>
      <c r="Z21" s="157"/>
      <c r="AA21" s="53" t="str">
        <f t="shared" ref="AA21:AA28" si="46">IF($J$24="Español","mo",(IF($J$24="Deutsch","gm",(IF($J$24="Français","po","gp")))))</f>
        <v>mo</v>
      </c>
      <c r="AB21" s="170">
        <f>IFERROR(W21*Y21,0)</f>
        <v>0</v>
      </c>
      <c r="AC21" s="171"/>
      <c r="AD21" s="178"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MÉDICO</v>
      </c>
      <c r="AE21" s="179"/>
      <c r="AF21" s="179"/>
      <c r="AG21" s="179"/>
      <c r="AH21" s="180"/>
      <c r="AI21" s="32">
        <v>0</v>
      </c>
      <c r="AJ21" s="52" t="s">
        <v>102</v>
      </c>
      <c r="AK21" s="157">
        <f>IF(OR(BO1="Necromantic",BO1="Shambling Undead",BO1="Nurgle"),100000,(VLOOKUP(BO1,BL:BQ,6,0)))</f>
        <v>50000</v>
      </c>
      <c r="AL21" s="157"/>
      <c r="AM21" s="53" t="str">
        <f t="shared" ref="AM21:AM28" si="47">IF($J$24="Español","mo",(IF($J$24="Deutsch","gm",(IF($J$24="Français","po","gp")))))</f>
        <v>mo</v>
      </c>
      <c r="AN21" s="170">
        <f>IFERROR(IF(OR(AJ35="NO",AJ35="NON",AJ35="NEIN"),AI21*AK21,0),0)</f>
        <v>0</v>
      </c>
      <c r="AO21" s="171"/>
      <c r="AP21" s="213"/>
      <c r="AQ21" s="54"/>
      <c r="AR21" s="2"/>
      <c r="AS21" s="1"/>
      <c r="AT21" s="1"/>
      <c r="AU21" s="1"/>
      <c r="AV21" s="1"/>
      <c r="AW21" s="1"/>
      <c r="AX21" s="2"/>
      <c r="AY21" s="2"/>
      <c r="AZ21" s="2"/>
      <c r="BA21" s="2"/>
      <c r="BB21" s="2"/>
      <c r="BC21" s="2"/>
      <c r="BD21" s="2"/>
      <c r="BE21" s="2"/>
      <c r="BK21" s="2"/>
      <c r="BL21" s="2" t="s">
        <v>96</v>
      </c>
      <c r="BM21" s="21" t="str">
        <f t="shared" si="16"/>
        <v>Nigromanticos</v>
      </c>
      <c r="BN21" s="2" t="s">
        <v>96</v>
      </c>
      <c r="BO21" s="2"/>
      <c r="BP21" s="2">
        <v>70000</v>
      </c>
      <c r="BQ21" s="2">
        <v>0</v>
      </c>
      <c r="BR21" s="2">
        <v>0</v>
      </c>
      <c r="BS21" s="42" t="str">
        <f>IF($J$24="Español","Señores de los No Muertos, Selectiva de Sylvania",(IF($J$24="Deutsch","Masters of Undeath, Sylvanisches Rampenlicht",(IF($J$24="Français","Masters of Undeath, Spot de Sylvanie","Masters of Undeath, Sylvanian Spotlight")))))</f>
        <v>Señores de los No Muertos, Selectiva de Sylvania</v>
      </c>
      <c r="BT21" s="3" t="s">
        <v>97</v>
      </c>
      <c r="BU21" s="3" t="s">
        <v>98</v>
      </c>
      <c r="BV21" s="3"/>
      <c r="BW21" s="3"/>
      <c r="BX21" s="3"/>
      <c r="BY21" s="2" t="s">
        <v>105</v>
      </c>
      <c r="BZ21" s="2" t="s">
        <v>106</v>
      </c>
      <c r="CA21" s="46" t="s">
        <v>107</v>
      </c>
      <c r="CB21" s="1" t="s">
        <v>108</v>
      </c>
      <c r="CC21"/>
      <c r="CD21"/>
      <c r="CE21" s="2" t="s">
        <v>105</v>
      </c>
      <c r="CF21" s="2" t="s">
        <v>99</v>
      </c>
      <c r="CG21" s="46" t="s">
        <v>114</v>
      </c>
      <c r="CH21" s="25" t="s">
        <v>86</v>
      </c>
      <c r="CI21" s="2"/>
      <c r="CJ21" s="2"/>
      <c r="CK21" s="2"/>
      <c r="CL21" s="2"/>
      <c r="CM21" s="2"/>
      <c r="CN21" s="2"/>
      <c r="CO21" s="2"/>
      <c r="CP21" s="2"/>
      <c r="CQ21" s="2"/>
      <c r="CR21" s="2"/>
      <c r="CS21" s="2"/>
      <c r="CT21" s="2"/>
      <c r="CU21" s="2"/>
      <c r="CV21" s="2"/>
      <c r="CW21" s="2"/>
      <c r="CX21" s="2"/>
      <c r="CY21" s="2"/>
      <c r="CZ21" s="2"/>
    </row>
    <row r="22" spans="1:104" ht="18.75" customHeight="1" x14ac:dyDescent="0.2">
      <c r="A22" s="166"/>
      <c r="B22" s="167"/>
      <c r="C22" s="178" t="str">
        <f>IF(J24="Italiano","NUMERO NAF",(IF(J24="Español","NÚMERO NAF",(IF(J24="Deutsch","NAF-NUMMER",(IF(J24="Français","NUMÉRO NAF","NAF NUMBER")))))))</f>
        <v>NÚMERO NAF</v>
      </c>
      <c r="D22" s="179"/>
      <c r="E22" s="179"/>
      <c r="F22" s="179"/>
      <c r="G22" s="179"/>
      <c r="H22" s="179"/>
      <c r="I22" s="180"/>
      <c r="J22" s="188"/>
      <c r="K22" s="189"/>
      <c r="L22" s="189"/>
      <c r="M22" s="189"/>
      <c r="N22" s="189"/>
      <c r="O22" s="189"/>
      <c r="P22" s="189"/>
      <c r="Q22" s="190"/>
      <c r="R22" s="178" t="str">
        <f>IF(J24="Italiano","REROLLS",(IF(J24="Español","SEGUNDAS OPORTUNIDADES",(IF(J24="Deutsch","NEUWÜRFE",(IF(J24="Français","RELANCES","REROLLS")))))))</f>
        <v>SEGUNDAS OPORTUNIDADES</v>
      </c>
      <c r="S22" s="179"/>
      <c r="T22" s="179"/>
      <c r="U22" s="179"/>
      <c r="V22" s="180"/>
      <c r="W22" s="30">
        <v>0</v>
      </c>
      <c r="X22" s="52" t="s">
        <v>102</v>
      </c>
      <c r="Y22" s="157">
        <f>IFERROR(VLOOKUP(BO1,BL:BP,5,0),0)</f>
        <v>60000</v>
      </c>
      <c r="Z22" s="157"/>
      <c r="AA22" s="53" t="str">
        <f t="shared" si="46"/>
        <v>mo</v>
      </c>
      <c r="AB22" s="170">
        <f t="shared" ref="AB22:AB24" si="48">IFERROR(W22*Y22,0)</f>
        <v>0</v>
      </c>
      <c r="AC22" s="171"/>
      <c r="AD22" s="178" t="str">
        <f>IF(J24="Italiano","MAGO DEL CLIMA",(IF(J24="Español","MAGO DEL TIEMPO",(IF(J24="Deutsch","WETTERMAGIER",(IF(J24="Français","MAGE MÉTÉO","WEATHER MAGE")))))))</f>
        <v>MAGO DEL TIEMPO</v>
      </c>
      <c r="AE22" s="179"/>
      <c r="AF22" s="179"/>
      <c r="AG22" s="179"/>
      <c r="AH22" s="180"/>
      <c r="AI22" s="30">
        <v>0</v>
      </c>
      <c r="AJ22" s="52" t="s">
        <v>102</v>
      </c>
      <c r="AK22" s="157">
        <v>30000</v>
      </c>
      <c r="AL22" s="157"/>
      <c r="AM22" s="53" t="str">
        <f t="shared" si="47"/>
        <v>mo</v>
      </c>
      <c r="AN22" s="170">
        <f t="shared" ref="AN22:AN28" si="49">IFERROR(AI22*AK22,0)</f>
        <v>0</v>
      </c>
      <c r="AO22" s="171"/>
      <c r="AP22" s="213"/>
      <c r="AQ22" s="54"/>
      <c r="AR22" s="2">
        <f>(IF((ISNUMBER(J22)),0,1))</f>
        <v>1</v>
      </c>
      <c r="AT22" s="86"/>
      <c r="AV22" s="1"/>
      <c r="AW22" s="1"/>
      <c r="AX22" s="2"/>
      <c r="AY22" s="2"/>
      <c r="AZ22" s="2"/>
      <c r="BA22" s="2"/>
      <c r="BB22" s="2"/>
      <c r="BC22" s="2"/>
      <c r="BD22" s="2"/>
      <c r="BE22" s="2"/>
      <c r="BK22" s="2"/>
      <c r="BL22" s="2"/>
      <c r="BM22" s="21" t="str">
        <f t="shared" si="16"/>
        <v>No Muertos</v>
      </c>
      <c r="BN22" s="2"/>
      <c r="BO22" s="2"/>
      <c r="BP22" s="2">
        <v>60000</v>
      </c>
      <c r="BQ22" s="2">
        <v>50000</v>
      </c>
      <c r="BR22" s="2">
        <v>1</v>
      </c>
      <c r="BS22" s="42" t="str">
        <f>IF($J$24="Español","Superliga Lustriana y Clásica del Viejo Mundo",(IF($J$24="Deutsch","Lustria-Superliga und Alte-Welt-Klassiker",(IF($J$24="Français","Super-Ligue de Lustrie et Classique du Vieux Monde","Lustrian Superleague and Old World Classic")))))</f>
        <v>Superliga Lustriana y Clásica del Viejo Mundo</v>
      </c>
      <c r="BT22" s="3" t="s">
        <v>104</v>
      </c>
      <c r="BU22" s="3"/>
      <c r="BV22" s="3"/>
      <c r="BW22" s="3"/>
      <c r="BX22" s="3"/>
      <c r="BY22" s="2" t="s">
        <v>110</v>
      </c>
      <c r="BZ22" s="2" t="s">
        <v>113</v>
      </c>
      <c r="CA22" s="46" t="s">
        <v>114</v>
      </c>
      <c r="CB22" s="1" t="s">
        <v>115</v>
      </c>
      <c r="CC22" s="2"/>
      <c r="CD22" s="1"/>
      <c r="CE22" s="2" t="s">
        <v>110</v>
      </c>
      <c r="CF22" s="2" t="s">
        <v>130</v>
      </c>
      <c r="CG22" s="46" t="s">
        <v>121</v>
      </c>
      <c r="CH22" s="1" t="s">
        <v>108</v>
      </c>
      <c r="CI22" s="2"/>
      <c r="CJ22" s="2"/>
      <c r="CK22" s="2"/>
      <c r="CL22" s="2"/>
      <c r="CM22" s="2"/>
      <c r="CN22" s="2"/>
      <c r="CO22" s="2"/>
      <c r="CP22" s="2"/>
      <c r="CQ22" s="2"/>
      <c r="CR22" s="2"/>
      <c r="CS22" s="2"/>
      <c r="CT22" s="2"/>
      <c r="CU22" s="2"/>
      <c r="CV22" s="2"/>
      <c r="CW22" s="2"/>
      <c r="CX22" s="2"/>
      <c r="CY22" s="2"/>
      <c r="CZ22" s="2"/>
    </row>
    <row r="23" spans="1:104" ht="18.75" customHeight="1" x14ac:dyDescent="0.2">
      <c r="A23" s="166"/>
      <c r="B23" s="167"/>
      <c r="C23" s="172" t="str">
        <f>IF(J24="Italiano","RAZZA",(IF(J24="Español","RAZA",(IF(J24="Deutsch","RASSE",(IF(J24="Français","TYPE D’ÉQUIPE","RACE")))))))</f>
        <v>RAZA</v>
      </c>
      <c r="D23" s="173"/>
      <c r="E23" s="173"/>
      <c r="F23" s="173"/>
      <c r="G23" s="173"/>
      <c r="H23" s="173"/>
      <c r="I23" s="174"/>
      <c r="J23" s="194" t="s">
        <v>1683</v>
      </c>
      <c r="K23" s="195"/>
      <c r="L23" s="195"/>
      <c r="M23" s="195"/>
      <c r="N23" s="195"/>
      <c r="O23" s="195"/>
      <c r="P23" s="195"/>
      <c r="Q23" s="196"/>
      <c r="R23" s="178" t="str">
        <f>IF(J24="Español","ANIMADORAS",(IF(J24="Deutsch","CHEERLEADER","CHEERLEADERS")))</f>
        <v>ANIMADORAS</v>
      </c>
      <c r="S23" s="179"/>
      <c r="T23" s="179"/>
      <c r="U23" s="179"/>
      <c r="V23" s="180"/>
      <c r="W23" s="30">
        <v>0</v>
      </c>
      <c r="X23" s="52" t="s">
        <v>102</v>
      </c>
      <c r="Y23" s="157">
        <v>10000</v>
      </c>
      <c r="Z23" s="157"/>
      <c r="AA23" s="53" t="str">
        <f t="shared" si="46"/>
        <v>mo</v>
      </c>
      <c r="AB23" s="170">
        <f t="shared" si="48"/>
        <v>0</v>
      </c>
      <c r="AC23" s="171"/>
      <c r="AD23" s="181" t="s">
        <v>109</v>
      </c>
      <c r="AE23" s="182"/>
      <c r="AF23" s="182"/>
      <c r="AG23" s="182"/>
      <c r="AH23" s="183"/>
      <c r="AI23" s="30">
        <v>0</v>
      </c>
      <c r="AJ23" s="52" t="s">
        <v>102</v>
      </c>
      <c r="AK23" s="157">
        <f>IFERROR((VLOOKUP(AD23,BH64:BI88,2,FALSE)),0)</f>
        <v>0</v>
      </c>
      <c r="AL23" s="157"/>
      <c r="AM23" s="53" t="str">
        <f t="shared" si="47"/>
        <v>mo</v>
      </c>
      <c r="AN23" s="170">
        <f t="shared" si="49"/>
        <v>0</v>
      </c>
      <c r="AO23" s="171"/>
      <c r="AP23" s="213"/>
      <c r="AQ23" s="54"/>
      <c r="AR23" s="2"/>
      <c r="AS23" s="1"/>
      <c r="AT23" s="1"/>
      <c r="AU23" s="1"/>
      <c r="AV23" s="1"/>
      <c r="AW23" s="1"/>
      <c r="AX23" s="2"/>
      <c r="AY23" s="2"/>
      <c r="AZ23" s="2"/>
      <c r="BA23" s="2"/>
      <c r="BB23" s="2"/>
      <c r="BC23" s="2"/>
      <c r="BD23" s="2"/>
      <c r="BE23" s="2"/>
      <c r="BK23" s="2"/>
      <c r="BL23" s="2" t="s">
        <v>103</v>
      </c>
      <c r="BM23" s="21" t="str">
        <f t="shared" si="16"/>
        <v>Nobles Imperiales</v>
      </c>
      <c r="BN23" s="2" t="s">
        <v>103</v>
      </c>
      <c r="BP23" s="2">
        <v>60000</v>
      </c>
      <c r="BQ23" s="2">
        <v>50000</v>
      </c>
      <c r="BR23" s="2">
        <v>1</v>
      </c>
      <c r="BS23" s="3" t="str">
        <f>IF($J$24="Español","Clásica del Viejo Mundo o Elegido de Khorne o Caos",(IF($J$24="Deutsch","Alte-Welt-Klassiker o Auserwählte des Khorne o Chaos",(IF($J$24="Français","Classique du Vieux Monde o Favori de Khorne o Chaos","Old World Classic or Favoured of Khorne or Chaos")))))</f>
        <v>Clásica del Viejo Mundo o Elegido de Khorne o Caos</v>
      </c>
      <c r="BT23" s="3" t="s">
        <v>1182</v>
      </c>
      <c r="BU23" s="3"/>
      <c r="BX23" s="3"/>
      <c r="BY23" s="2" t="s">
        <v>118</v>
      </c>
      <c r="BZ23" s="2" t="s">
        <v>120</v>
      </c>
      <c r="CA23" s="46" t="s">
        <v>121</v>
      </c>
      <c r="CB23" s="1" t="s">
        <v>122</v>
      </c>
      <c r="CC23" s="2"/>
      <c r="CD23" s="1"/>
      <c r="CE23" s="2" t="s">
        <v>118</v>
      </c>
      <c r="CF23" s="23" t="s">
        <v>84</v>
      </c>
      <c r="CG23" s="46" t="s">
        <v>125</v>
      </c>
      <c r="CH23" s="1" t="s">
        <v>115</v>
      </c>
      <c r="CI23" s="2"/>
      <c r="CJ23" s="2"/>
      <c r="CK23" s="2"/>
      <c r="CL23" s="2"/>
      <c r="CM23" s="2"/>
      <c r="CN23" s="2"/>
      <c r="CO23" s="2"/>
      <c r="CP23" s="2"/>
      <c r="CQ23" s="2"/>
      <c r="CR23" s="2"/>
      <c r="CS23" s="2"/>
      <c r="CT23" s="2"/>
      <c r="CU23" s="2"/>
      <c r="CV23" s="2"/>
      <c r="CW23" s="2"/>
      <c r="CX23" s="2"/>
      <c r="CY23" s="2"/>
      <c r="CZ23" s="2"/>
    </row>
    <row r="24" spans="1:104" ht="18.75" customHeight="1" x14ac:dyDescent="0.2">
      <c r="A24" s="166"/>
      <c r="B24" s="167"/>
      <c r="C24" s="172" t="str">
        <f>IF(J24="Italiano","LINGUA",(IF(J24="Español","IDIOMA",(IF(J24="Deutsch","SPRACHE",(IF(J24="Français","LANGUE","LANGUAGE")))))))</f>
        <v>IDIOMA</v>
      </c>
      <c r="D24" s="173"/>
      <c r="E24" s="173"/>
      <c r="F24" s="173"/>
      <c r="G24" s="173"/>
      <c r="H24" s="173"/>
      <c r="I24" s="174"/>
      <c r="J24" s="191" t="s">
        <v>215</v>
      </c>
      <c r="K24" s="192"/>
      <c r="L24" s="192"/>
      <c r="M24" s="192"/>
      <c r="N24" s="192"/>
      <c r="O24" s="192"/>
      <c r="P24" s="192"/>
      <c r="Q24" s="193"/>
      <c r="R24" s="178" t="str">
        <f>IF(J24="Italiano","ASSISTENTI ALLENATORI",(IF(J24="Español","AYUDANTES ENTRENADOR",(IF(J24="Deutsch","TRAINERASSISTENTEN",(IF(J24="Français","COACHS ASSIST","ASSISTANT COACHES")))))))</f>
        <v>AYUDANTES ENTRENADOR</v>
      </c>
      <c r="S24" s="179"/>
      <c r="T24" s="179"/>
      <c r="U24" s="179"/>
      <c r="V24" s="180"/>
      <c r="W24" s="30">
        <v>0</v>
      </c>
      <c r="X24" s="52" t="s">
        <v>102</v>
      </c>
      <c r="Y24" s="157">
        <v>10000</v>
      </c>
      <c r="Z24" s="157"/>
      <c r="AA24" s="53" t="str">
        <f t="shared" si="46"/>
        <v>mo</v>
      </c>
      <c r="AB24" s="170">
        <f t="shared" si="48"/>
        <v>0</v>
      </c>
      <c r="AC24" s="171"/>
      <c r="AD24" s="181" t="s">
        <v>117</v>
      </c>
      <c r="AE24" s="182"/>
      <c r="AF24" s="182"/>
      <c r="AG24" s="182"/>
      <c r="AH24" s="183"/>
      <c r="AI24" s="30">
        <v>0</v>
      </c>
      <c r="AJ24" s="52" t="s">
        <v>102</v>
      </c>
      <c r="AK24" s="157">
        <f>IFERROR(VLOOKUP(AD24,BD64:BE88,2,FALSE),0)</f>
        <v>0</v>
      </c>
      <c r="AL24" s="157"/>
      <c r="AM24" s="53" t="str">
        <f t="shared" si="47"/>
        <v>mo</v>
      </c>
      <c r="AN24" s="170">
        <f t="shared" si="49"/>
        <v>0</v>
      </c>
      <c r="AO24" s="171"/>
      <c r="AP24" s="213"/>
      <c r="AQ24" s="54"/>
      <c r="AR24" s="2"/>
      <c r="AS24" s="1"/>
      <c r="AT24" s="1"/>
      <c r="AU24" s="1"/>
      <c r="AV24" s="1"/>
      <c r="AW24" s="1"/>
      <c r="AX24" s="2"/>
      <c r="AY24" s="2"/>
      <c r="AZ24" s="2"/>
      <c r="BA24" s="2"/>
      <c r="BB24" s="2"/>
      <c r="BC24" s="2"/>
      <c r="BD24" s="2"/>
      <c r="BE24" s="2"/>
      <c r="BK24" s="2"/>
      <c r="BL24" s="2" t="s">
        <v>105</v>
      </c>
      <c r="BM24" s="21" t="str">
        <f t="shared" si="16"/>
        <v xml:space="preserve">Nurgle </v>
      </c>
      <c r="BN24" s="2" t="s">
        <v>105</v>
      </c>
      <c r="BO24" s="2"/>
      <c r="BP24" s="2">
        <v>70000</v>
      </c>
      <c r="BQ24" s="2">
        <v>0</v>
      </c>
      <c r="BR24" s="2">
        <v>1</v>
      </c>
      <c r="BS24" s="42" t="str">
        <f>IF($J$24="Español","Elegido de Nurgle",(IF($J$24="Deutsch","Auserwählte des Nurgle",(IF($J$24="Français","Favori de Nurgle","Favoured of Nurgle")))))</f>
        <v>Elegido de Nurgle</v>
      </c>
      <c r="BT24" s="3" t="s">
        <v>31</v>
      </c>
      <c r="BU24" s="3"/>
      <c r="BV24" s="3"/>
      <c r="BW24" s="3"/>
      <c r="BX24" s="3"/>
      <c r="BY24" s="2" t="s">
        <v>123</v>
      </c>
      <c r="BZ24" s="2" t="s">
        <v>124</v>
      </c>
      <c r="CA24" s="46" t="s">
        <v>125</v>
      </c>
      <c r="CB24" s="1" t="s">
        <v>126</v>
      </c>
      <c r="CC24" s="2"/>
      <c r="CD24" s="1"/>
      <c r="CE24" s="2" t="s">
        <v>123</v>
      </c>
      <c r="CF24" s="2" t="s">
        <v>106</v>
      </c>
      <c r="CG24" s="46" t="s">
        <v>131</v>
      </c>
      <c r="CH24" s="1" t="s">
        <v>126</v>
      </c>
      <c r="CI24" s="2"/>
      <c r="CJ24" s="2"/>
      <c r="CK24" s="2"/>
      <c r="CL24" s="2"/>
      <c r="CM24" s="2"/>
      <c r="CN24" s="2"/>
      <c r="CO24" s="2"/>
      <c r="CP24" s="2"/>
      <c r="CQ24" s="2"/>
      <c r="CR24" s="2"/>
      <c r="CS24" s="2"/>
      <c r="CT24" s="2"/>
      <c r="CU24" s="2"/>
      <c r="CV24" s="2"/>
      <c r="CW24" s="2"/>
      <c r="CX24" s="2"/>
      <c r="CY24" s="2"/>
      <c r="CZ24" s="2"/>
    </row>
    <row r="25" spans="1:104" ht="18.75" customHeight="1" x14ac:dyDescent="0.2">
      <c r="A25" s="166"/>
      <c r="B25" s="167"/>
      <c r="C25" s="172" t="str">
        <f>IF(J24="Italiano","COSTI INCENTIVI &amp; EXTRA",(IF(J24="Español","COSTE INCENTIVOS Y EXTRAS",(IF(J24="Deutsch","GESAMTER TEAMWERT &amp; EXTRAS",(IF(J24="Français","COUPS DE POUCES &amp; STAFF","COST INDUCEMENTS &amp; EXTRAS")))))))</f>
        <v>COSTE INCENTIVOS Y EXTRAS</v>
      </c>
      <c r="D25" s="173"/>
      <c r="E25" s="173"/>
      <c r="F25" s="173"/>
      <c r="G25" s="173"/>
      <c r="H25" s="173"/>
      <c r="I25" s="174"/>
      <c r="J25" s="175">
        <f>(SUM(AB21:AC29,AN18:AO28))/1000</f>
        <v>0</v>
      </c>
      <c r="K25" s="176"/>
      <c r="L25" s="176"/>
      <c r="M25" s="176"/>
      <c r="N25" s="177" t="str">
        <f>IF(J24="Español","k mo",(IF(J24="Deutsch","k gm",(IF(J24="Français","k po","k gp")))))</f>
        <v>k mo</v>
      </c>
      <c r="O25" s="173"/>
      <c r="P25" s="173"/>
      <c r="Q25" s="174"/>
      <c r="R25" s="178" t="str">
        <f>IF(J24="Italiano","FUSTI DI BLOODWEISER",(IF(J24="Español","BARRILES BLOODWEISER",(IF(J24="Français","FÛTS DE BLOODWEISER","BLOODWEISER KEGS")))))</f>
        <v>BARRILES BLOODWEISER</v>
      </c>
      <c r="S25" s="179"/>
      <c r="T25" s="179"/>
      <c r="U25" s="179"/>
      <c r="V25" s="180"/>
      <c r="W25" s="30">
        <v>0</v>
      </c>
      <c r="X25" s="52" t="s">
        <v>102</v>
      </c>
      <c r="Y25" s="157">
        <v>50000</v>
      </c>
      <c r="Z25" s="157"/>
      <c r="AA25" s="53" t="str">
        <f t="shared" si="46"/>
        <v>mo</v>
      </c>
      <c r="AB25" s="170">
        <f>IFERROR((W25*Y25)-(AO35*Y25),0)</f>
        <v>0</v>
      </c>
      <c r="AC25" s="171"/>
      <c r="AD25" s="181" t="s">
        <v>117</v>
      </c>
      <c r="AE25" s="182"/>
      <c r="AF25" s="182"/>
      <c r="AG25" s="182"/>
      <c r="AH25" s="183"/>
      <c r="AI25" s="30">
        <v>0</v>
      </c>
      <c r="AJ25" s="52" t="s">
        <v>102</v>
      </c>
      <c r="AK25" s="157">
        <f>IFERROR(VLOOKUP(AD25,BD64:BE88,2,FALSE),0)</f>
        <v>0</v>
      </c>
      <c r="AL25" s="157"/>
      <c r="AM25" s="53" t="str">
        <f t="shared" si="47"/>
        <v>mo</v>
      </c>
      <c r="AN25" s="170">
        <f t="shared" si="49"/>
        <v>0</v>
      </c>
      <c r="AO25" s="171"/>
      <c r="AP25" s="213"/>
      <c r="AQ25" s="54"/>
      <c r="AR25" s="1"/>
      <c r="AS25" s="2"/>
      <c r="AT25" s="1"/>
      <c r="AU25" s="1"/>
      <c r="AV25" s="1"/>
      <c r="AW25" s="1"/>
      <c r="AX25" s="2"/>
      <c r="AY25" s="2"/>
      <c r="AZ25" s="2"/>
      <c r="BA25" s="2"/>
      <c r="BB25" s="2"/>
      <c r="BC25" s="2"/>
      <c r="BD25" s="2"/>
      <c r="BK25" s="2"/>
      <c r="BL25" s="2" t="s">
        <v>110</v>
      </c>
      <c r="BM25" s="21" t="str">
        <f t="shared" si="16"/>
        <v>Ogros</v>
      </c>
      <c r="BN25" s="2" t="s">
        <v>110</v>
      </c>
      <c r="BO25" s="2"/>
      <c r="BP25" s="2">
        <v>70000</v>
      </c>
      <c r="BQ25" s="2">
        <v>50000</v>
      </c>
      <c r="BR25" s="2">
        <v>6</v>
      </c>
      <c r="BS25" s="42"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Reyerta en las Yermas, Clásica del Viejo Mundo y Líneas Prescindibles</v>
      </c>
      <c r="BT25" s="3" t="s">
        <v>111</v>
      </c>
      <c r="BU25" s="3"/>
      <c r="BV25" s="3" t="s">
        <v>112</v>
      </c>
      <c r="BW25" s="3"/>
      <c r="BX25" s="3"/>
      <c r="BY25" s="2" t="s">
        <v>128</v>
      </c>
      <c r="BZ25" s="2" t="s">
        <v>130</v>
      </c>
      <c r="CA25" s="46" t="s">
        <v>131</v>
      </c>
      <c r="CB25" s="1" t="s">
        <v>132</v>
      </c>
      <c r="CC25" s="2"/>
      <c r="CD25" s="55"/>
      <c r="CE25" s="2" t="s">
        <v>128</v>
      </c>
      <c r="CF25" s="2" t="s">
        <v>113</v>
      </c>
      <c r="CG25" s="46" t="s">
        <v>141</v>
      </c>
      <c r="CH25" s="25" t="s">
        <v>28</v>
      </c>
      <c r="CI25" s="2"/>
      <c r="CJ25" s="2"/>
      <c r="CK25" s="2"/>
      <c r="CL25" s="2"/>
      <c r="CM25" s="2"/>
      <c r="CN25" s="2"/>
      <c r="CO25" s="2"/>
      <c r="CP25" s="2"/>
      <c r="CQ25" s="2"/>
      <c r="CR25" s="2"/>
      <c r="CS25" s="2"/>
      <c r="CT25" s="2"/>
      <c r="CU25" s="2"/>
      <c r="CV25" s="2"/>
      <c r="CW25" s="2"/>
      <c r="CX25" s="2"/>
      <c r="CY25" s="2"/>
      <c r="CZ25" s="2"/>
    </row>
    <row r="26" spans="1:104" ht="18.75" customHeight="1" x14ac:dyDescent="0.2">
      <c r="A26" s="166"/>
      <c r="B26" s="167"/>
      <c r="C26" s="187" t="str">
        <f>IF(J24="Italiano","COSTO GIOCATORI",(IF(J24="Español","PRECIO JUGADORES",(IF(J24="Deutsch","WERT SPIELER",(IF(J24="Français","VALEUR DES JOUEURS","COST PLAYERS")))))))</f>
        <v>PRECIO JUGADORES</v>
      </c>
      <c r="D26" s="173"/>
      <c r="E26" s="173"/>
      <c r="F26" s="173"/>
      <c r="G26" s="173"/>
      <c r="H26" s="173"/>
      <c r="I26" s="174"/>
      <c r="J26" s="175">
        <f>(SUM(AM2:AO17))/1000</f>
        <v>0</v>
      </c>
      <c r="K26" s="176"/>
      <c r="L26" s="176"/>
      <c r="M26" s="176"/>
      <c r="N26" s="177" t="str">
        <f>IF(J24="Español","k mo",(IF(J24="Deutsch","k gm",(IF(J24="Français","k po","k gp")))))</f>
        <v>k mo</v>
      </c>
      <c r="O26" s="173"/>
      <c r="P26" s="173"/>
      <c r="Q26" s="174"/>
      <c r="R26" s="178" t="str">
        <f>IF(J24="Italiano","MAZZETTE",(IF(J24="Español","SOBORNOS",(IF(J24="Deutsch","BESTECHUNGEN",(IF(J24="Français","POTS-DE-VIN","BRIBES")))))))</f>
        <v>SOBORNOS</v>
      </c>
      <c r="S26" s="179"/>
      <c r="T26" s="179"/>
      <c r="U26" s="179"/>
      <c r="V26" s="180"/>
      <c r="W26" s="30">
        <v>0</v>
      </c>
      <c r="X26" s="52" t="s">
        <v>102</v>
      </c>
      <c r="Y26" s="157">
        <f>IFERROR(IF(BV2="Bribery and Corruption",50000,100000),100000)</f>
        <v>100000</v>
      </c>
      <c r="Z26" s="157"/>
      <c r="AA26" s="53" t="str">
        <f t="shared" si="46"/>
        <v>mo</v>
      </c>
      <c r="AB26" s="170">
        <f>IFERROR((W26-Z35)*Y26,0)</f>
        <v>0</v>
      </c>
      <c r="AC26" s="171"/>
      <c r="AD26" s="181" t="s">
        <v>127</v>
      </c>
      <c r="AE26" s="182"/>
      <c r="AF26" s="182"/>
      <c r="AG26" s="182"/>
      <c r="AH26" s="183"/>
      <c r="AI26" s="30">
        <v>0</v>
      </c>
      <c r="AJ26" s="52" t="s">
        <v>102</v>
      </c>
      <c r="AK26" s="157">
        <f>IFERROR(VLOOKUP(AD26,BL64:BM80,2,FALSE),0)</f>
        <v>0</v>
      </c>
      <c r="AL26" s="157"/>
      <c r="AM26" s="53" t="str">
        <f t="shared" si="47"/>
        <v>mo</v>
      </c>
      <c r="AN26" s="170">
        <f t="shared" si="49"/>
        <v>0</v>
      </c>
      <c r="AO26" s="171"/>
      <c r="AP26" s="213"/>
      <c r="AQ26" s="54"/>
      <c r="AR26" s="1"/>
      <c r="AS26" s="2"/>
      <c r="AT26" s="2"/>
      <c r="AU26" s="2"/>
      <c r="AV26" s="2"/>
      <c r="AW26" s="2"/>
      <c r="AX26" s="2"/>
      <c r="AY26" s="2"/>
      <c r="AZ26" s="2"/>
      <c r="BA26" s="2"/>
      <c r="BB26" s="2"/>
      <c r="BC26" s="2"/>
      <c r="BD26" s="2"/>
      <c r="BE26" s="2"/>
      <c r="BF26" s="2"/>
      <c r="BG26" s="2"/>
      <c r="BK26" s="2"/>
      <c r="BL26" s="2" t="s">
        <v>118</v>
      </c>
      <c r="BM26" s="21" t="str">
        <f t="shared" si="16"/>
        <v>Orcos</v>
      </c>
      <c r="BN26" s="2" t="s">
        <v>119</v>
      </c>
      <c r="BO26" s="2"/>
      <c r="BP26" s="2">
        <v>70000</v>
      </c>
      <c r="BQ26" s="2">
        <v>50000</v>
      </c>
      <c r="BR26" s="2">
        <v>1</v>
      </c>
      <c r="BS26" s="42" t="str">
        <f>IF($J$24="Español","Clásica del Viejo Mundo",(IF($J$24="Deutsch","Alte-Welt-Klassiker",(IF($J$24="Français","Classique du Vieux Monde","Old World Classic")))))</f>
        <v>Clásica del Viejo Mundo</v>
      </c>
      <c r="BT26" s="3" t="s">
        <v>78</v>
      </c>
      <c r="BU26" s="3"/>
      <c r="BV26" s="3"/>
      <c r="BW26" s="3"/>
      <c r="BX26" s="3"/>
      <c r="BY26" s="2" t="s">
        <v>134</v>
      </c>
      <c r="BZ26" s="2" t="s">
        <v>135</v>
      </c>
      <c r="CA26" s="46" t="s">
        <v>136</v>
      </c>
      <c r="CB26" s="1" t="s">
        <v>137</v>
      </c>
      <c r="CC26" s="2"/>
      <c r="CD26" s="1"/>
      <c r="CE26" s="2" t="s">
        <v>138</v>
      </c>
      <c r="CF26" s="2" t="s">
        <v>124</v>
      </c>
      <c r="CG26" s="46" t="s">
        <v>136</v>
      </c>
      <c r="CH26" s="1" t="s">
        <v>45</v>
      </c>
      <c r="CI26" s="2"/>
      <c r="CJ26" s="2"/>
      <c r="CK26" s="2"/>
      <c r="CL26" s="2"/>
      <c r="CM26" s="2"/>
      <c r="CN26" s="2"/>
      <c r="CO26" s="2"/>
      <c r="CP26" s="2"/>
      <c r="CQ26" s="2"/>
      <c r="CR26" s="2"/>
      <c r="CS26" s="2"/>
      <c r="CT26" s="2"/>
      <c r="CU26" s="2"/>
      <c r="CV26" s="2"/>
      <c r="CW26" s="2"/>
      <c r="CX26" s="2"/>
      <c r="CY26" s="2"/>
      <c r="CZ26" s="2"/>
    </row>
    <row r="27" spans="1:104" ht="18.75" customHeight="1" x14ac:dyDescent="0.2">
      <c r="A27" s="166"/>
      <c r="B27" s="167"/>
      <c r="C27" s="172" t="str">
        <f>IF(J24="Italiano","COSTO SQUADRA",(IF(J24="Español","PRECIO EQUIPO",(IF(J24="Deutsch","GESAMTER TEAMWERT",(IF(J24="Français","VALEUR D’ÉQUIPE","TEAM COST")))))))</f>
        <v>PRECIO EQUIPO</v>
      </c>
      <c r="D27" s="173"/>
      <c r="E27" s="173"/>
      <c r="F27" s="173"/>
      <c r="G27" s="173"/>
      <c r="H27" s="173"/>
      <c r="I27" s="174"/>
      <c r="J27" s="175">
        <f>J25+J26</f>
        <v>0</v>
      </c>
      <c r="K27" s="176"/>
      <c r="L27" s="176"/>
      <c r="M27" s="176"/>
      <c r="N27" s="177" t="str">
        <f>IF(J24="Español","k mo",(IF(J24="Deutsch","k gm",(IF(J24="Français","k po","k gp")))))</f>
        <v>k mo</v>
      </c>
      <c r="O27" s="173"/>
      <c r="P27" s="173"/>
      <c r="Q27" s="174"/>
      <c r="R27" s="178" t="str">
        <f>IF(J24="Italiano","CAPOCUOCO",(IF(J24="Español","MASTER CHEF",(IF(J24="Deutsch","HALBLING-MEISTERKOCH",(IF(J24="Français","CHEF CUISTOT","MASTER CHEF")))))))</f>
        <v>MASTER CHEF</v>
      </c>
      <c r="S27" s="179"/>
      <c r="T27" s="179"/>
      <c r="U27" s="179"/>
      <c r="V27" s="180"/>
      <c r="W27" s="30">
        <v>0</v>
      </c>
      <c r="X27" s="52" t="s">
        <v>102</v>
      </c>
      <c r="Y27" s="157">
        <f>IFERROR(IF(OR(BO1="Halfling",BO1="Halflings",BO1="Halflinge"),100000,300000),300000)</f>
        <v>300000</v>
      </c>
      <c r="Z27" s="157"/>
      <c r="AA27" s="53" t="str">
        <f t="shared" si="46"/>
        <v>mo</v>
      </c>
      <c r="AB27" s="170">
        <f>IFERROR(IF(U35="NO",W27*Y27,0),0)</f>
        <v>0</v>
      </c>
      <c r="AC27" s="171"/>
      <c r="AD27" s="181" t="s">
        <v>133</v>
      </c>
      <c r="AE27" s="182"/>
      <c r="AF27" s="182"/>
      <c r="AG27" s="182"/>
      <c r="AH27" s="183"/>
      <c r="AI27" s="30">
        <v>0</v>
      </c>
      <c r="AJ27" s="52" t="s">
        <v>102</v>
      </c>
      <c r="AK27" s="157">
        <f>IFERROR(VLOOKUP(AD27,BO65:BP80,2,FALSE),0)</f>
        <v>0</v>
      </c>
      <c r="AL27" s="157"/>
      <c r="AM27" s="53" t="str">
        <f t="shared" si="47"/>
        <v>mo</v>
      </c>
      <c r="AN27" s="170">
        <f t="shared" si="49"/>
        <v>0</v>
      </c>
      <c r="AO27" s="171"/>
      <c r="AP27" s="213"/>
      <c r="AQ27" s="54"/>
      <c r="AR27" s="1"/>
      <c r="AS27" s="2"/>
      <c r="AT27" s="1"/>
      <c r="AU27" s="1"/>
      <c r="AV27" s="1"/>
      <c r="AW27" s="1"/>
      <c r="AX27" s="2"/>
      <c r="AY27" s="2"/>
      <c r="BA27" s="2"/>
      <c r="BB27" s="2"/>
      <c r="BC27" s="2"/>
      <c r="BD27" s="2"/>
      <c r="BK27" s="2"/>
      <c r="BL27" s="2" t="s">
        <v>123</v>
      </c>
      <c r="BM27" s="21" t="str">
        <f t="shared" si="16"/>
        <v>Orcos Negros</v>
      </c>
      <c r="BN27" s="2" t="s">
        <v>123</v>
      </c>
      <c r="BO27" s="2"/>
      <c r="BP27" s="2">
        <v>60000</v>
      </c>
      <c r="BQ27" s="2">
        <v>50000</v>
      </c>
      <c r="BR27" s="2">
        <v>1</v>
      </c>
      <c r="BS27" s="42" t="str">
        <f>IF($J$24="Español","Reyerta en las Yermas",(IF($J$24="Deutsch","Düsterland-Rauferei",(IF($J$24="Français","Bagarre des Terres Arides","Badlands Brawl")))))</f>
        <v>Reyerta en las Yermas</v>
      </c>
      <c r="BT27" s="3" t="s">
        <v>24</v>
      </c>
      <c r="BU27" s="3"/>
      <c r="BV27" s="3"/>
      <c r="BW27" s="3"/>
      <c r="BX27" s="3"/>
      <c r="BY27" s="2" t="s">
        <v>138</v>
      </c>
      <c r="BZ27" s="2" t="s">
        <v>140</v>
      </c>
      <c r="CA27" s="46" t="s">
        <v>141</v>
      </c>
      <c r="CB27" s="1" t="s">
        <v>142</v>
      </c>
      <c r="CC27" s="2"/>
      <c r="CD27" s="1"/>
      <c r="CE27" s="2" t="s">
        <v>134</v>
      </c>
      <c r="CF27" s="23" t="s">
        <v>26</v>
      </c>
      <c r="CG27" s="46" t="s">
        <v>146</v>
      </c>
      <c r="CH27" s="1" t="s">
        <v>153</v>
      </c>
      <c r="CI27" s="2"/>
      <c r="CJ27" s="2"/>
      <c r="CK27" s="2"/>
      <c r="CL27" s="2"/>
      <c r="CM27" s="2"/>
      <c r="CN27" s="2"/>
      <c r="CO27" s="2"/>
      <c r="CP27" s="2"/>
      <c r="CQ27" s="2"/>
      <c r="CR27" s="2"/>
      <c r="CS27" s="2"/>
      <c r="CT27" s="2"/>
      <c r="CU27" s="2"/>
      <c r="CV27" s="2"/>
      <c r="CW27" s="2"/>
      <c r="CX27" s="2"/>
      <c r="CY27" s="2"/>
      <c r="CZ27" s="2"/>
    </row>
    <row r="28" spans="1:104" ht="18.75" customHeight="1" x14ac:dyDescent="0.2">
      <c r="A28" s="166"/>
      <c r="B28" s="167"/>
      <c r="C28" s="172" t="str">
        <f>IF(J24="Italiano","COSTO AVANZAMENTI",(IF(J24="Español","PRECIO SUBIDAS",(IF(J24="Deutsch","WERT DER VERBESSERUNG",(IF(J24="Français","VALEUR AMÉLIORATION","COST UPGRADES")))))))</f>
        <v>PRECIO SUBIDAS</v>
      </c>
      <c r="D28" s="173"/>
      <c r="E28" s="173"/>
      <c r="F28" s="173"/>
      <c r="G28" s="173"/>
      <c r="H28" s="173"/>
      <c r="I28" s="174"/>
      <c r="J28" s="175">
        <f>(SUM(BI46:BI61))/1000</f>
        <v>0</v>
      </c>
      <c r="K28" s="176"/>
      <c r="L28" s="176"/>
      <c r="M28" s="176"/>
      <c r="N28" s="177" t="str">
        <f>IF(J24="Español","k mo",(IF(J24="Deutsch","k gm",(IF(J24="Français","k po","k gp")))))</f>
        <v>k mo</v>
      </c>
      <c r="O28" s="173"/>
      <c r="P28" s="173"/>
      <c r="Q28" s="174"/>
      <c r="R28" s="156" t="str">
        <f>IF(J24="Italiano","ESORDIENTI RIBELLI",(IF(J24="Español","NOVATOS ALBOROTADORES",(IF(J24="Deutsch","RANDALIERENDE NEULINGE",(IF(J24="Français","DÉBUTANTS DÉCHAINÉS","RIOTOUS ROOKIES")))))))</f>
        <v>NOVATOS ALBOROTADORES</v>
      </c>
      <c r="S28" s="157"/>
      <c r="T28" s="157"/>
      <c r="U28" s="157"/>
      <c r="V28" s="158"/>
      <c r="W28" s="31">
        <v>0</v>
      </c>
      <c r="X28" s="52" t="s">
        <v>102</v>
      </c>
      <c r="Y28" s="157">
        <f>IFERROR(IF(BW2="LowCost",100000,0),0)</f>
        <v>0</v>
      </c>
      <c r="Z28" s="157"/>
      <c r="AA28" s="56" t="str">
        <f t="shared" si="46"/>
        <v>mo</v>
      </c>
      <c r="AB28" s="170">
        <f>IFERROR(IF(AE35="NO",W28*Y28,0),0)</f>
        <v>0</v>
      </c>
      <c r="AC28" s="171"/>
      <c r="AD28" s="178" t="str">
        <f>IF(J24="Italiano","MEDICI VAGABONDI",(IF(J24="Español","MÉDICO ERRANTE",(IF(J24="Deutsch","WANDERNDER SANITÄTER",(IF(J24="Français","APO ITINÉRANT","WANDERING APO")))))))</f>
        <v>MÉDICO ERRANTE</v>
      </c>
      <c r="AE28" s="179"/>
      <c r="AF28" s="179"/>
      <c r="AG28" s="179"/>
      <c r="AH28" s="180"/>
      <c r="AI28" s="30">
        <v>0</v>
      </c>
      <c r="AJ28" s="52" t="s">
        <v>102</v>
      </c>
      <c r="AK28" s="157">
        <f>IFERROR(IF(AK21=0,0,100000),0)</f>
        <v>100000</v>
      </c>
      <c r="AL28" s="157"/>
      <c r="AM28" s="53" t="str">
        <f t="shared" si="47"/>
        <v>mo</v>
      </c>
      <c r="AN28" s="170">
        <f t="shared" si="49"/>
        <v>0</v>
      </c>
      <c r="AO28" s="171"/>
      <c r="AP28" s="213"/>
      <c r="AQ28" s="54"/>
      <c r="AR28" s="1"/>
      <c r="AS28" s="2"/>
      <c r="AT28" s="1"/>
      <c r="AU28" s="1"/>
      <c r="AV28" s="1"/>
      <c r="AW28" s="1"/>
      <c r="AX28" s="2"/>
      <c r="AY28" s="2"/>
      <c r="BA28" s="2"/>
      <c r="BB28" s="2"/>
      <c r="BC28" s="2"/>
      <c r="BD28" s="2"/>
      <c r="BK28" s="2"/>
      <c r="BL28" s="2" t="s">
        <v>128</v>
      </c>
      <c r="BM28" s="21" t="str">
        <f t="shared" si="16"/>
        <v>Pacto del Caos</v>
      </c>
      <c r="BN28" s="2" t="s">
        <v>129</v>
      </c>
      <c r="BO28" s="2"/>
      <c r="BP28" s="2">
        <v>70000</v>
      </c>
      <c r="BQ28" s="2">
        <v>0</v>
      </c>
      <c r="BR28" s="2">
        <v>0</v>
      </c>
      <c r="BS28" s="42" t="str">
        <f>IF($J$24="Español","Señores de los No Muertos, Selectiva de Sylvania",(IF($J$24="Deutsch","Masters of Undeath, Sylvanisches Rampenlicht",(IF($J$24="Français","Masters of Undeath, Spot de Sylvanie","Masters of Undeath, Sylvanian Spotlight")))))</f>
        <v>Señores de los No Muertos, Selectiva de Sylvania</v>
      </c>
      <c r="BT28" s="3" t="s">
        <v>97</v>
      </c>
      <c r="BU28" s="3" t="s">
        <v>98</v>
      </c>
      <c r="BV28" s="3"/>
      <c r="BW28" s="3"/>
      <c r="BX28" s="3"/>
      <c r="BY28" s="2" t="s">
        <v>144</v>
      </c>
      <c r="BZ28" s="2" t="s">
        <v>145</v>
      </c>
      <c r="CA28" s="46" t="s">
        <v>146</v>
      </c>
      <c r="CB28" s="1" t="s">
        <v>147</v>
      </c>
      <c r="CC28" s="2"/>
      <c r="CD28" s="1"/>
      <c r="CE28" s="2" t="s">
        <v>144</v>
      </c>
      <c r="CF28" s="23" t="s">
        <v>43</v>
      </c>
      <c r="CG28" s="46" t="s">
        <v>152</v>
      </c>
      <c r="CH28" s="1" t="s">
        <v>142</v>
      </c>
      <c r="CI28" s="2"/>
      <c r="CJ28" s="2"/>
      <c r="CK28" s="2"/>
      <c r="CL28" s="2"/>
      <c r="CM28" s="2"/>
      <c r="CN28" s="2"/>
      <c r="CO28" s="2"/>
      <c r="CP28" s="2"/>
      <c r="CQ28" s="2"/>
      <c r="CR28" s="2"/>
      <c r="CS28" s="2"/>
      <c r="CT28" s="2"/>
      <c r="CU28" s="2"/>
      <c r="CV28" s="2"/>
      <c r="CW28" s="2"/>
      <c r="CX28" s="2"/>
      <c r="CY28" s="2"/>
      <c r="CZ28" s="2"/>
    </row>
    <row r="29" spans="1:104" ht="18.75" customHeight="1" x14ac:dyDescent="0.2">
      <c r="A29" s="166"/>
      <c r="B29" s="167"/>
      <c r="C29" s="184" t="str">
        <f>IF(J24="Italiano","TESORERIA",(IF(J24="Español","TESORERÍA",(IF(J24="Deutsch","TEAMKASSE",(IF(J24="Français","TRÉSORERIE","TREASURY")))))))</f>
        <v>TESORERÍA</v>
      </c>
      <c r="D29" s="185"/>
      <c r="E29" s="185"/>
      <c r="F29" s="185"/>
      <c r="G29" s="185"/>
      <c r="H29" s="185"/>
      <c r="I29" s="186"/>
      <c r="J29" s="175">
        <f>(C35/1000)-J27</f>
        <v>1200</v>
      </c>
      <c r="K29" s="176"/>
      <c r="L29" s="176"/>
      <c r="M29" s="176"/>
      <c r="N29" s="177" t="str">
        <f>IF(J24="Español","k mo",(IF(J24="Deutsch","k gm",(IF(J24="Français","k po","k gp")))))</f>
        <v>k mo</v>
      </c>
      <c r="O29" s="173"/>
      <c r="P29" s="173"/>
      <c r="Q29" s="174"/>
      <c r="R29" s="178"/>
      <c r="S29" s="179"/>
      <c r="T29" s="179"/>
      <c r="U29" s="179"/>
      <c r="V29" s="179"/>
      <c r="W29" s="179"/>
      <c r="X29" s="179"/>
      <c r="Y29" s="179"/>
      <c r="Z29" s="179"/>
      <c r="AA29" s="179"/>
      <c r="AB29" s="179"/>
      <c r="AC29" s="180"/>
      <c r="AD29" s="178"/>
      <c r="AE29" s="179"/>
      <c r="AF29" s="179"/>
      <c r="AG29" s="179"/>
      <c r="AH29" s="179"/>
      <c r="AI29" s="179"/>
      <c r="AJ29" s="179"/>
      <c r="AK29" s="179"/>
      <c r="AL29" s="179"/>
      <c r="AM29" s="179"/>
      <c r="AN29" s="179"/>
      <c r="AO29" s="180"/>
      <c r="AP29" s="213"/>
      <c r="AQ29" s="54"/>
      <c r="AR29" s="2"/>
      <c r="AS29" s="1"/>
      <c r="AT29" s="2"/>
      <c r="AU29" s="1"/>
      <c r="AV29" s="1"/>
      <c r="AW29" s="1"/>
      <c r="AX29" s="2"/>
      <c r="AY29" s="2"/>
      <c r="BA29" s="2"/>
      <c r="BB29" s="2"/>
      <c r="BC29" s="2"/>
      <c r="BD29" s="2"/>
      <c r="BK29" s="2"/>
      <c r="BL29" s="2" t="s">
        <v>134</v>
      </c>
      <c r="BM29" s="21" t="str">
        <f t="shared" si="16"/>
        <v xml:space="preserve">Skaven </v>
      </c>
      <c r="BN29" s="2" t="s">
        <v>134</v>
      </c>
      <c r="BO29" s="2"/>
      <c r="BP29" s="2">
        <v>50000</v>
      </c>
      <c r="BQ29" s="2">
        <v>50000</v>
      </c>
      <c r="BR29" s="2">
        <v>1</v>
      </c>
      <c r="BS29" s="42" t="str">
        <f>IF($J$24="Español","Superliga Lustriana",(IF($J$24="Deutsch","Lustria-Superliga",(IF($J$24="Français","Super-Ligue de Lustrie","Lustrian Superleague")))))</f>
        <v>Superliga Lustriana</v>
      </c>
      <c r="BT29" s="3" t="s">
        <v>21</v>
      </c>
      <c r="BU29" s="3"/>
      <c r="BV29" s="3"/>
      <c r="BW29" s="3"/>
      <c r="BX29" s="3"/>
      <c r="BY29" s="2" t="s">
        <v>149</v>
      </c>
      <c r="BZ29" s="2" t="s">
        <v>151</v>
      </c>
      <c r="CA29" s="46" t="s">
        <v>152</v>
      </c>
      <c r="CB29" s="1" t="s">
        <v>153</v>
      </c>
      <c r="CC29" s="1"/>
      <c r="CD29" s="1"/>
      <c r="CE29" s="2" t="s">
        <v>149</v>
      </c>
      <c r="CF29" s="2" t="s">
        <v>140</v>
      </c>
      <c r="CG29" s="46" t="s">
        <v>157</v>
      </c>
      <c r="CH29" s="1" t="s">
        <v>137</v>
      </c>
      <c r="CI29" s="2"/>
      <c r="CJ29" s="2"/>
      <c r="CK29" s="2"/>
      <c r="CL29" s="2"/>
      <c r="CM29" s="2"/>
      <c r="CN29" s="2"/>
      <c r="CO29" s="2"/>
      <c r="CP29" s="2"/>
      <c r="CQ29" s="2"/>
      <c r="CR29" s="2"/>
      <c r="CS29" s="2"/>
      <c r="CT29" s="2"/>
      <c r="CU29" s="2"/>
      <c r="CV29" s="2"/>
      <c r="CW29" s="2"/>
      <c r="CX29" s="2"/>
      <c r="CY29" s="2"/>
      <c r="CZ29" s="2"/>
    </row>
    <row r="30" spans="1:104" ht="18.75" customHeight="1" x14ac:dyDescent="0.2">
      <c r="A30" s="168"/>
      <c r="B30" s="169"/>
      <c r="C30" s="151" t="str">
        <f>IF(J24="Italiano","VALORE SQUADRA",(IF(J24="Español","VALOR DEL EQUIPO",(IF(J24="Deutsch","TEAMWERT",(IF(J24="Français","VALEUR D’ÉQUIPE ACTUELLE","TEAM VALUE")))))))</f>
        <v>VALOR DEL EQUIPO</v>
      </c>
      <c r="D30" s="152"/>
      <c r="E30" s="152"/>
      <c r="F30" s="152"/>
      <c r="G30" s="152"/>
      <c r="H30" s="152"/>
      <c r="I30" s="153"/>
      <c r="J30" s="154">
        <f>(J25+(SUM(AQ2:AQ17)))</f>
        <v>0</v>
      </c>
      <c r="K30" s="154"/>
      <c r="L30" s="154"/>
      <c r="M30" s="154"/>
      <c r="N30" s="154"/>
      <c r="O30" s="154"/>
      <c r="P30" s="154"/>
      <c r="Q30" s="155"/>
      <c r="R30" s="156" t="str">
        <f>IF(J24="Italiano","REGOLE SPECIALI",(IF(J24="Español","REGLA ESPECIAL",(IF(J24="Deutsch","SONDERREGELN",(IF(J24="Français","RÈGLES SPÉCIALES","SPECIAL RULES")))))))</f>
        <v>REGLA ESPECIAL</v>
      </c>
      <c r="S30" s="157"/>
      <c r="T30" s="157"/>
      <c r="U30" s="157"/>
      <c r="V30" s="158"/>
      <c r="W30" s="159" t="str">
        <f>(IFERROR(VLOOKUP(BO1,BL:BU,8,0),""))&amp;(IF(OR(BU2="Favouredof",BU2="FavouredofWorldsEdgeSuperleagueBadlandsBrawl",BU2="FavouredofWorldsEdgeSuperleagueBadlandsBrawl",BU2="OldWorldClassicFavouredof"),(IF($J$24="Italiano"," -&gt; Sceglierne uno -&gt; ",(IF($J$24="Español"," -&gt; Elegir uno -&gt; ",(IF($J$24="Deutsch"," -&gt; Wähle -&gt; ",(IF($J$24="Français"," -&gt; Choisir soit -&gt; "," -&gt; Choose either -&gt;")))))))),""))</f>
        <v xml:space="preserve">Clásica del Viejo Mundo o Elegido de Khorne o Caos -&gt; Elegir uno -&gt; </v>
      </c>
      <c r="X30" s="160"/>
      <c r="Y30" s="160"/>
      <c r="Z30" s="160"/>
      <c r="AA30" s="160"/>
      <c r="AB30" s="160"/>
      <c r="AC30" s="160"/>
      <c r="AD30" s="160"/>
      <c r="AE30" s="160"/>
      <c r="AF30" s="160"/>
      <c r="AG30" s="160"/>
      <c r="AH30" s="160"/>
      <c r="AI30" s="160"/>
      <c r="AJ30" s="161"/>
      <c r="AK30" s="161"/>
      <c r="AL30" s="161"/>
      <c r="AM30" s="162"/>
      <c r="AN30" s="162"/>
      <c r="AO30" s="163"/>
      <c r="AP30" s="213"/>
      <c r="AQ30" s="54"/>
      <c r="AR30" s="2"/>
      <c r="AS30" s="2"/>
      <c r="AT30" s="2"/>
      <c r="AU30" s="2"/>
      <c r="AV30" s="2"/>
      <c r="AW30" s="2"/>
      <c r="AX30" s="2"/>
      <c r="AY30" s="2"/>
      <c r="AZ30" s="2"/>
      <c r="BA30" s="2"/>
      <c r="BB30" s="2"/>
      <c r="BC30" s="2"/>
      <c r="BD30" s="2"/>
      <c r="BK30" s="2"/>
      <c r="BL30" s="2" t="s">
        <v>138</v>
      </c>
      <c r="BM30" s="21" t="str">
        <f t="shared" si="16"/>
        <v xml:space="preserve">Slann </v>
      </c>
      <c r="BN30" s="2" t="s">
        <v>138</v>
      </c>
      <c r="BO30" s="2"/>
      <c r="BP30" s="2">
        <v>50000</v>
      </c>
      <c r="BQ30" s="2">
        <v>50000</v>
      </c>
      <c r="BR30" s="2">
        <v>1</v>
      </c>
      <c r="BS30" s="42" t="str">
        <f>IF($J$24="Español","Reto del Inframundo",(IF($J$24="Deutsch","Unterwelt-Herausforderung",(IF($J$24="Français","Défi des Bas-Fonds","Underworld Challenge")))))</f>
        <v>Reto del Inframundo</v>
      </c>
      <c r="BT30" s="3" t="s">
        <v>139</v>
      </c>
      <c r="BU30" s="3"/>
      <c r="BV30" s="3"/>
      <c r="BW30" s="3"/>
      <c r="BX30" s="3"/>
      <c r="BY30" s="2" t="s">
        <v>154</v>
      </c>
      <c r="BZ30" s="2" t="s">
        <v>156</v>
      </c>
      <c r="CA30" s="46" t="s">
        <v>157</v>
      </c>
      <c r="CB30" s="1" t="s">
        <v>158</v>
      </c>
      <c r="CC30" s="1"/>
      <c r="CD30" s="1"/>
      <c r="CE30" s="2" t="s">
        <v>154</v>
      </c>
      <c r="CF30" s="2" t="s">
        <v>135</v>
      </c>
      <c r="CG30" s="46" t="s">
        <v>1686</v>
      </c>
      <c r="CH30" s="1" t="s">
        <v>147</v>
      </c>
      <c r="CI30" s="2"/>
      <c r="CJ30" s="2"/>
      <c r="CK30" s="2"/>
      <c r="CL30" s="2"/>
      <c r="CM30" s="2"/>
      <c r="CN30" s="2"/>
      <c r="CO30" s="2"/>
      <c r="CP30" s="2"/>
      <c r="CQ30" s="2"/>
      <c r="CR30" s="2"/>
      <c r="CS30" s="2"/>
      <c r="CT30" s="2"/>
      <c r="CU30" s="2"/>
      <c r="CV30" s="2"/>
      <c r="CW30" s="2"/>
      <c r="CX30" s="2"/>
      <c r="CY30" s="2"/>
      <c r="CZ30" s="2"/>
    </row>
    <row r="31" spans="1:104" ht="45" customHeight="1" x14ac:dyDescent="0.2">
      <c r="A31" s="145" t="str">
        <f>IF(J24="Italiano","Creato da dreamscreator",(IF(J24="Español","Creado por dreamscreator",(IF(J24="Deutsch","Erstellt von dreamscreator",(IF(J24="Français","Créé par dreamscreator","Created by dreamscreator")))))))</f>
        <v>Creado por dreamscreator</v>
      </c>
      <c r="B31" s="145"/>
      <c r="C31" s="145"/>
      <c r="D31" s="146" t="str">
        <f>B65&amp;B66&amp;B67&amp;B68&amp;B69&amp;B70&amp;B71&amp;B72&amp;B73&amp;B74&amp;B75&amp;B76&amp;B77</f>
        <v xml:space="preserve">¡DEBES TENER 6 HABILIDAES (3 HABILIDADES PRIMARIAS Y 3 SECUNDARIAS PUDIENDO CAMBIAR CADA SECUNDARIA POR UNA PRIMARIA) (LOS MEGAESTRELLAS QUITAN 3 SECUNDARIAS)!   ¡NECESITAS 11 JUGADORES!   ¡DEBES PONER EL NOMBRE DEL ENTRENADOR!   ¡DEBES PONER EL NUMERO NAF (si no tienes pon 0)!   </v>
      </c>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213"/>
      <c r="AQ31" s="54"/>
      <c r="AR31" s="1"/>
      <c r="AS31" s="2"/>
      <c r="AT31" s="1"/>
      <c r="AU31" s="1"/>
      <c r="AV31" s="1"/>
      <c r="AW31" s="1"/>
      <c r="AX31" s="2"/>
      <c r="AY31" s="2"/>
      <c r="BC31" s="2"/>
      <c r="BD31" s="2"/>
      <c r="BK31" s="2"/>
      <c r="BL31" s="2" t="s">
        <v>144</v>
      </c>
      <c r="BM31" s="21" t="str">
        <f t="shared" si="16"/>
        <v xml:space="preserve">Snotling </v>
      </c>
      <c r="BN31" s="2" t="s">
        <v>144</v>
      </c>
      <c r="BO31" s="2"/>
      <c r="BP31" s="2">
        <v>60000</v>
      </c>
      <c r="BQ31" s="2">
        <v>50000</v>
      </c>
      <c r="BR31" s="2">
        <v>4</v>
      </c>
      <c r="BS31" s="42"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Reto del Inframundo, Sobornos y Corrupción y Líneas Prescindibles</v>
      </c>
      <c r="BT31" s="3" t="s">
        <v>139</v>
      </c>
      <c r="BU31" s="3" t="s">
        <v>25</v>
      </c>
      <c r="BV31" s="3" t="s">
        <v>112</v>
      </c>
      <c r="BW31" s="3"/>
      <c r="BX31" s="3"/>
      <c r="BY31" s="2" t="s">
        <v>159</v>
      </c>
      <c r="BZ31" s="2" t="s">
        <v>1685</v>
      </c>
      <c r="CA31" s="46" t="s">
        <v>1686</v>
      </c>
      <c r="CB31" s="1" t="s">
        <v>1687</v>
      </c>
      <c r="CC31" s="1"/>
      <c r="CD31" s="1"/>
      <c r="CE31" s="2" t="s">
        <v>159</v>
      </c>
      <c r="CF31" s="2" t="s">
        <v>145</v>
      </c>
      <c r="CG31" s="46" t="s">
        <v>163</v>
      </c>
      <c r="CH31" s="23" t="s">
        <v>61</v>
      </c>
      <c r="CI31" s="2"/>
      <c r="CJ31" s="2"/>
      <c r="CK31" s="2"/>
      <c r="CL31" s="2"/>
      <c r="CM31" s="2"/>
      <c r="CN31" s="2"/>
      <c r="CO31" s="2"/>
      <c r="CP31" s="2"/>
      <c r="CQ31" s="2"/>
      <c r="CR31" s="2"/>
      <c r="CS31" s="2"/>
      <c r="CT31" s="2"/>
      <c r="CU31" s="2"/>
      <c r="CV31" s="2"/>
      <c r="CW31" s="2"/>
      <c r="CX31" s="2"/>
      <c r="CY31" s="2"/>
      <c r="CZ31" s="2"/>
    </row>
    <row r="32" spans="1:104" ht="18" customHeight="1" x14ac:dyDescent="0.2">
      <c r="A32" s="147" t="str">
        <f>IF(J24="Italiano","REGOLE",(IF(J24="Español","REGLAS",(IF(J24="Deutsch","REGELN",(IF(J24="Français","RÈGLES","RULESET")))))))</f>
        <v>REGLAS</v>
      </c>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213"/>
      <c r="AQ32" s="54"/>
      <c r="AR32" s="148" t="s">
        <v>1634</v>
      </c>
      <c r="AS32" s="148"/>
      <c r="AT32" s="148"/>
      <c r="AU32" s="148"/>
      <c r="AV32" s="148"/>
      <c r="AW32" s="1"/>
      <c r="AX32" s="2"/>
      <c r="AY32" s="2"/>
      <c r="BC32" s="2"/>
      <c r="BD32" s="2"/>
      <c r="BK32" s="2"/>
      <c r="BL32" s="2" t="s">
        <v>149</v>
      </c>
      <c r="BM32" s="21" t="str">
        <f t="shared" si="16"/>
        <v>Vampiros</v>
      </c>
      <c r="BN32" s="2" t="s">
        <v>150</v>
      </c>
      <c r="BO32" s="2"/>
      <c r="BP32" s="2">
        <v>70000</v>
      </c>
      <c r="BQ32" s="2">
        <v>0</v>
      </c>
      <c r="BR32" s="2">
        <v>0</v>
      </c>
      <c r="BS32" s="42" t="str">
        <f>IF($J$24="Español","Selectiva de Sylvania",(IF($J$24="Deutsch","Sylvanisches Rampenlicht",(IF($J$24="Français","Spot de Sylvanie","Sylvanian Spotlight")))))</f>
        <v>Selectiva de Sylvania</v>
      </c>
      <c r="BT32" s="3" t="s">
        <v>97</v>
      </c>
      <c r="BU32" s="3" t="s">
        <v>98</v>
      </c>
      <c r="BV32" s="3"/>
      <c r="BW32" s="3"/>
      <c r="BX32" s="3"/>
      <c r="BY32" s="2" t="s">
        <v>160</v>
      </c>
      <c r="BZ32" s="2" t="s">
        <v>162</v>
      </c>
      <c r="CA32" s="46" t="s">
        <v>163</v>
      </c>
      <c r="CB32" s="1" t="s">
        <v>164</v>
      </c>
      <c r="CC32" s="7"/>
      <c r="CD32" s="1"/>
      <c r="CE32" s="2" t="s">
        <v>160</v>
      </c>
      <c r="CF32" s="2" t="s">
        <v>1685</v>
      </c>
      <c r="CG32" s="24" t="s">
        <v>55</v>
      </c>
      <c r="CH32" s="1" t="s">
        <v>1687</v>
      </c>
      <c r="CI32" s="2"/>
      <c r="CJ32" s="2"/>
      <c r="CK32" s="2"/>
      <c r="CL32" s="2"/>
      <c r="CM32" s="2"/>
      <c r="CN32" s="2"/>
      <c r="CO32" s="2"/>
      <c r="CP32" s="2"/>
      <c r="CQ32" s="2"/>
      <c r="CR32" s="2"/>
      <c r="CS32" s="2"/>
      <c r="CT32" s="2"/>
      <c r="CU32" s="2"/>
      <c r="CV32" s="2"/>
      <c r="CW32" s="2"/>
      <c r="CX32" s="2"/>
      <c r="CY32" s="2"/>
      <c r="CZ32" s="2"/>
    </row>
    <row r="33" spans="1:104" ht="126.75" customHeight="1" x14ac:dyDescent="0.2">
      <c r="A33" s="57"/>
      <c r="B33" s="149" t="str">
        <f>IF(J24="Italiano",AV33,(IF(J24="Español",AS33,(IF(J24="Deutsch",AT33,(IF(J24="Français",AU33,AR33)))))))</f>
        <v>1.200.000GC + 3 Habilidades Primarias + 3 Habilidades Secundarias (se pueden elegir Habilidades Primarias en lugar de Habilidades Secundarias).
Se permite apilar 2 Habilidades Primarias y/o Secundarias en un único jugador.
Star Player: 1-2. Es decir, obligatorio meter 1 Star Player en el equipo (mínimo 11 jugadores de roster antes de meter el SP), pero se pueden meter hasta 2.
Las Megastarplayers tienen una serie de reglas especiales que sólo se les aplican a ellas:
⮚ Si metes alguna de las Megastarplayers, pierdes las 3 Habilidades Secundarias.
⮚ No puedes poner la Habilidad Líder a nadie del equipo.</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213"/>
      <c r="AQ33" s="54"/>
      <c r="AR33" s="58" t="s">
        <v>1699</v>
      </c>
      <c r="AS33" s="58" t="s">
        <v>1698</v>
      </c>
      <c r="AT33" s="58" t="s">
        <v>1700</v>
      </c>
      <c r="AU33" s="58" t="s">
        <v>1701</v>
      </c>
      <c r="AV33" s="58" t="s">
        <v>1702</v>
      </c>
      <c r="BL33" s="2" t="s">
        <v>154</v>
      </c>
      <c r="BM33" s="21"/>
      <c r="BN33" s="2" t="s">
        <v>155</v>
      </c>
      <c r="BO33" s="2"/>
      <c r="BP33" s="2">
        <v>70000</v>
      </c>
      <c r="BQ33" s="2">
        <v>50000</v>
      </c>
      <c r="BR33" s="2">
        <v>1</v>
      </c>
      <c r="BS33" s="42" t="str">
        <f>IF($J$24="Español","Reto del Inframundo y Sobornos y Corrupción",(IF($J$24="Deutsch","Unterwelt-Herausforderung, Bestechung und Korruption",(IF($J$24="Français","Défi des Bas-Fonds et Chantage &amp; Corruption","Underworld Challenge and Bribery and Corruption")))))</f>
        <v>Reto del Inframundo y Sobornos y Corrupción</v>
      </c>
      <c r="BT33" s="3" t="s">
        <v>139</v>
      </c>
      <c r="BU33" s="3" t="s">
        <v>25</v>
      </c>
      <c r="BV33" s="3"/>
      <c r="BW33" s="3"/>
      <c r="CC33" s="7"/>
      <c r="CD33" s="1"/>
    </row>
    <row r="34" spans="1:104" ht="21" hidden="1" customHeight="1" x14ac:dyDescent="0.2">
      <c r="A34" s="57"/>
      <c r="B34" s="150" t="str">
        <f>IF(J24="Italiano","Regole Generali",(IF(J24="Español","Reglas generales",(IF(J24="Deutsch","Allgemeine Regeln",(IF(J24="Français","Règles générales","General rules")))))))</f>
        <v>Reglas generales</v>
      </c>
      <c r="C34" s="150"/>
      <c r="D34" s="150"/>
      <c r="E34" s="150"/>
      <c r="F34" s="150"/>
      <c r="G34" s="150"/>
      <c r="H34" s="150"/>
      <c r="I34" s="150"/>
      <c r="J34" s="150"/>
      <c r="K34" s="150"/>
      <c r="L34" s="150"/>
      <c r="M34" s="150"/>
      <c r="N34" s="150"/>
      <c r="O34" s="150"/>
      <c r="P34" s="138"/>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213"/>
      <c r="AQ34" s="54"/>
      <c r="BL34" s="2"/>
      <c r="BM34" s="21"/>
      <c r="BN34" s="2"/>
      <c r="BO34" s="2"/>
      <c r="BP34" s="2">
        <v>70000</v>
      </c>
      <c r="BQ34" s="2">
        <v>50000</v>
      </c>
      <c r="BR34" s="2">
        <v>0</v>
      </c>
      <c r="BS34" s="42" t="str">
        <f>IF($J$24="Español","Selectiva de Sylvania",(IF($J$24="Deutsch","Sylvanisches Rampenlicht",(IF($J$24="Français","Spot de Sylvanie","Sylvanian Spotlight")))))</f>
        <v>Selectiva de Sylvania</v>
      </c>
      <c r="BT34" s="3" t="s">
        <v>97</v>
      </c>
      <c r="BU34" s="3" t="s">
        <v>98</v>
      </c>
      <c r="BV34" s="3"/>
      <c r="BW34" s="3"/>
      <c r="CC34"/>
      <c r="CD34"/>
    </row>
    <row r="35" spans="1:104" ht="21" hidden="1" customHeight="1" x14ac:dyDescent="0.2">
      <c r="A35" s="57"/>
      <c r="B35" s="59" t="str">
        <f>IF(J24="Italiano","VALORE SQUADRA",(IF(J24="Español","VALOR DEL EQUIPO",(IF(J24="Deutsch","TEAMWERT",(IF(J24="Français","VALEUR D’ÉQUIPE ACTUELLE","TEAM VALUE")))))))</f>
        <v>VALOR DEL EQUIPO</v>
      </c>
      <c r="C35" s="143">
        <v>1200000</v>
      </c>
      <c r="D35" s="144"/>
      <c r="E35" s="139" t="str">
        <f>IF(J24="Español","MAX. ESTRELLAS Y MERCENARIOS",(IF(J24="Deutsch","MAX. STARSPIELER &amp; MERCENARIES",(IF(J24="Français","MERCENAIRE &amp; STARS MAX","MAX. STARS &amp; MERCENARIES")))))</f>
        <v>MAX. ESTRELLAS Y MERCENARIOS</v>
      </c>
      <c r="F35" s="140"/>
      <c r="G35" s="140"/>
      <c r="H35" s="140"/>
      <c r="I35" s="140"/>
      <c r="J35" s="141"/>
      <c r="K35" s="61">
        <v>2</v>
      </c>
      <c r="L35" s="139" t="str">
        <f>IF(J24="Español","LINEMEN PRESCINDIBLES",(IF(J24="Deutsch","BILLIGE LINEMEN",(IF(J24="Français","LINEMEN A VIL PRIX","LOW COST LINEMEN")))))</f>
        <v>LINEMEN PRESCINDIBLES</v>
      </c>
      <c r="M35" s="140"/>
      <c r="N35" s="140"/>
      <c r="O35" s="140"/>
      <c r="P35" s="62" t="s">
        <v>165</v>
      </c>
      <c r="Q35" s="140" t="str">
        <f>IF(J24="Italiano","CAPOCUOCO GRATUITO",(IF(J24="Español","MASTER CHEF GRATIS",(IF(J24="Deutsch","FREIER HALBLING-MEISTERKOCH",(IF(J24="Français","CHEF CUISTOT GRATUIT","FREE MASTER CHEF")))))))</f>
        <v>MASTER CHEF GRATIS</v>
      </c>
      <c r="R35" s="140"/>
      <c r="S35" s="140"/>
      <c r="T35" s="141"/>
      <c r="U35" s="63" t="s">
        <v>165</v>
      </c>
      <c r="V35" s="139" t="str">
        <f>IF(J24="Italiano","MAZZETTE GRATUITE",(IF(J24="Español","SOBORNOS GRATIS",(IF(J24="Deutsch","FREIE BESTECHUNGEN",(IF(J24="Français","POTS-DE-VIN GRATUIT","FREE BRIBES")))))))</f>
        <v>SOBORNOS GRATIS</v>
      </c>
      <c r="W35" s="140"/>
      <c r="X35" s="140"/>
      <c r="Y35" s="141"/>
      <c r="Z35" s="63">
        <v>0</v>
      </c>
      <c r="AA35" s="139" t="str">
        <f>IF(J24="Italiano","ESORDIENTI RIBELLI GRATUITI",(IF(J24="Español","NOVATOS ALBOROTADORES GRATIS",(IF(J24="Deutsch","FREIE RANDALIE- RENDE NEULINGE",(IF(J24="Français","DÉBUTANTS DÉCHAÎNÉS GRATUITS","FREE RIOTOUS ROOKIES")))))))</f>
        <v>NOVATOS ALBOROTADORES GRATIS</v>
      </c>
      <c r="AB35" s="140"/>
      <c r="AC35" s="140"/>
      <c r="AD35" s="141"/>
      <c r="AE35" s="63" t="s">
        <v>165</v>
      </c>
      <c r="AF35" s="139" t="str">
        <f>IF(J24="Italiano","MEDICO GRATUITO",(IF(J24="Español","MÉDICO GRATIS",(IF(J24="Deutsch","FREIER SANITÄTER",(IF(J24="Français","APOTHICAIRE GRATUIT","FREE APOTHECARY")))))))</f>
        <v>MÉDICO GRATIS</v>
      </c>
      <c r="AG35" s="140"/>
      <c r="AH35" s="140"/>
      <c r="AI35" s="141"/>
      <c r="AJ35" s="61" t="s">
        <v>165</v>
      </c>
      <c r="AK35" s="139" t="str">
        <f>IF(J24="Italiano","FUSTO BLOODWEISER GRATUITO",(IF(J24="Español","BARRILES BLOODWEISER GRATIS",(IF(J24="Deutsch","FREIE BLOOD- WEISER FÄSSER",(IF(J24="Français","FÛTS DE BLOOWEISER GRATUIT","FREE BLOODWEISER KEGS")))))))</f>
        <v>BARRILES BLOODWEISER GRATIS</v>
      </c>
      <c r="AL35" s="140"/>
      <c r="AM35" s="140"/>
      <c r="AN35" s="141"/>
      <c r="AO35" s="63">
        <v>0</v>
      </c>
      <c r="AP35" s="213"/>
      <c r="AQ35" s="54"/>
      <c r="AR35" s="1"/>
      <c r="AS35" s="122" t="s">
        <v>1633</v>
      </c>
      <c r="AT35" s="122"/>
      <c r="AU35" s="122"/>
      <c r="AV35" s="122"/>
      <c r="AW35" s="1"/>
      <c r="AX35" s="2"/>
      <c r="AY35" s="2"/>
      <c r="BC35" s="2"/>
      <c r="BD35" s="2"/>
      <c r="BK35" s="2"/>
      <c r="BL35" s="2" t="s">
        <v>159</v>
      </c>
      <c r="BM35" s="21"/>
      <c r="BN35" s="2" t="s">
        <v>159</v>
      </c>
      <c r="BO35" s="2"/>
      <c r="BP35" s="2">
        <v>60000</v>
      </c>
      <c r="BQ35" s="2">
        <v>50000</v>
      </c>
      <c r="BR35" s="2">
        <v>1</v>
      </c>
      <c r="BS35" s="42" t="str">
        <f>IF($J$24="Español","Selectiva de Sylvania",(IF($J$24="Deutsch","Sylvanisches Rampenlicht",(IF($J$24="Français","Spot de Sylvanie","Sylvanian Spotlight")))))</f>
        <v>Selectiva de Sylvania</v>
      </c>
      <c r="BT35" s="3" t="s">
        <v>97</v>
      </c>
      <c r="BU35" s="3" t="s">
        <v>98</v>
      </c>
      <c r="BV35" s="3"/>
      <c r="BW35" s="3"/>
      <c r="BX35" s="3"/>
      <c r="CC35"/>
      <c r="CD35"/>
      <c r="CI35" s="2"/>
      <c r="CJ35" s="2"/>
      <c r="CK35" s="2"/>
      <c r="CL35" s="2"/>
      <c r="CM35" s="2"/>
      <c r="CN35" s="2"/>
      <c r="CO35" s="2"/>
      <c r="CP35" s="2"/>
      <c r="CQ35" s="2"/>
      <c r="CR35" s="2"/>
      <c r="CS35" s="2"/>
      <c r="CT35" s="2"/>
      <c r="CU35" s="2"/>
      <c r="CV35" s="2"/>
      <c r="CW35" s="2"/>
      <c r="CX35" s="2"/>
      <c r="CY35" s="2"/>
      <c r="CZ35" s="2"/>
    </row>
    <row r="36" spans="1:104" ht="21" hidden="1" customHeight="1" x14ac:dyDescent="0.2">
      <c r="A36" s="57"/>
      <c r="B36" s="142" t="str">
        <f>IF(J24="Italiano","Regole Abilità",(IF(J24="Español","Reglas habilidades",(IF(J24="Deutsch","Regelkenntnisse",(IF(J24="Français","Compétences en matière de règles","Rules skills")))))))</f>
        <v>Reglas habilidades</v>
      </c>
      <c r="C36" s="142"/>
      <c r="D36" s="142"/>
      <c r="E36" s="142"/>
      <c r="F36" s="142"/>
      <c r="G36" s="142"/>
      <c r="H36" s="142"/>
      <c r="I36" s="142"/>
      <c r="J36" s="142"/>
      <c r="K36" s="142"/>
      <c r="L36" s="142"/>
      <c r="M36" s="142"/>
      <c r="N36" s="142"/>
      <c r="O36" s="142"/>
      <c r="P36" s="138"/>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213"/>
      <c r="AQ36" s="54"/>
      <c r="AR36" s="1"/>
      <c r="AS36" s="23" t="s">
        <v>1241</v>
      </c>
      <c r="AT36" s="1">
        <f>IF($C$18=AS36,1,0)</f>
        <v>0</v>
      </c>
      <c r="AU36" s="1">
        <f>IF($C$19=AS36,1,0)</f>
        <v>0</v>
      </c>
      <c r="AV36" s="1">
        <f>(SUM(AT36:AU41))+(SUM(AW36:AW41))</f>
        <v>0</v>
      </c>
      <c r="AW36" s="1">
        <f>IF($C$20=AS36,1,0)</f>
        <v>0</v>
      </c>
      <c r="AX36" s="2"/>
      <c r="AY36" s="2"/>
      <c r="BC36" s="2"/>
      <c r="BD36" s="2"/>
      <c r="BK36" s="2"/>
      <c r="BL36" s="2" t="s">
        <v>160</v>
      </c>
      <c r="BM36" s="21"/>
      <c r="BN36" s="2" t="s">
        <v>161</v>
      </c>
      <c r="BO36" s="2"/>
      <c r="BP36" s="2">
        <v>50000</v>
      </c>
      <c r="BQ36" s="2">
        <v>50000</v>
      </c>
      <c r="BR36" s="2">
        <v>1</v>
      </c>
      <c r="BS36" s="42" t="str">
        <f>IF($J$24="Español","Liga de los Reinos Elfos",(IF($J$24="Deutsch","Liga der Elfenkönigreiche",(IF($J$24="Français","Ligue des Royaumes Elfiques","Elven Kingdoms League")))))</f>
        <v>Liga de los Reinos Elfos</v>
      </c>
      <c r="BT36" s="3" t="s">
        <v>48</v>
      </c>
      <c r="BX36" s="3"/>
      <c r="CC36" s="7"/>
      <c r="CD36" s="1"/>
      <c r="CI36" s="2"/>
      <c r="CJ36" s="2"/>
      <c r="CK36" s="2"/>
      <c r="CL36" s="2"/>
      <c r="CM36" s="2"/>
      <c r="CN36" s="2"/>
      <c r="CO36" s="2"/>
      <c r="CP36" s="2"/>
      <c r="CQ36" s="2"/>
      <c r="CR36" s="2"/>
      <c r="CS36" s="2"/>
      <c r="CT36" s="2"/>
      <c r="CU36" s="2"/>
      <c r="CV36" s="2"/>
      <c r="CW36" s="2"/>
      <c r="CX36" s="2"/>
      <c r="CY36" s="2"/>
      <c r="CZ36" s="2"/>
    </row>
    <row r="37" spans="1:104" ht="21" hidden="1" customHeight="1" x14ac:dyDescent="0.2">
      <c r="A37" s="57"/>
      <c r="B37" s="60" t="str">
        <f>IF(J24="Italiano","MAX. ABILITÀ TOTALI",(IF(J24="Español","MAX. TOTAL HABILIDADES",(IF(J24="Deutsch","MAX. FERTIG- KEITEN GESAMT",(IF(J24="Français","NB COMPÉTENCES MAX","MAX. TOTAL SKILLS")))))))</f>
        <v>MAX. TOTAL HABILIDADES</v>
      </c>
      <c r="C37" s="133">
        <v>6</v>
      </c>
      <c r="D37" s="134"/>
      <c r="E37" s="139" t="str">
        <f>IF(J24="Italiano","MAX. PRIMARIE",(IF(J24="Español","MAX. PRIMARIAS",(IF(J24="Deutsch","MAX. PRIMÄRE",(IF(J24="Français","COMP PRIMAIRES MAX","MAX. PRIMARY")))))))</f>
        <v>MAX. PRIMARIAS</v>
      </c>
      <c r="F37" s="140"/>
      <c r="G37" s="140"/>
      <c r="H37" s="140"/>
      <c r="I37" s="140"/>
      <c r="J37" s="141"/>
      <c r="K37" s="133">
        <v>6</v>
      </c>
      <c r="L37" s="134"/>
      <c r="M37" s="139" t="str">
        <f>IF(J24="Italiano","MAX. SECONDARIE",(IF(J24="Español","MAX. SECUNDARIAS",(IF(J24="Deutsch","MAX. SEKUNDÄRE",(IF(J24="Français","COMP SECONDAIRES MAX","MAX. SECONDARY")))))))</f>
        <v>MAX. SECUNDARIAS</v>
      </c>
      <c r="N37" s="140"/>
      <c r="O37" s="140"/>
      <c r="P37" s="141"/>
      <c r="Q37" s="143">
        <f>3-AV37</f>
        <v>3</v>
      </c>
      <c r="R37" s="134"/>
      <c r="S37" s="139" t="str">
        <f>IF(J24="Italiano","MAX. STATISTICHE",(IF(J24="Español","MAX. ATRIBUTOS",(IF(J24="Deutsch","MAX. EIGENSCHAFTEN",(IF(J24="Français","CARACTÉRISTIQUES MAX","MAX. STATS")))))))</f>
        <v>MAX. ATRIBUTOS</v>
      </c>
      <c r="T37" s="140"/>
      <c r="U37" s="140"/>
      <c r="V37" s="141"/>
      <c r="W37" s="133" t="s">
        <v>165</v>
      </c>
      <c r="X37" s="134"/>
      <c r="Y37" s="135" t="str">
        <f>IF(J24="Italiano","SPP DA SPENDERE",(IF(J24="Español","SPP PARA GASTAR",(IF(J24="Deutsch","SPP ZUM AUSGEBEN",(IF(J24="Français","PSP À DÉPENSER","SPP TO EXPEND")))))))</f>
        <v>SPP PARA GASTAR</v>
      </c>
      <c r="Z37" s="136"/>
      <c r="AA37" s="136"/>
      <c r="AB37" s="137"/>
      <c r="AC37" s="133" t="s">
        <v>165</v>
      </c>
      <c r="AD37" s="134"/>
      <c r="AE37" s="135" t="str">
        <f>IF(J24="Italiano","MAX. TESORO PER ABILITÀ E STATISTICHE",(IF(J24="Español","MAX. DINERO PARA HABILIDADES Y ATRIBUTOS",(IF(J24="Deutsch","MAX. GELD FÜR FERTIGKEITEN UND EIGENSCHAFTEN",(IF(J24="Français","ARGENT POUR COMPÉTENCES ET CARACTÉRISTIQUES MAX","MAX. MONEY TO SKILLS AND STATS")))))))</f>
        <v>MAX. DINERO PARA HABILIDADES Y ATRIBUTOS</v>
      </c>
      <c r="AF37" s="136"/>
      <c r="AG37" s="136"/>
      <c r="AH37" s="136"/>
      <c r="AI37" s="137"/>
      <c r="AJ37" s="133" t="s">
        <v>165</v>
      </c>
      <c r="AK37" s="134"/>
      <c r="AL37" s="54"/>
      <c r="AM37" s="54"/>
      <c r="AN37" s="54"/>
      <c r="AO37" s="54"/>
      <c r="AP37" s="213"/>
      <c r="AQ37" s="54"/>
      <c r="AR37" s="1"/>
      <c r="AS37" s="23" t="s">
        <v>1111</v>
      </c>
      <c r="AT37" s="1">
        <f t="shared" ref="AT37:AT41" si="50">IF($C$18=AS37,1,0)</f>
        <v>0</v>
      </c>
      <c r="AU37" s="1">
        <f t="shared" ref="AU37:AU41" si="51">IF($C$19=AS37,1,0)</f>
        <v>0</v>
      </c>
      <c r="AV37" s="1">
        <f>IF(AV36&gt;0,3,0)</f>
        <v>0</v>
      </c>
      <c r="AW37" s="1">
        <f t="shared" ref="AW37:AW41" si="52">IF($C$20=AS37,1,0)</f>
        <v>0</v>
      </c>
      <c r="AX37" s="2"/>
      <c r="AY37" s="2"/>
      <c r="BC37" s="2"/>
      <c r="BD37" s="2"/>
      <c r="BK37" s="2"/>
      <c r="BL37" s="2"/>
      <c r="BM37" s="2"/>
      <c r="BN37" s="2"/>
      <c r="BP37" s="2"/>
      <c r="BQ37" s="2"/>
      <c r="BR37" s="2"/>
      <c r="BS37" s="3"/>
      <c r="BT37" s="3"/>
      <c r="BU37" s="3"/>
      <c r="BV37" s="3"/>
      <c r="BW37" s="3"/>
      <c r="BX37" s="3"/>
      <c r="BY37" s="2"/>
      <c r="BZ37" s="2"/>
      <c r="CA37" s="46"/>
      <c r="CB37" s="1"/>
      <c r="CC37" s="7"/>
      <c r="CD37" s="1"/>
      <c r="CE37" s="1"/>
      <c r="CF37" s="1"/>
      <c r="CG37" s="1"/>
      <c r="CH37" s="1"/>
      <c r="CI37" s="2"/>
      <c r="CJ37" s="2"/>
      <c r="CK37" s="2"/>
      <c r="CL37" s="2"/>
      <c r="CM37" s="2"/>
      <c r="CN37" s="2"/>
      <c r="CO37" s="2"/>
      <c r="CP37" s="2"/>
      <c r="CQ37" s="2"/>
      <c r="CR37" s="2"/>
      <c r="CS37" s="2"/>
      <c r="CT37" s="2"/>
      <c r="CU37" s="2"/>
      <c r="CV37" s="2"/>
      <c r="CW37" s="2"/>
      <c r="CX37" s="2"/>
      <c r="CY37" s="2"/>
      <c r="CZ37" s="2"/>
    </row>
    <row r="38" spans="1:104" ht="21" hidden="1" customHeight="1" x14ac:dyDescent="0.2">
      <c r="A38" s="57"/>
      <c r="B38" s="64" t="str">
        <f>IF(J24="Italiano","COSTO PRIMARIE",(IF(J24="Español","COSTE PRIMARIAS",(IF(J24="Deutsch","Σ PRIMÄRE",(IF(J24="Français","COÛT EN PRIMAIRES","COST PRIMARY")))))))</f>
        <v>COSTE PRIMARIAS</v>
      </c>
      <c r="C38" s="133" t="s">
        <v>165</v>
      </c>
      <c r="D38" s="134"/>
      <c r="E38" s="135" t="str">
        <f>IF(J24="Italiano","COSTO SECONDARIE",(IF(J24="Español","COSTE SECUNDARIAS",(IF(J24="Deutsch","Σ SEKUNDÄRE",(IF(J24="Français","COÛT EN SECONDAIRES","COST SECONDARY")))))))</f>
        <v>COSTE SECUNDARIAS</v>
      </c>
      <c r="F38" s="136"/>
      <c r="G38" s="136"/>
      <c r="H38" s="136"/>
      <c r="I38" s="136"/>
      <c r="J38" s="137"/>
      <c r="K38" s="133" t="s">
        <v>165</v>
      </c>
      <c r="L38" s="134"/>
      <c r="M38" s="135" t="str">
        <f>IF(J24="Italiano","COSTO MA",(IF(J24="Español","COSTE MO",(IF(J24="Deutsch","Σ BE",(IF(J24="Français","COÛT EN M","COST MA")))))))</f>
        <v>COSTE MO</v>
      </c>
      <c r="N38" s="136"/>
      <c r="O38" s="137"/>
      <c r="P38" s="133" t="s">
        <v>165</v>
      </c>
      <c r="Q38" s="134"/>
      <c r="R38" s="135" t="str">
        <f>IF(J24="Italiano","COSTO ST",(IF(J24="Español","COSTE FU",(IF(J24="Deutsch","Σ ST",(IF(J24="Français","COÛT EN F","COST ST")))))))</f>
        <v>COSTE FU</v>
      </c>
      <c r="S38" s="136"/>
      <c r="T38" s="137"/>
      <c r="U38" s="133" t="s">
        <v>165</v>
      </c>
      <c r="V38" s="134"/>
      <c r="W38" s="135" t="str">
        <f>IF(J24="Italiano","COSTO PA",(IF(J24="Español","COSTE PA",(IF(J24="Deutsch","Σ WG",(IF(J24="Français","COÛT EN CP","COST PA")))))))</f>
        <v>COSTE PA</v>
      </c>
      <c r="X38" s="136"/>
      <c r="Y38" s="137"/>
      <c r="Z38" s="133" t="s">
        <v>165</v>
      </c>
      <c r="AA38" s="134"/>
      <c r="AB38" s="135" t="str">
        <f>IF(J24="Italiano","COSTO AG",(IF(J24="Español","COSTE AG",(IF(J24="Deutsch","Σ GE",(IF(J24="Français","COÛT EN AG","COST AG")))))))</f>
        <v>COSTE AG</v>
      </c>
      <c r="AC38" s="136"/>
      <c r="AD38" s="137"/>
      <c r="AE38" s="133" t="s">
        <v>165</v>
      </c>
      <c r="AF38" s="134"/>
      <c r="AG38" s="135" t="str">
        <f>IF(J24="Italiano","COSTO AV",(IF(J24="Español","COSTE AR",(IF(J24="Deutsch","Σ RW",(IF(J24="Français","COÛT EN AR","COST AV")))))))</f>
        <v>COSTE AR</v>
      </c>
      <c r="AH38" s="136"/>
      <c r="AI38" s="137"/>
      <c r="AJ38" s="133" t="s">
        <v>165</v>
      </c>
      <c r="AK38" s="134"/>
      <c r="AL38" s="54"/>
      <c r="AM38" s="54"/>
      <c r="AN38" s="54"/>
      <c r="AO38" s="54"/>
      <c r="AP38" s="213"/>
      <c r="AQ38" s="54"/>
      <c r="AR38" s="1"/>
      <c r="AS38" s="23" t="s">
        <v>1420</v>
      </c>
      <c r="AT38" s="1">
        <f t="shared" si="50"/>
        <v>0</v>
      </c>
      <c r="AU38" s="1">
        <f t="shared" si="51"/>
        <v>0</v>
      </c>
      <c r="AV38" s="1"/>
      <c r="AW38" s="1">
        <f t="shared" si="52"/>
        <v>0</v>
      </c>
      <c r="AX38" s="2"/>
      <c r="AY38" s="2"/>
      <c r="BC38" s="2"/>
      <c r="BD38" s="2"/>
      <c r="BK38" s="2"/>
      <c r="BL38" s="2"/>
      <c r="BM38" s="2"/>
      <c r="BN38" s="2"/>
      <c r="BO38" s="2"/>
      <c r="BP38" s="2"/>
      <c r="BQ38" s="2"/>
      <c r="BR38" s="2"/>
      <c r="BS38" s="3"/>
      <c r="BT38" s="3"/>
      <c r="BU38" s="3"/>
      <c r="BV38" s="3"/>
      <c r="BW38" s="3"/>
      <c r="BX38" s="3"/>
      <c r="BY38" s="2"/>
      <c r="BZ38" s="2"/>
      <c r="CA38" s="46"/>
      <c r="CB38" s="1"/>
      <c r="CC38" s="7"/>
      <c r="CD38" s="1"/>
      <c r="CE38" s="1"/>
      <c r="CF38" s="1"/>
      <c r="CG38" s="1"/>
      <c r="CH38" s="1"/>
      <c r="CI38" s="2"/>
      <c r="CJ38" s="2"/>
      <c r="CK38" s="2"/>
      <c r="CL38" s="2"/>
      <c r="CM38" s="2"/>
      <c r="CN38" s="2"/>
      <c r="CO38" s="2"/>
      <c r="CP38" s="2"/>
      <c r="CQ38" s="2"/>
      <c r="CR38" s="2"/>
      <c r="CS38" s="2"/>
      <c r="CT38" s="2"/>
      <c r="CU38" s="2"/>
      <c r="CV38" s="2"/>
      <c r="CW38" s="2"/>
      <c r="CX38" s="2"/>
      <c r="CY38" s="2"/>
      <c r="CZ38" s="2"/>
    </row>
    <row r="39" spans="1:104" ht="21" hidden="1" customHeight="1" x14ac:dyDescent="0.2">
      <c r="A39" s="57"/>
      <c r="B39" s="138" t="str">
        <f>IF(J24="Italiano","Riassunto della squadra",(IF(J24="Español","Resumen del equipo",(IF(J24="Deutsch","Zusammenfassung der Mannschaft",(IF(J24="Français","Résumé de l'équipe","Team summary")))))))</f>
        <v>Resumen del equipo</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213"/>
      <c r="AQ39" s="2"/>
      <c r="AR39" s="2"/>
      <c r="AS39" s="23" t="s">
        <v>789</v>
      </c>
      <c r="AT39" s="1">
        <f t="shared" si="50"/>
        <v>0</v>
      </c>
      <c r="AU39" s="1">
        <f t="shared" si="51"/>
        <v>0</v>
      </c>
      <c r="AV39" s="1"/>
      <c r="AW39" s="1">
        <f t="shared" si="52"/>
        <v>0</v>
      </c>
      <c r="AX39" s="2"/>
      <c r="AY39" s="2"/>
      <c r="BC39" s="2"/>
      <c r="BD39" s="2"/>
      <c r="BK39" s="2"/>
      <c r="BL39" s="2"/>
      <c r="BM39" s="2"/>
      <c r="BN39" s="2"/>
      <c r="BO39" s="2"/>
      <c r="BP39" s="2"/>
      <c r="BQ39" s="2"/>
      <c r="BR39" s="2"/>
      <c r="BS39" s="3"/>
      <c r="BT39" s="3"/>
      <c r="BU39" s="3"/>
      <c r="BV39" s="3"/>
      <c r="BW39" s="3"/>
      <c r="BX39" s="3"/>
      <c r="BY39" s="2"/>
      <c r="BZ39" s="2"/>
      <c r="CA39" s="46"/>
      <c r="CB39" s="1"/>
      <c r="CC39" s="7"/>
      <c r="CD39" s="1"/>
      <c r="CE39" s="1"/>
      <c r="CF39" s="1"/>
      <c r="CG39" s="1"/>
      <c r="CH39" s="1"/>
      <c r="CI39" s="2"/>
      <c r="CJ39" s="2"/>
      <c r="CK39" s="2"/>
      <c r="CL39" s="2"/>
      <c r="CM39" s="2"/>
      <c r="CN39" s="2"/>
      <c r="CO39" s="2"/>
      <c r="CP39" s="2"/>
      <c r="CQ39" s="2"/>
      <c r="CR39" s="2"/>
      <c r="CS39" s="2"/>
      <c r="CT39" s="2"/>
      <c r="CU39" s="2"/>
      <c r="CV39" s="2"/>
      <c r="CW39" s="2"/>
      <c r="CX39" s="2"/>
      <c r="CY39" s="2"/>
      <c r="CZ39" s="2"/>
    </row>
    <row r="40" spans="1:104" ht="21" hidden="1" customHeight="1" x14ac:dyDescent="0.2">
      <c r="A40" s="65"/>
      <c r="B40" s="66" t="str">
        <f>IF(J24="Italiano","VALORE SQUADRA",(IF(J24="Español","VALOR DEL EQUIPO",(IF(J24="Deutsch","TEAMWERT",(IF(J24="Français","VALEUR D’ÉQUIPE ACTUELLE","TEAM VALUE")))))))</f>
        <v>VALOR DEL EQUIPO</v>
      </c>
      <c r="C40" s="132">
        <f>J30</f>
        <v>0</v>
      </c>
      <c r="D40" s="132"/>
      <c r="E40" s="130" t="str">
        <f>IF(J24="Italiano","NUMERO DI GIOCATORI",(IF(J24="Español","NÚMERO JUGADORES",(IF(J24="Deutsch","ANZAHL DER SPIELER",(IF(J24="Français","NOMBRE DE JOUEURS","NUMBER OF PLAYERS")))))))</f>
        <v>NÚMERO JUGADORES</v>
      </c>
      <c r="F40" s="130"/>
      <c r="G40" s="130"/>
      <c r="H40" s="130"/>
      <c r="I40" s="130"/>
      <c r="J40" s="130"/>
      <c r="K40" s="130"/>
      <c r="L40" s="132">
        <f>COUNTA(C2:F17)</f>
        <v>0</v>
      </c>
      <c r="M40" s="132"/>
      <c r="N40" s="130" t="str">
        <f>IF(J24="Italiano","NUMERO DI GIOCATORI DI SPICCO",(IF(J24="Español","NÚMERO JUGADORES ESTRELLA",(IF(J24="Deutsch","ANZAHL DER STARSPIELER",(IF(J24="Français","NOMBRE DE JOUEURS VEDETTES","NUMBER OF STAR PLAYERS")))))))</f>
        <v>NÚMERO JUGADORES ESTRELLA</v>
      </c>
      <c r="O40" s="130"/>
      <c r="P40" s="130"/>
      <c r="Q40" s="130"/>
      <c r="R40" s="130"/>
      <c r="S40" s="132">
        <f>COUNTA(C18:F20)</f>
        <v>0</v>
      </c>
      <c r="T40" s="132"/>
      <c r="U40" s="130" t="str">
        <f>IF(J24="Italiano","NUMERO DI ABILITÀ",(IF(J24="Español","NÚMERO HABILIDADES",(IF(J24="Deutsch","ZIFFERNKENNTNISSE",(IF(J24="Français","NOMBRE DE COMPÉTENCES","NUMBER OF SKILLS")))))))</f>
        <v>NÚMERO HABILIDADES</v>
      </c>
      <c r="V40" s="130"/>
      <c r="W40" s="130"/>
      <c r="X40" s="130"/>
      <c r="Y40" s="130"/>
      <c r="Z40" s="129">
        <f>AZ65</f>
        <v>0</v>
      </c>
      <c r="AA40" s="129"/>
      <c r="AB40" s="130" t="str">
        <f>IF(J24="Italiano","COSTO TOTAL ABILITÀ",(IF(J24="Español","COSTE TOTAL HABILIDADES",(IF(J24="Deutsch","TOTAL KOSTENKOMPETENZEN",(IF(J24="Français","TOTAL COÛT EN COMPÉTENCES","TOTAL COST SKILLS")))))))</f>
        <v>COSTE TOTAL HABILIDADES</v>
      </c>
      <c r="AC40" s="130"/>
      <c r="AD40" s="130"/>
      <c r="AE40" s="130"/>
      <c r="AF40" s="130"/>
      <c r="AG40" s="128">
        <f>L41+Z41+AN41</f>
        <v>0</v>
      </c>
      <c r="AH40" s="129"/>
      <c r="AI40" s="130" t="str">
        <f>IF(J24="Italiano","SPP TOTALI",(IF(J24="Español","SPP TOTALES",(IF(J24="Deutsch","GESAMTE SPP",(IF(J24="Français","TOTAL PSP","TOTAL SPP")))))))</f>
        <v>SPP TOTALES</v>
      </c>
      <c r="AJ40" s="130"/>
      <c r="AK40" s="130"/>
      <c r="AL40" s="130"/>
      <c r="AM40" s="130"/>
      <c r="AN40" s="128">
        <f>SUM(AM2:AM17)</f>
        <v>0</v>
      </c>
      <c r="AO40" s="129"/>
      <c r="AP40" s="65"/>
      <c r="AQ40" s="65"/>
      <c r="AR40" s="2"/>
      <c r="AS40" s="23" t="s">
        <v>860</v>
      </c>
      <c r="AT40" s="1">
        <f t="shared" si="50"/>
        <v>0</v>
      </c>
      <c r="AU40" s="1">
        <f t="shared" si="51"/>
        <v>0</v>
      </c>
      <c r="AV40" s="10"/>
      <c r="AW40" s="1">
        <f t="shared" si="52"/>
        <v>0</v>
      </c>
      <c r="AX40" s="2"/>
      <c r="AY40" s="2"/>
      <c r="AZ40" s="2"/>
      <c r="BA40" s="2"/>
      <c r="BB40" s="2"/>
      <c r="BC40" s="2"/>
      <c r="BD40" s="2"/>
      <c r="BK40" s="2"/>
      <c r="BM40" s="2"/>
      <c r="BN40" s="2"/>
      <c r="BO40" s="2"/>
      <c r="BP40" s="2"/>
      <c r="BQ40" s="2"/>
      <c r="BR40" s="2"/>
      <c r="BS40" s="2"/>
      <c r="BT40" s="2"/>
      <c r="BU40" s="3"/>
      <c r="BV40" s="3"/>
      <c r="BW40" s="3"/>
      <c r="BX40" s="3"/>
      <c r="BY40" s="2"/>
      <c r="BZ40" s="2"/>
      <c r="CA40" s="2"/>
      <c r="CB40" s="2"/>
      <c r="CC40" s="2"/>
      <c r="CD40" s="1"/>
      <c r="CE40" s="1"/>
      <c r="CF40" s="1"/>
      <c r="CG40" s="1"/>
      <c r="CH40" s="1"/>
      <c r="CI40" s="2"/>
      <c r="CJ40" s="2"/>
      <c r="CK40" s="2"/>
      <c r="CL40" s="2"/>
      <c r="CM40" s="2"/>
      <c r="CN40" s="2"/>
      <c r="CO40" s="2"/>
      <c r="CP40" s="2"/>
      <c r="CQ40" s="2"/>
      <c r="CR40" s="2"/>
      <c r="CS40" s="2"/>
      <c r="CT40" s="2"/>
      <c r="CU40" s="2"/>
      <c r="CV40" s="2"/>
      <c r="CW40" s="2"/>
      <c r="CX40" s="2"/>
      <c r="CY40" s="2"/>
      <c r="CZ40" s="2"/>
    </row>
    <row r="41" spans="1:104" ht="21" hidden="1" customHeight="1" x14ac:dyDescent="0.2">
      <c r="A41" s="65"/>
      <c r="B41" s="66" t="str">
        <f>IF(J24="Italiano","NUMERO DI ABILITÀ PRIMARIE",(IF(J24="Español","NÚMERO HABILIDADES PRIMARIAS",(IF(J24="Deutsch","ANZAHL DER GRUNDFERTIGKEITEN",(IF(J24="Français","NOMBRE DE COMPÉTENCES PRIMAIRES","NUMBER OF PRIMARY SKILLS")))))))</f>
        <v>NÚMERO HABILIDADES PRIMARIAS</v>
      </c>
      <c r="C41" s="132">
        <f>AX65</f>
        <v>0</v>
      </c>
      <c r="D41" s="132"/>
      <c r="E41" s="130" t="str">
        <f>IF(J24="Italiano","COSTO PRIMARIE",(IF(J24="Español","COSTE PRIMARIAS",(IF(J24="Deutsch","Σ PRIMÄRE",(IF(J24="Français","COÛT EN PRIMAIRES","COST PRIMARY")))))))</f>
        <v>COSTE PRIMARIAS</v>
      </c>
      <c r="F41" s="130"/>
      <c r="G41" s="130"/>
      <c r="H41" s="130"/>
      <c r="I41" s="130"/>
      <c r="J41" s="130"/>
      <c r="K41" s="130"/>
      <c r="L41" s="132">
        <f>IFERROR(((COUNTIF(CG46:CL61,C38))*C38),0)</f>
        <v>0</v>
      </c>
      <c r="M41" s="132"/>
      <c r="N41" s="130" t="str">
        <f>IF(J24="Italiano","NUMERO DI ABILITÀ SECONDARIE",(IF(J24="Español","NÚMERO HABILIDADES SECUNDARIAS",(IF(J24="Deutsch","ANZAHL DER SEKUNDÄREN FÄHIGKEITEN",(IF(J24="Français","NOMBRE DE COMPÉTENCES SECONDAIRES","NUMBER OF SECONDARY SKILLS")))))))</f>
        <v>NÚMERO HABILIDADES SECUNDARIAS</v>
      </c>
      <c r="O41" s="130"/>
      <c r="P41" s="130"/>
      <c r="Q41" s="130"/>
      <c r="R41" s="130"/>
      <c r="S41" s="129">
        <f>AY65</f>
        <v>0</v>
      </c>
      <c r="T41" s="129"/>
      <c r="U41" s="130" t="str">
        <f>IF(J24="Italiano","COSTO SECONDARIE",(IF(J24="Español","COSTE SECUNDARIAS",(IF(J24="Deutsch","Σ SEKUNDÄRE",(IF(J24="Français","COÛT EN SECONDAIRES","COST SECONDARY")))))))</f>
        <v>COSTE SECUNDARIAS</v>
      </c>
      <c r="V41" s="130"/>
      <c r="W41" s="130"/>
      <c r="X41" s="130"/>
      <c r="Y41" s="130"/>
      <c r="Z41" s="128">
        <f>IFERROR(((COUNTIF(CG46:CL61,K38))*K38),0)</f>
        <v>0</v>
      </c>
      <c r="AA41" s="129"/>
      <c r="AB41" s="130" t="str">
        <f>IF(J24="Italiano","NUMERO DI STATISTICHE",(IF(J24="Español","NÚMERO ATRIBUTOS",(IF(J24="Deutsch","ANZAHL DER ATTRIBUTE",(IF(J24="Français","NOMBRE DE CARACTÉRISTIQUES","NUMBER OF STATS")))))))</f>
        <v>NÚMERO ATRIBUTOS</v>
      </c>
      <c r="AC41" s="130"/>
      <c r="AD41" s="130"/>
      <c r="AE41" s="130"/>
      <c r="AF41" s="130"/>
      <c r="AG41" s="129">
        <f>BA65</f>
        <v>0</v>
      </c>
      <c r="AH41" s="129"/>
      <c r="AI41" s="130" t="str">
        <f>IF(J24="Italiano","COSTO STATISTICHE",(IF(J24="Español","COSTE ATRIBUTOS",(IF(J24="Deutsch","Σ  EIGENSCHAFTEN",(IF(J24="Français","COÛT EN CARACTÉRISTIQUES","COST STATS")))))))</f>
        <v>COSTE ATRIBUTOS</v>
      </c>
      <c r="AJ41" s="130"/>
      <c r="AK41" s="130"/>
      <c r="AL41" s="130"/>
      <c r="AM41" s="130"/>
      <c r="AN41" s="128">
        <f>SUM(CN46:CS61)</f>
        <v>0</v>
      </c>
      <c r="AO41" s="129"/>
      <c r="AP41" s="65"/>
      <c r="AQ41" s="65"/>
      <c r="AR41" s="2"/>
      <c r="AS41" s="23" t="s">
        <v>778</v>
      </c>
      <c r="AT41" s="1">
        <f t="shared" si="50"/>
        <v>0</v>
      </c>
      <c r="AU41" s="1">
        <f t="shared" si="51"/>
        <v>0</v>
      </c>
      <c r="AV41" s="10"/>
      <c r="AW41" s="1">
        <f t="shared" si="52"/>
        <v>0</v>
      </c>
      <c r="AX41" s="2"/>
      <c r="AY41" s="2"/>
      <c r="AZ41" s="2"/>
      <c r="BA41" s="2"/>
      <c r="BB41" s="2"/>
      <c r="BC41" s="2"/>
      <c r="BD41" s="2"/>
      <c r="BK41" s="2"/>
      <c r="BM41" s="2"/>
      <c r="BN41" s="2"/>
      <c r="BO41" s="2"/>
      <c r="BP41" s="2"/>
      <c r="BQ41" s="2"/>
      <c r="BR41" s="2"/>
      <c r="BS41" s="2"/>
      <c r="BT41" s="2"/>
      <c r="BU41" s="2"/>
      <c r="BV41" s="2"/>
      <c r="BW41" s="2"/>
      <c r="BX41" s="2"/>
      <c r="BY41" s="2"/>
      <c r="BZ41" s="2"/>
      <c r="CA41" s="2"/>
      <c r="CB41" s="2"/>
      <c r="CC41" s="2"/>
      <c r="CD41" s="1"/>
      <c r="CE41" s="1"/>
      <c r="CF41" s="1"/>
      <c r="CG41" s="1"/>
      <c r="CH41" s="1"/>
      <c r="CI41" s="2"/>
      <c r="CJ41" s="2"/>
      <c r="CK41" s="2"/>
      <c r="CL41" s="2"/>
      <c r="CM41" s="2"/>
      <c r="CN41" s="2"/>
      <c r="CO41" s="2"/>
      <c r="CP41" s="2"/>
      <c r="CQ41" s="2"/>
      <c r="CR41" s="2"/>
      <c r="CS41" s="2"/>
      <c r="CT41" s="2"/>
      <c r="CU41" s="2"/>
      <c r="CV41" s="2"/>
      <c r="CW41" s="2"/>
      <c r="CX41" s="2"/>
      <c r="CY41" s="2"/>
      <c r="CZ41" s="2"/>
    </row>
    <row r="42" spans="1:104" ht="11.25" hidden="1" customHeight="1" x14ac:dyDescent="0.2">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0"/>
      <c r="AS42" s="10"/>
      <c r="AT42" s="10"/>
      <c r="AU42" s="10"/>
      <c r="AV42" s="10"/>
      <c r="AW42" s="10"/>
      <c r="AX42" s="2"/>
      <c r="AY42" s="2"/>
      <c r="AZ42" s="2"/>
      <c r="BA42" s="2"/>
      <c r="BB42" s="2"/>
      <c r="BC42" s="2"/>
      <c r="BD42" s="2"/>
      <c r="BK42" s="2"/>
      <c r="BM42" s="2"/>
      <c r="BN42" s="2"/>
      <c r="BO42" s="2"/>
      <c r="BP42" s="2"/>
      <c r="BQ42" s="2"/>
      <c r="BR42" s="2"/>
      <c r="BS42" s="2"/>
      <c r="BT42" s="2"/>
      <c r="BU42" s="3"/>
      <c r="BV42" s="3"/>
      <c r="BW42" s="2"/>
      <c r="BX42" s="2"/>
      <c r="BY42" s="2"/>
      <c r="BZ42" s="2"/>
      <c r="CA42" s="2"/>
      <c r="CB42" s="2"/>
      <c r="CC42" s="2"/>
      <c r="CD42" s="1"/>
      <c r="CE42" s="1"/>
      <c r="CF42" s="1"/>
      <c r="CG42" s="1"/>
      <c r="CH42" s="1"/>
      <c r="CI42" s="2"/>
      <c r="CJ42" s="2"/>
      <c r="CK42" s="2"/>
      <c r="CL42" s="2"/>
      <c r="CM42" s="2"/>
      <c r="CN42" s="2"/>
      <c r="CO42" s="2"/>
      <c r="CP42" s="2"/>
      <c r="CQ42" s="2"/>
      <c r="CR42" s="2"/>
      <c r="CS42" s="2"/>
      <c r="CT42" s="2"/>
      <c r="CU42" s="2"/>
      <c r="CV42" s="2"/>
      <c r="CW42" s="2"/>
      <c r="CX42" s="2"/>
      <c r="CY42" s="2"/>
      <c r="CZ42" s="2"/>
    </row>
    <row r="43" spans="1:104" ht="18" hidden="1"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0" t="s">
        <v>1678</v>
      </c>
      <c r="AS43" s="10" t="s">
        <v>1679</v>
      </c>
      <c r="AT43" s="10"/>
      <c r="AU43" s="10"/>
      <c r="AV43" s="10"/>
      <c r="AW43" s="10"/>
      <c r="AX43" s="2"/>
      <c r="AY43" s="2"/>
      <c r="AZ43" s="2"/>
      <c r="BA43" s="2"/>
      <c r="BB43" s="2"/>
      <c r="BC43" s="2"/>
      <c r="BD43" s="2"/>
      <c r="BK43" s="2"/>
      <c r="BM43" s="2"/>
      <c r="BN43" s="2"/>
      <c r="BO43" s="2"/>
      <c r="BP43" s="2"/>
      <c r="BQ43" s="2"/>
      <c r="BR43" s="2"/>
      <c r="BS43" s="2"/>
      <c r="BT43" s="2"/>
      <c r="BU43" s="3"/>
      <c r="BV43" s="3"/>
      <c r="BW43" s="2"/>
      <c r="BX43" s="2"/>
      <c r="BY43" s="2"/>
      <c r="BZ43" s="2"/>
      <c r="CA43" s="2"/>
      <c r="CB43" s="2"/>
      <c r="CC43" s="2"/>
      <c r="CD43" s="1"/>
      <c r="CE43" s="1"/>
      <c r="CF43" s="1"/>
      <c r="CG43" s="1"/>
      <c r="CH43" s="1"/>
      <c r="CI43" s="2"/>
      <c r="CJ43" s="2"/>
      <c r="CK43" s="2"/>
      <c r="CL43" s="2"/>
      <c r="CM43" s="2"/>
      <c r="CN43" s="2"/>
      <c r="CO43" s="2"/>
      <c r="CP43" s="2"/>
      <c r="CQ43" s="2"/>
      <c r="CR43" s="2"/>
      <c r="CS43" s="2"/>
      <c r="CT43" s="2"/>
      <c r="CU43" s="2"/>
      <c r="CV43" s="2"/>
      <c r="CW43" s="2"/>
      <c r="CX43" s="2"/>
      <c r="CY43" s="2"/>
      <c r="CZ43" s="2"/>
    </row>
    <row r="44" spans="1:104" ht="18" hidden="1"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f>19-(COUNTIF(J2:J20,0))</f>
        <v>0</v>
      </c>
      <c r="AS44" s="10">
        <f>16-(COUNTIF(J2:J17,0))</f>
        <v>0</v>
      </c>
      <c r="AT44" s="10"/>
      <c r="AU44" s="10"/>
      <c r="AW44" s="10"/>
      <c r="AX44" s="2"/>
      <c r="AY44" s="1"/>
      <c r="AZ44" s="2"/>
      <c r="BA44" s="2"/>
      <c r="BB44" s="2"/>
      <c r="BC44" s="2"/>
      <c r="BD44" s="2"/>
      <c r="BK44" s="2"/>
      <c r="BM44" s="2"/>
      <c r="BN44" s="2"/>
      <c r="BO44" s="2"/>
      <c r="BP44" s="2"/>
      <c r="BQ44" s="2"/>
      <c r="BR44" s="2"/>
      <c r="BS44" s="2"/>
      <c r="BT44" s="67">
        <f>(16-COUNT(BT46:BT61))</f>
        <v>0</v>
      </c>
      <c r="BU44" s="67"/>
      <c r="BV44" s="67"/>
      <c r="BW44" s="67"/>
      <c r="BX44" s="67"/>
      <c r="BY44" s="2"/>
      <c r="BZ44" s="2"/>
      <c r="CA44" s="2"/>
      <c r="CB44" s="2"/>
      <c r="CC44" s="2"/>
      <c r="CD44" s="2"/>
      <c r="CE44" s="2"/>
      <c r="CF44" s="1"/>
      <c r="CG44" s="2"/>
      <c r="CH44" s="5"/>
      <c r="CI44" s="67"/>
      <c r="CJ44" s="67"/>
      <c r="CK44" s="67"/>
      <c r="CL44" s="67"/>
      <c r="CM44" s="2"/>
      <c r="CN44" s="2"/>
      <c r="CO44" s="2"/>
      <c r="CP44" s="2"/>
      <c r="CQ44" s="2"/>
      <c r="CR44" s="2"/>
      <c r="CS44" s="2"/>
      <c r="CT44" s="2"/>
      <c r="CU44" s="2"/>
      <c r="CV44" s="2"/>
      <c r="CW44" s="2"/>
      <c r="CX44" s="2"/>
      <c r="CY44" s="2"/>
      <c r="CZ44" s="2"/>
    </row>
    <row r="45" spans="1:104" ht="18" hidden="1"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S45" s="10"/>
      <c r="AT45" s="10"/>
      <c r="AU45" s="10"/>
      <c r="AV45" s="67" t="s">
        <v>1677</v>
      </c>
      <c r="AW45" s="10"/>
      <c r="AX45" s="68" t="s">
        <v>166</v>
      </c>
      <c r="AY45" s="5" t="s">
        <v>167</v>
      </c>
      <c r="AZ45" s="5" t="s">
        <v>168</v>
      </c>
      <c r="BA45" s="5" t="s">
        <v>169</v>
      </c>
      <c r="BB45" s="5" t="s">
        <v>170</v>
      </c>
      <c r="BC45" s="5" t="s">
        <v>171</v>
      </c>
      <c r="BD45" s="5" t="s">
        <v>172</v>
      </c>
      <c r="BE45" s="5" t="s">
        <v>173</v>
      </c>
      <c r="BF45" s="5" t="s">
        <v>174</v>
      </c>
      <c r="BG45" s="5" t="s">
        <v>175</v>
      </c>
      <c r="BH45" s="5" t="s">
        <v>176</v>
      </c>
      <c r="BI45" s="5" t="s">
        <v>177</v>
      </c>
      <c r="BJ45" s="2"/>
      <c r="BK45" s="126" t="s">
        <v>178</v>
      </c>
      <c r="BL45" s="123"/>
      <c r="BM45" s="123"/>
      <c r="BN45" s="123"/>
      <c r="BO45" s="123"/>
      <c r="BP45" s="123"/>
      <c r="BQ45" s="2"/>
      <c r="BR45" s="2"/>
      <c r="BS45" s="126" t="s">
        <v>179</v>
      </c>
      <c r="BT45" s="123"/>
      <c r="BU45" s="123"/>
      <c r="BV45" s="123"/>
      <c r="BW45" s="123"/>
      <c r="BX45" s="123"/>
      <c r="BY45" s="2"/>
      <c r="BZ45" s="126" t="s">
        <v>180</v>
      </c>
      <c r="CA45" s="127"/>
      <c r="CB45" s="127"/>
      <c r="CC45" s="127"/>
      <c r="CD45" s="127"/>
      <c r="CE45" s="127"/>
      <c r="CF45" s="2"/>
      <c r="CG45" s="126" t="s">
        <v>181</v>
      </c>
      <c r="CH45" s="123"/>
      <c r="CI45" s="123"/>
      <c r="CJ45" s="123"/>
      <c r="CK45" s="123"/>
      <c r="CL45" s="123"/>
      <c r="CM45" s="2"/>
      <c r="CN45" s="126" t="s">
        <v>182</v>
      </c>
      <c r="CO45" s="123"/>
      <c r="CP45" s="123"/>
      <c r="CQ45" s="123"/>
      <c r="CR45" s="123"/>
      <c r="CS45" s="123"/>
      <c r="CT45" s="2"/>
      <c r="CU45" s="126" t="s">
        <v>183</v>
      </c>
      <c r="CV45" s="123"/>
      <c r="CW45" s="123"/>
      <c r="CX45" s="123"/>
      <c r="CY45" s="123"/>
      <c r="CZ45" s="123"/>
    </row>
    <row r="46" spans="1:104" ht="18" hidden="1"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0" t="s">
        <v>1636</v>
      </c>
      <c r="AS46" s="10"/>
      <c r="AT46" s="10"/>
      <c r="AU46" s="10"/>
      <c r="AV46" s="10">
        <f t="shared" ref="AV46:AV61" si="53">(IF(AE2="",0,(IF(ISNUMBER(SEARCH(AE2,O2)),1,0))))+(IF(AI2="",0,(IF(ISNUMBER(SEARCH(AI2,O2)),1,0))))</f>
        <v>0</v>
      </c>
      <c r="AW46" s="10"/>
      <c r="AX46" s="2">
        <f t="shared" ref="AX46:AX61" si="54">C2</f>
        <v>0</v>
      </c>
      <c r="AY46" s="2">
        <f>IFERROR((VLOOKUP($BO$1&amp;C2,TeamsBB2020!D:S,12,0)),0)</f>
        <v>0</v>
      </c>
      <c r="AZ46" s="2">
        <f>IFERROR((VLOOKUP($BO$1&amp;C2,TeamsBB2020!D:S,13,0)),0)</f>
        <v>0</v>
      </c>
      <c r="BA46" s="2">
        <f>IFERROR((VLOOKUP($BO$1&amp;C2,TeamsBB2020!D:S,14,0)),0)</f>
        <v>0</v>
      </c>
      <c r="BB46" s="2">
        <f>IFERROR((VLOOKUP($BO$1&amp;C2,TeamsBB2020!D:S,15,0)),0)</f>
        <v>0</v>
      </c>
      <c r="BC46" s="2">
        <f>IFERROR((VLOOKUP($BO$1&amp;C2,TeamsBB2020!D:S,16,0)),0)</f>
        <v>0</v>
      </c>
      <c r="BD46" s="2">
        <f>IF($P$38="NO",0,$P$38)</f>
        <v>0</v>
      </c>
      <c r="BE46" s="2">
        <f t="shared" ref="BE46:BE61" si="55">IF($AJ$38="NO",0,$AJ$38)</f>
        <v>0</v>
      </c>
      <c r="BF46" s="2">
        <f t="shared" ref="BF46:BF61" si="56">IF($AE$38="NO",0,$AE$38)</f>
        <v>0</v>
      </c>
      <c r="BG46" s="2">
        <f t="shared" ref="BG46:BG61" si="57">IF($Z$38="NO",0,$Z$38)</f>
        <v>0</v>
      </c>
      <c r="BH46" s="2">
        <f t="shared" ref="BH46:BH61" si="58">IF($U$38="NO",0,$U$38)</f>
        <v>0</v>
      </c>
      <c r="BI46" s="2">
        <f t="shared" ref="BI46:BI60" si="59">SUM(CG46:CS46)</f>
        <v>0</v>
      </c>
      <c r="BK46" s="2">
        <f>IF(AE2="",0,(VLOOKUP(AE2,$CC$64:$CD$164,2,0)))</f>
        <v>0</v>
      </c>
      <c r="BL46" s="2">
        <f>IF(AI2="",0,(VLOOKUP(AI2,$CC$64:$CD$164,2,0)))</f>
        <v>0</v>
      </c>
      <c r="BM46" s="2"/>
      <c r="BN46" s="2"/>
      <c r="BO46" s="2"/>
      <c r="BP46" s="2"/>
      <c r="BS46" s="2">
        <f t="shared" ref="BS46:BS61" si="60">(IF(BK46="G",AY46,IF(BK46="A",AZ46,IF(BK46="S",BA46,IF(BK46="P",BB46,IF(BK46="M",BC46,IF(BK46="X",0,IF(OR(BK46="MA",BK46="AV",BK46="ST",BK46="PA",BK46="AG"),"STAT",0))))))))</f>
        <v>0</v>
      </c>
      <c r="BT46" s="2">
        <f t="shared" ref="BT46:BT61" si="61">(IF(BL46="G",AY46,IF(BL46="A",AZ46,IF(BL46="S",BA46,IF(BL46="P",BB46,IF(BL46="M",BC46,IF(BL46="X",0,IF(OR(BL46="MA",BL46="AV",BL46="ST",BL46="PA",BL46="AG"),"STAT",0))))))))</f>
        <v>0</v>
      </c>
      <c r="BU46" s="2">
        <f t="shared" ref="BU46:BU61" si="62">(IF(BM46="G",AY46,IF(BM46="A",AZ46,IF(BM46="S",BA46,IF(BM46="P",BB46,IF(BM46="M",BC46,IF(BM46="X",0,IF(OR(BM46="MA",BM46="AV",BM46="ST",BM46="PA",BM46="AG"),"STAT",0))))))))</f>
        <v>0</v>
      </c>
      <c r="BV46" s="2">
        <f t="shared" ref="BV46:BV61" si="63">(IF(BN46="G",AY46,IF(BN46="A",AZ46,IF(BN46="S",BA46,IF(BN46="P",BB46,IF(BN46="M",BC46,IF(BN46="X",0,IF(OR(BN46="MA",BN46="AV",BN46="ST",BN46="PA",BN46="AG"),"STAT",0))))))))</f>
        <v>0</v>
      </c>
      <c r="BW46" s="2">
        <f t="shared" ref="BW46:BW61" si="64">(IF(BO46="G",AY46,IF(BO46="A",AZ46,IF(BO46="S",BA46,IF(BO46="P",BB46,IF(BO46="M",BC46,IF(BO46="X",0,IF(OR(BO46="MA",BO46="AV",BO46="ST",BO46="PA",BO46="AG"),"STAT",0))))))))</f>
        <v>0</v>
      </c>
      <c r="BX46" s="2">
        <f t="shared" ref="BX46:BX60" si="65">(IF(BP46="G",AY46,IF(BP46="A",AZ46,IF(BP46="S",BA46,IF(BP46="P",BB46,IF(BP46="M",BC46,IF(BP46="X",0,IF(OR(BP46="MA",BP46="AV",BP46="ST",BP46="PA",BP46="AG"),"STAT",0))))))))</f>
        <v>0</v>
      </c>
      <c r="BY46" s="2"/>
      <c r="BZ46" s="2">
        <f t="shared" ref="BZ46:BZ61" si="66">IF(E43="Chosen","Chosen",(IF(E43="Elegida","Chosen",(IF(E43="Gewählt","Chosen",(IF(E43="Choisie","Chosen",(IF(E43="Random","Random",(IF(E43="Aleatoria","Random",(IF(E43="Zufällig","Random",(IF(E43="Aléatoire","Random",0)))))))))))))))</f>
        <v>0</v>
      </c>
      <c r="CA46" s="2">
        <f t="shared" ref="CA46:CA61" si="67">IF(K43="Chosen","Chosen",(IF(K43="Elegida","Chosen",(IF(K43="Gewählt","Chosen",(IF(K43="Choisie","Chosen",(IF(K43="Random","Random",(IF(K43="Aleatoria","Random",(IF(K43="Zufällig","Random",(IF(K43="Aléatoire","Random",0)))))))))))))))</f>
        <v>0</v>
      </c>
      <c r="CB46" s="2">
        <f t="shared" ref="CB46:CB61" si="68">IF(O43="Chosen","Chosen",(IF(O43="Elegida","Chosen",(IF(O43="Gewählt","Chosen",(IF(O43="Choisie","Chosen",(IF(O43="Random","Random",(IF(O43="Aleatoria","Random",(IF(O43="Zufällig","Random",(IF(O43="Aléatoire","Random",0)))))))))))))))</f>
        <v>0</v>
      </c>
      <c r="CC46" s="2">
        <f t="shared" ref="CC46:CC61" si="69">IF(S43="Chosen","Chosen",(IF(S43="Elegida","Chosen",(IF(S43="Gewählt","Chosen",(IF(S43="Choisie","Chosen",(IF(S43="Random","Random",(IF(S43="Aleatoria","Random",(IF(S43="Zufällig","Random",(IF(S43="Aléatoire","Random",0)))))))))))))))</f>
        <v>0</v>
      </c>
      <c r="CD46" s="2">
        <f t="shared" ref="CD46:CD61" si="70">IF(W43="Chosen","Chosen",(IF(W43="Elegida","Chosen",(IF(W43="Gewählt","Chosen",(IF(W43="Choisie","Chosen",(IF(W43="Random","Random",(IF(T43="Aleatoria","Random",(IF(W43="Zufällig","Random",(IF(W43="Aléatoire","Random",0)))))))))))))))</f>
        <v>0</v>
      </c>
      <c r="CE46" s="2">
        <f t="shared" ref="CE46:CE61" si="71">IF(AA43="Chosen","Chosen",(IF(AA43="Elegida","Chosen",(IF(AA43="Gewählt","Chosen",(IF(AA43="Choisie","Chosen",(IF(AA43="Random","Random",(IF(U43="Aleatoria","Random",(IF(AA43="Zufällig","Random",(IF(AA43="Aléatoire","Random",0)))))))))))))))</f>
        <v>0</v>
      </c>
      <c r="CF46" s="2"/>
      <c r="CG46" s="2">
        <f>IF(BS46="P",$C$38,(IF(BS46="S",$K$38,0)))</f>
        <v>0</v>
      </c>
      <c r="CH46" s="2">
        <f t="shared" ref="CH46:CL46" si="72">IF(BT46="P",$C$38,(IF(BT46="S",$K$38,0)))</f>
        <v>0</v>
      </c>
      <c r="CI46" s="2">
        <f>IF(BU46="P",$C$38,(IF(BU46="S",$K$38,0)))</f>
        <v>0</v>
      </c>
      <c r="CJ46" s="2">
        <f t="shared" si="72"/>
        <v>0</v>
      </c>
      <c r="CK46" s="2">
        <f t="shared" si="72"/>
        <v>0</v>
      </c>
      <c r="CL46" s="2">
        <f t="shared" si="72"/>
        <v>0</v>
      </c>
      <c r="CM46" s="2"/>
      <c r="CN46" s="2">
        <f>IF(BK46="MA",$P$38,(IF(BK46="ST",$U$38,(IF(BK46="PA",$Z$38,(IF(BK46="AG",$AE$38,(IF(BK46="AV",$AJ$38,0)))))))))</f>
        <v>0</v>
      </c>
      <c r="CO46" s="2">
        <f t="shared" ref="CO46:CS46" si="73">IF(BL46="MA",$P$38,(IF(BL46="ST",$U$38,(IF(BL46="PA",$Z$38,(IF(BL46="AG",$AE$38,(IF(BL46="AV",$AJ$38,0)))))))))</f>
        <v>0</v>
      </c>
      <c r="CP46" s="2">
        <f t="shared" si="73"/>
        <v>0</v>
      </c>
      <c r="CQ46" s="2">
        <f t="shared" si="73"/>
        <v>0</v>
      </c>
      <c r="CR46" s="2">
        <f t="shared" si="73"/>
        <v>0</v>
      </c>
      <c r="CS46" s="2">
        <f t="shared" si="73"/>
        <v>0</v>
      </c>
      <c r="CT46" s="2"/>
      <c r="CU46" s="2">
        <f t="shared" ref="CU46:CU61" si="74">IF(BS46="P",6,IF(BS46="S",12,IF(BS46="STAT",18,0)))</f>
        <v>0</v>
      </c>
      <c r="CV46" s="2">
        <f t="shared" ref="CV46:CV61" si="75">IF(BT46="P",8,IF(BT46="S",14,IF(BT46="STAT",20,0)))</f>
        <v>0</v>
      </c>
      <c r="CW46" s="2">
        <f t="shared" ref="CW46:CW61" si="76">IF(BU46="P",12,IF(BU46="S",18,IF(BU46="STAT",24,0)))</f>
        <v>0</v>
      </c>
      <c r="CX46" s="2">
        <f>IF(BV46="P",16,IF(BV46="S",22,IF(BV46="STAT",28,0)))</f>
        <v>0</v>
      </c>
      <c r="CY46" s="2">
        <f>IF(BW46="P",20,IF(BW46="S",26,IF(BW46="STAT",32,0)))</f>
        <v>0</v>
      </c>
      <c r="CZ46" s="2">
        <f>IF(BX46="P",30,IF(BX46="S",40,IF(BX46="STAT",50,0)))</f>
        <v>0</v>
      </c>
    </row>
    <row r="47" spans="1:104" ht="18" hidden="1"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f>2-(COUNTIF(J18:J19,0))</f>
        <v>0</v>
      </c>
      <c r="AS47" s="10"/>
      <c r="AT47" s="10"/>
      <c r="AU47" s="10"/>
      <c r="AV47" s="10">
        <f t="shared" si="53"/>
        <v>0</v>
      </c>
      <c r="AW47" s="10"/>
      <c r="AX47" s="2">
        <f t="shared" si="54"/>
        <v>0</v>
      </c>
      <c r="AY47" s="2">
        <f>IFERROR((VLOOKUP($BO$1&amp;C3,TeamsBB2020!D:S,12,0)),0)</f>
        <v>0</v>
      </c>
      <c r="AZ47" s="2">
        <f>IFERROR((VLOOKUP($BO$1&amp;C3,TeamsBB2020!D:S,13,0)),0)</f>
        <v>0</v>
      </c>
      <c r="BA47" s="2">
        <f>IFERROR((VLOOKUP($BO$1&amp;C3,TeamsBB2020!D:S,14,0)),0)</f>
        <v>0</v>
      </c>
      <c r="BB47" s="2">
        <f>IFERROR((VLOOKUP($BO$1&amp;C3,TeamsBB2020!D:S,15,0)),0)</f>
        <v>0</v>
      </c>
      <c r="BC47" s="2">
        <f>IFERROR((VLOOKUP($BO$1&amp;C3,TeamsBB2020!D:S,16,0)),0)</f>
        <v>0</v>
      </c>
      <c r="BD47" s="2">
        <f t="shared" ref="BD47:BD61" si="77">IF($P$38="NO",0,$P$38)</f>
        <v>0</v>
      </c>
      <c r="BE47" s="2">
        <f t="shared" si="55"/>
        <v>0</v>
      </c>
      <c r="BF47" s="2">
        <f t="shared" si="56"/>
        <v>0</v>
      </c>
      <c r="BG47" s="2">
        <f t="shared" si="57"/>
        <v>0</v>
      </c>
      <c r="BH47" s="2">
        <f t="shared" si="58"/>
        <v>0</v>
      </c>
      <c r="BI47" s="2">
        <f t="shared" si="59"/>
        <v>0</v>
      </c>
      <c r="BK47" s="2">
        <f t="shared" ref="BK47:BK61" si="78">IF(AE3="",0,(VLOOKUP(AE3,$CC$64:$CD$164,2,0)))</f>
        <v>0</v>
      </c>
      <c r="BL47" s="2">
        <f t="shared" ref="BL47:BL61" si="79">IF(AI3="",0,(VLOOKUP(AI3,$CC$64:$CD$164,2,0)))</f>
        <v>0</v>
      </c>
      <c r="BM47" s="2"/>
      <c r="BN47" s="2"/>
      <c r="BO47" s="2"/>
      <c r="BP47" s="2"/>
      <c r="BS47" s="2">
        <f t="shared" si="60"/>
        <v>0</v>
      </c>
      <c r="BT47" s="2">
        <f t="shared" si="61"/>
        <v>0</v>
      </c>
      <c r="BU47" s="2">
        <f t="shared" si="62"/>
        <v>0</v>
      </c>
      <c r="BV47" s="2">
        <f t="shared" si="63"/>
        <v>0</v>
      </c>
      <c r="BW47" s="2">
        <f t="shared" si="64"/>
        <v>0</v>
      </c>
      <c r="BX47" s="2">
        <f t="shared" si="65"/>
        <v>0</v>
      </c>
      <c r="BY47" s="2"/>
      <c r="BZ47" s="2">
        <f t="shared" si="66"/>
        <v>0</v>
      </c>
      <c r="CA47" s="2">
        <f t="shared" si="67"/>
        <v>0</v>
      </c>
      <c r="CB47" s="2">
        <f t="shared" si="68"/>
        <v>0</v>
      </c>
      <c r="CC47" s="2">
        <f t="shared" si="69"/>
        <v>0</v>
      </c>
      <c r="CD47" s="2">
        <f t="shared" si="70"/>
        <v>0</v>
      </c>
      <c r="CE47" s="2">
        <f t="shared" si="71"/>
        <v>0</v>
      </c>
      <c r="CF47" s="2"/>
      <c r="CG47" s="2">
        <f t="shared" ref="CG47:CL47" si="80">IF(BS47="P",$C$38,(IF(BS47="S",$K$38,0)))</f>
        <v>0</v>
      </c>
      <c r="CH47" s="2">
        <f t="shared" si="80"/>
        <v>0</v>
      </c>
      <c r="CI47" s="2">
        <f t="shared" si="80"/>
        <v>0</v>
      </c>
      <c r="CJ47" s="2">
        <f t="shared" si="80"/>
        <v>0</v>
      </c>
      <c r="CK47" s="2">
        <f t="shared" si="80"/>
        <v>0</v>
      </c>
      <c r="CL47" s="2">
        <f t="shared" si="80"/>
        <v>0</v>
      </c>
      <c r="CM47" s="2"/>
      <c r="CN47" s="2">
        <f t="shared" ref="CN47:CN61" si="81">IF(BK47="MA",$P$38,(IF(BK47="ST",$U$38,(IF(BK47="PA",$Z$38,(IF(BK47="AG",$AE$38,(IF(BK47="AV",$AJ$38,0)))))))))</f>
        <v>0</v>
      </c>
      <c r="CO47" s="2">
        <f t="shared" ref="CO47:CO61" si="82">IF(BL47="MA",$P$38,(IF(BL47="ST",$U$38,(IF(BL47="PA",$Z$38,(IF(BL47="AG",$AE$38,(IF(BL47="AV",$AJ$38,0)))))))))</f>
        <v>0</v>
      </c>
      <c r="CP47" s="2">
        <f t="shared" ref="CP47:CP61" si="83">IF(BM47="MA",$P$38,(IF(BM47="ST",$U$38,(IF(BM47="PA",$Z$38,(IF(BM47="AG",$AE$38,(IF(BM47="AV",$AJ$38,0)))))))))</f>
        <v>0</v>
      </c>
      <c r="CQ47" s="2">
        <f t="shared" ref="CQ47:CQ61" si="84">IF(BN47="MA",$P$38,(IF(BN47="ST",$U$38,(IF(BN47="PA",$Z$38,(IF(BN47="AG",$AE$38,(IF(BN47="AV",$AJ$38,0)))))))))</f>
        <v>0</v>
      </c>
      <c r="CR47" s="2">
        <f t="shared" ref="CR47:CR61" si="85">IF(BO47="MA",$P$38,(IF(BO47="ST",$U$38,(IF(BO47="PA",$Z$38,(IF(BO47="AG",$AE$38,(IF(BO47="AV",$AJ$38,0)))))))))</f>
        <v>0</v>
      </c>
      <c r="CS47" s="2">
        <f t="shared" ref="CS47:CS61" si="86">IF(BP47="MA",$P$38,(IF(BP47="ST",$U$38,(IF(BP47="PA",$Z$38,(IF(BP47="AG",$AE$38,(IF(BP47="AV",$AJ$38,0)))))))))</f>
        <v>0</v>
      </c>
      <c r="CT47" s="2"/>
      <c r="CU47" s="2">
        <f t="shared" si="74"/>
        <v>0</v>
      </c>
      <c r="CV47" s="2">
        <f t="shared" si="75"/>
        <v>0</v>
      </c>
      <c r="CW47" s="2">
        <f t="shared" si="76"/>
        <v>0</v>
      </c>
      <c r="CX47" s="2">
        <f t="shared" ref="CX47:CX61" si="87">IF(BV47="P",16,IF(BV47="S",22,IF(BV47="STAT",28,0)))</f>
        <v>0</v>
      </c>
      <c r="CY47" s="2">
        <f t="shared" ref="CY47:CY61" si="88">IF(BW47="P",20,IF(BW47="S",26,IF(BW47="STAT",32,0)))</f>
        <v>0</v>
      </c>
      <c r="CZ47" s="2">
        <f t="shared" ref="CZ47:CZ61" si="89">IF(AND(BX47="P",CE47="Random"),15,IF(AND(BX47="P",CE47="Chosen"),30,IF(AND(BX47="S",CE47="Random"),30,IF(AND(BX47="S",CE47="Chosen"),40,IF(OR(BX47="STAT"),50,0)))))</f>
        <v>0</v>
      </c>
    </row>
    <row r="48" spans="1:104" ht="18" hidden="1"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S48" s="10"/>
      <c r="AT48" s="10"/>
      <c r="AU48" s="10"/>
      <c r="AV48" s="10">
        <f t="shared" si="53"/>
        <v>0</v>
      </c>
      <c r="AW48" s="10"/>
      <c r="AX48" s="2">
        <f t="shared" si="54"/>
        <v>0</v>
      </c>
      <c r="AY48" s="2">
        <f>IFERROR((VLOOKUP($BO$1&amp;C4,TeamsBB2020!D:S,12,0)),0)</f>
        <v>0</v>
      </c>
      <c r="AZ48" s="2">
        <f>IFERROR((VLOOKUP($BO$1&amp;C4,TeamsBB2020!D:S,13,0)),0)</f>
        <v>0</v>
      </c>
      <c r="BA48" s="2">
        <f>IFERROR((VLOOKUP($BO$1&amp;C4,TeamsBB2020!D:S,14,0)),0)</f>
        <v>0</v>
      </c>
      <c r="BB48" s="2">
        <f>IFERROR((VLOOKUP($BO$1&amp;C4,TeamsBB2020!D:S,15,0)),0)</f>
        <v>0</v>
      </c>
      <c r="BC48" s="2">
        <f>IFERROR((VLOOKUP($BO$1&amp;C4,TeamsBB2020!D:S,16,0)),0)</f>
        <v>0</v>
      </c>
      <c r="BD48" s="2">
        <f t="shared" si="77"/>
        <v>0</v>
      </c>
      <c r="BE48" s="2">
        <f t="shared" si="55"/>
        <v>0</v>
      </c>
      <c r="BF48" s="2">
        <f t="shared" si="56"/>
        <v>0</v>
      </c>
      <c r="BG48" s="2">
        <f t="shared" si="57"/>
        <v>0</v>
      </c>
      <c r="BH48" s="2">
        <f t="shared" si="58"/>
        <v>0</v>
      </c>
      <c r="BI48" s="2">
        <f t="shared" si="59"/>
        <v>0</v>
      </c>
      <c r="BK48" s="2">
        <f t="shared" si="78"/>
        <v>0</v>
      </c>
      <c r="BL48" s="2">
        <f t="shared" si="79"/>
        <v>0</v>
      </c>
      <c r="BM48" s="2"/>
      <c r="BN48" s="2"/>
      <c r="BO48" s="2"/>
      <c r="BP48" s="2"/>
      <c r="BS48" s="2">
        <f t="shared" si="60"/>
        <v>0</v>
      </c>
      <c r="BT48" s="2">
        <f t="shared" si="61"/>
        <v>0</v>
      </c>
      <c r="BU48" s="2">
        <f t="shared" si="62"/>
        <v>0</v>
      </c>
      <c r="BV48" s="2">
        <f t="shared" si="63"/>
        <v>0</v>
      </c>
      <c r="BW48" s="2">
        <f t="shared" si="64"/>
        <v>0</v>
      </c>
      <c r="BX48" s="2">
        <f t="shared" si="65"/>
        <v>0</v>
      </c>
      <c r="BY48" s="2"/>
      <c r="BZ48" s="2">
        <f t="shared" si="66"/>
        <v>0</v>
      </c>
      <c r="CA48" s="2">
        <f t="shared" si="67"/>
        <v>0</v>
      </c>
      <c r="CB48" s="2">
        <f t="shared" si="68"/>
        <v>0</v>
      </c>
      <c r="CC48" s="2">
        <f t="shared" si="69"/>
        <v>0</v>
      </c>
      <c r="CD48" s="2">
        <f t="shared" si="70"/>
        <v>0</v>
      </c>
      <c r="CE48" s="2">
        <f t="shared" si="71"/>
        <v>0</v>
      </c>
      <c r="CF48" s="2"/>
      <c r="CG48" s="2">
        <f t="shared" ref="CG48:CL48" si="90">IF(BS48="P",$C$38,(IF(BS48="S",$K$38,0)))</f>
        <v>0</v>
      </c>
      <c r="CH48" s="2">
        <f t="shared" si="90"/>
        <v>0</v>
      </c>
      <c r="CI48" s="2">
        <f t="shared" si="90"/>
        <v>0</v>
      </c>
      <c r="CJ48" s="2">
        <f t="shared" si="90"/>
        <v>0</v>
      </c>
      <c r="CK48" s="2">
        <f t="shared" si="90"/>
        <v>0</v>
      </c>
      <c r="CL48" s="2">
        <f t="shared" si="90"/>
        <v>0</v>
      </c>
      <c r="CM48" s="2"/>
      <c r="CN48" s="2">
        <f t="shared" si="81"/>
        <v>0</v>
      </c>
      <c r="CO48" s="2">
        <f t="shared" si="82"/>
        <v>0</v>
      </c>
      <c r="CP48" s="2">
        <f t="shared" si="83"/>
        <v>0</v>
      </c>
      <c r="CQ48" s="2">
        <f t="shared" si="84"/>
        <v>0</v>
      </c>
      <c r="CR48" s="2">
        <f t="shared" si="85"/>
        <v>0</v>
      </c>
      <c r="CS48" s="2">
        <f t="shared" si="86"/>
        <v>0</v>
      </c>
      <c r="CT48" s="2"/>
      <c r="CU48" s="2">
        <f t="shared" si="74"/>
        <v>0</v>
      </c>
      <c r="CV48" s="2">
        <f t="shared" si="75"/>
        <v>0</v>
      </c>
      <c r="CW48" s="2">
        <f t="shared" si="76"/>
        <v>0</v>
      </c>
      <c r="CX48" s="2">
        <f t="shared" si="87"/>
        <v>0</v>
      </c>
      <c r="CY48" s="2">
        <f t="shared" si="88"/>
        <v>0</v>
      </c>
      <c r="CZ48" s="2">
        <f t="shared" si="89"/>
        <v>0</v>
      </c>
    </row>
    <row r="49" spans="2:104" ht="18" hidden="1" customHeight="1" x14ac:dyDescent="0.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S49" s="10"/>
      <c r="AT49" s="10"/>
      <c r="AU49" s="10"/>
      <c r="AV49" s="10">
        <f t="shared" si="53"/>
        <v>0</v>
      </c>
      <c r="AW49" s="10"/>
      <c r="AX49" s="2">
        <f t="shared" si="54"/>
        <v>0</v>
      </c>
      <c r="AY49" s="2">
        <f>IFERROR((VLOOKUP($BO$1&amp;C5,TeamsBB2020!D:S,12,0)),0)</f>
        <v>0</v>
      </c>
      <c r="AZ49" s="2">
        <f>IFERROR((VLOOKUP($BO$1&amp;C5,TeamsBB2020!D:S,13,0)),0)</f>
        <v>0</v>
      </c>
      <c r="BA49" s="2">
        <f>IFERROR((VLOOKUP($BO$1&amp;C5,TeamsBB2020!D:S,14,0)),0)</f>
        <v>0</v>
      </c>
      <c r="BB49" s="2">
        <f>IFERROR((VLOOKUP($BO$1&amp;C5,TeamsBB2020!D:S,15,0)),0)</f>
        <v>0</v>
      </c>
      <c r="BC49" s="2">
        <f>IFERROR((VLOOKUP($BO$1&amp;C5,TeamsBB2020!D:S,16,0)),0)</f>
        <v>0</v>
      </c>
      <c r="BD49" s="2">
        <f t="shared" si="77"/>
        <v>0</v>
      </c>
      <c r="BE49" s="2">
        <f t="shared" si="55"/>
        <v>0</v>
      </c>
      <c r="BF49" s="2">
        <f t="shared" si="56"/>
        <v>0</v>
      </c>
      <c r="BG49" s="2">
        <f t="shared" si="57"/>
        <v>0</v>
      </c>
      <c r="BH49" s="2">
        <f t="shared" si="58"/>
        <v>0</v>
      </c>
      <c r="BI49" s="2">
        <f t="shared" si="59"/>
        <v>0</v>
      </c>
      <c r="BK49" s="2">
        <f t="shared" si="78"/>
        <v>0</v>
      </c>
      <c r="BL49" s="2">
        <f t="shared" si="79"/>
        <v>0</v>
      </c>
      <c r="BM49" s="2"/>
      <c r="BN49" s="2"/>
      <c r="BO49" s="2"/>
      <c r="BP49" s="2"/>
      <c r="BS49" s="2">
        <f t="shared" si="60"/>
        <v>0</v>
      </c>
      <c r="BT49" s="2">
        <f t="shared" si="61"/>
        <v>0</v>
      </c>
      <c r="BU49" s="2">
        <f t="shared" si="62"/>
        <v>0</v>
      </c>
      <c r="BV49" s="2">
        <f t="shared" si="63"/>
        <v>0</v>
      </c>
      <c r="BW49" s="2">
        <f t="shared" si="64"/>
        <v>0</v>
      </c>
      <c r="BX49" s="2">
        <f t="shared" si="65"/>
        <v>0</v>
      </c>
      <c r="BY49" s="2"/>
      <c r="BZ49" s="2">
        <f t="shared" si="66"/>
        <v>0</v>
      </c>
      <c r="CA49" s="2">
        <f t="shared" si="67"/>
        <v>0</v>
      </c>
      <c r="CB49" s="2">
        <f t="shared" si="68"/>
        <v>0</v>
      </c>
      <c r="CC49" s="2">
        <f t="shared" si="69"/>
        <v>0</v>
      </c>
      <c r="CD49" s="2">
        <f t="shared" si="70"/>
        <v>0</v>
      </c>
      <c r="CE49" s="2">
        <f t="shared" si="71"/>
        <v>0</v>
      </c>
      <c r="CF49" s="2"/>
      <c r="CG49" s="2">
        <f t="shared" ref="CG49:CL49" si="91">IF(BS49="P",$C$38,(IF(BS49="S",$K$38,0)))</f>
        <v>0</v>
      </c>
      <c r="CH49" s="2">
        <f t="shared" si="91"/>
        <v>0</v>
      </c>
      <c r="CI49" s="2">
        <f t="shared" si="91"/>
        <v>0</v>
      </c>
      <c r="CJ49" s="2">
        <f t="shared" si="91"/>
        <v>0</v>
      </c>
      <c r="CK49" s="2">
        <f t="shared" si="91"/>
        <v>0</v>
      </c>
      <c r="CL49" s="2">
        <f t="shared" si="91"/>
        <v>0</v>
      </c>
      <c r="CM49" s="2"/>
      <c r="CN49" s="2">
        <f t="shared" si="81"/>
        <v>0</v>
      </c>
      <c r="CO49" s="2">
        <f t="shared" si="82"/>
        <v>0</v>
      </c>
      <c r="CP49" s="2">
        <f t="shared" si="83"/>
        <v>0</v>
      </c>
      <c r="CQ49" s="2">
        <f t="shared" si="84"/>
        <v>0</v>
      </c>
      <c r="CR49" s="2">
        <f t="shared" si="85"/>
        <v>0</v>
      </c>
      <c r="CS49" s="2">
        <f t="shared" si="86"/>
        <v>0</v>
      </c>
      <c r="CT49" s="2"/>
      <c r="CU49" s="2">
        <f t="shared" si="74"/>
        <v>0</v>
      </c>
      <c r="CV49" s="2">
        <f t="shared" si="75"/>
        <v>0</v>
      </c>
      <c r="CW49" s="2">
        <f t="shared" si="76"/>
        <v>0</v>
      </c>
      <c r="CX49" s="2">
        <f t="shared" si="87"/>
        <v>0</v>
      </c>
      <c r="CY49" s="2">
        <f t="shared" si="88"/>
        <v>0</v>
      </c>
      <c r="CZ49" s="2">
        <f t="shared" si="89"/>
        <v>0</v>
      </c>
    </row>
    <row r="50" spans="2:104" ht="18" hidden="1" customHeight="1" x14ac:dyDescent="0.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S50" s="10"/>
      <c r="AT50" s="10"/>
      <c r="AU50" s="10"/>
      <c r="AV50" s="10">
        <f t="shared" si="53"/>
        <v>0</v>
      </c>
      <c r="AW50" s="10"/>
      <c r="AX50" s="2">
        <f t="shared" si="54"/>
        <v>0</v>
      </c>
      <c r="AY50" s="2">
        <f>IFERROR((VLOOKUP($BO$1&amp;C6,TeamsBB2020!D:S,12,0)),0)</f>
        <v>0</v>
      </c>
      <c r="AZ50" s="2">
        <f>IFERROR((VLOOKUP($BO$1&amp;C6,TeamsBB2020!D:S,13,0)),0)</f>
        <v>0</v>
      </c>
      <c r="BA50" s="2">
        <f>IFERROR((VLOOKUP($BO$1&amp;C6,TeamsBB2020!D:S,14,0)),0)</f>
        <v>0</v>
      </c>
      <c r="BB50" s="2">
        <f>IFERROR((VLOOKUP($BO$1&amp;C6,TeamsBB2020!D:S,15,0)),0)</f>
        <v>0</v>
      </c>
      <c r="BC50" s="2">
        <f>IFERROR((VLOOKUP($BO$1&amp;C6,TeamsBB2020!D:S,16,0)),0)</f>
        <v>0</v>
      </c>
      <c r="BD50" s="2">
        <f t="shared" si="77"/>
        <v>0</v>
      </c>
      <c r="BE50" s="2">
        <f t="shared" si="55"/>
        <v>0</v>
      </c>
      <c r="BF50" s="2">
        <f t="shared" si="56"/>
        <v>0</v>
      </c>
      <c r="BG50" s="2">
        <f t="shared" si="57"/>
        <v>0</v>
      </c>
      <c r="BH50" s="2">
        <f t="shared" si="58"/>
        <v>0</v>
      </c>
      <c r="BI50" s="2">
        <f t="shared" si="59"/>
        <v>0</v>
      </c>
      <c r="BK50" s="2">
        <f t="shared" si="78"/>
        <v>0</v>
      </c>
      <c r="BL50" s="2">
        <f t="shared" si="79"/>
        <v>0</v>
      </c>
      <c r="BM50" s="2"/>
      <c r="BN50" s="2"/>
      <c r="BO50" s="2"/>
      <c r="BP50" s="2"/>
      <c r="BS50" s="2">
        <f t="shared" si="60"/>
        <v>0</v>
      </c>
      <c r="BT50" s="2">
        <f t="shared" si="61"/>
        <v>0</v>
      </c>
      <c r="BU50" s="2">
        <f t="shared" si="62"/>
        <v>0</v>
      </c>
      <c r="BV50" s="2">
        <f t="shared" si="63"/>
        <v>0</v>
      </c>
      <c r="BW50" s="2">
        <f t="shared" si="64"/>
        <v>0</v>
      </c>
      <c r="BX50" s="2">
        <f t="shared" si="65"/>
        <v>0</v>
      </c>
      <c r="BY50" s="2"/>
      <c r="BZ50" s="2">
        <f t="shared" si="66"/>
        <v>0</v>
      </c>
      <c r="CA50" s="2">
        <f t="shared" si="67"/>
        <v>0</v>
      </c>
      <c r="CB50" s="2">
        <f t="shared" si="68"/>
        <v>0</v>
      </c>
      <c r="CC50" s="2">
        <f t="shared" si="69"/>
        <v>0</v>
      </c>
      <c r="CD50" s="2">
        <f t="shared" si="70"/>
        <v>0</v>
      </c>
      <c r="CE50" s="2">
        <f t="shared" si="71"/>
        <v>0</v>
      </c>
      <c r="CF50" s="2"/>
      <c r="CG50" s="2">
        <f t="shared" ref="CG50:CL50" si="92">IF(BS50="P",$C$38,(IF(BS50="S",$K$38,0)))</f>
        <v>0</v>
      </c>
      <c r="CH50" s="2">
        <f t="shared" si="92"/>
        <v>0</v>
      </c>
      <c r="CI50" s="2">
        <f t="shared" si="92"/>
        <v>0</v>
      </c>
      <c r="CJ50" s="2">
        <f t="shared" si="92"/>
        <v>0</v>
      </c>
      <c r="CK50" s="2">
        <f t="shared" si="92"/>
        <v>0</v>
      </c>
      <c r="CL50" s="2">
        <f t="shared" si="92"/>
        <v>0</v>
      </c>
      <c r="CM50" s="2"/>
      <c r="CN50" s="2">
        <f t="shared" si="81"/>
        <v>0</v>
      </c>
      <c r="CO50" s="2">
        <f t="shared" si="82"/>
        <v>0</v>
      </c>
      <c r="CP50" s="2">
        <f t="shared" si="83"/>
        <v>0</v>
      </c>
      <c r="CQ50" s="2">
        <f t="shared" si="84"/>
        <v>0</v>
      </c>
      <c r="CR50" s="2">
        <f t="shared" si="85"/>
        <v>0</v>
      </c>
      <c r="CS50" s="2">
        <f t="shared" si="86"/>
        <v>0</v>
      </c>
      <c r="CT50" s="2"/>
      <c r="CU50" s="2">
        <f t="shared" si="74"/>
        <v>0</v>
      </c>
      <c r="CV50" s="2">
        <f t="shared" si="75"/>
        <v>0</v>
      </c>
      <c r="CW50" s="2">
        <f t="shared" si="76"/>
        <v>0</v>
      </c>
      <c r="CX50" s="2">
        <f t="shared" si="87"/>
        <v>0</v>
      </c>
      <c r="CY50" s="2">
        <f t="shared" si="88"/>
        <v>0</v>
      </c>
      <c r="CZ50" s="2">
        <f t="shared" si="89"/>
        <v>0</v>
      </c>
    </row>
    <row r="51" spans="2:104" ht="18" hidden="1" customHeight="1" x14ac:dyDescent="0.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S51" s="10"/>
      <c r="AT51" s="10"/>
      <c r="AU51" s="10"/>
      <c r="AV51" s="10">
        <f t="shared" si="53"/>
        <v>0</v>
      </c>
      <c r="AW51" s="10"/>
      <c r="AX51" s="2">
        <f t="shared" si="54"/>
        <v>0</v>
      </c>
      <c r="AY51" s="2">
        <f>IFERROR((VLOOKUP($BO$1&amp;C7,TeamsBB2020!D:S,12,0)),0)</f>
        <v>0</v>
      </c>
      <c r="AZ51" s="2">
        <f>IFERROR((VLOOKUP($BO$1&amp;C7,TeamsBB2020!D:S,13,0)),0)</f>
        <v>0</v>
      </c>
      <c r="BA51" s="2">
        <f>IFERROR((VLOOKUP($BO$1&amp;C7,TeamsBB2020!D:S,14,0)),0)</f>
        <v>0</v>
      </c>
      <c r="BB51" s="2">
        <f>IFERROR((VLOOKUP($BO$1&amp;C7,TeamsBB2020!D:S,15,0)),0)</f>
        <v>0</v>
      </c>
      <c r="BC51" s="2">
        <f>IFERROR((VLOOKUP($BO$1&amp;C7,TeamsBB2020!D:S,16,0)),0)</f>
        <v>0</v>
      </c>
      <c r="BD51" s="2">
        <f t="shared" si="77"/>
        <v>0</v>
      </c>
      <c r="BE51" s="2">
        <f t="shared" si="55"/>
        <v>0</v>
      </c>
      <c r="BF51" s="2">
        <f t="shared" si="56"/>
        <v>0</v>
      </c>
      <c r="BG51" s="2">
        <f t="shared" si="57"/>
        <v>0</v>
      </c>
      <c r="BH51" s="2">
        <f t="shared" si="58"/>
        <v>0</v>
      </c>
      <c r="BI51" s="2">
        <f>SUM(CG51:CS51)</f>
        <v>0</v>
      </c>
      <c r="BJ51" s="2"/>
      <c r="BK51" s="2">
        <f t="shared" si="78"/>
        <v>0</v>
      </c>
      <c r="BL51" s="2">
        <f t="shared" si="79"/>
        <v>0</v>
      </c>
      <c r="BM51" s="2"/>
      <c r="BN51" s="2"/>
      <c r="BO51" s="2"/>
      <c r="BP51" s="2"/>
      <c r="BS51" s="2">
        <f t="shared" si="60"/>
        <v>0</v>
      </c>
      <c r="BT51" s="2">
        <f>(IF(BL51="G",AY51,IF(BL51="A",AZ51,IF(BL51="S",BA51,IF(BL51="P",BB51,IF(BL51="M",BC51,IF(BL51="X",0,IF(OR(BL51="MA",BL51="AV",BL51="ST",BL51="PA",BL51="AG"),"STAT",0))))))))</f>
        <v>0</v>
      </c>
      <c r="BU51" s="2">
        <f t="shared" si="62"/>
        <v>0</v>
      </c>
      <c r="BV51" s="2">
        <f t="shared" si="63"/>
        <v>0</v>
      </c>
      <c r="BW51" s="2">
        <f t="shared" si="64"/>
        <v>0</v>
      </c>
      <c r="BX51" s="2">
        <f t="shared" si="65"/>
        <v>0</v>
      </c>
      <c r="BY51" s="2"/>
      <c r="BZ51" s="2">
        <f t="shared" si="66"/>
        <v>0</v>
      </c>
      <c r="CA51" s="2">
        <f t="shared" si="67"/>
        <v>0</v>
      </c>
      <c r="CB51" s="2">
        <f t="shared" si="68"/>
        <v>0</v>
      </c>
      <c r="CC51" s="2">
        <f t="shared" si="69"/>
        <v>0</v>
      </c>
      <c r="CD51" s="2">
        <f t="shared" si="70"/>
        <v>0</v>
      </c>
      <c r="CE51" s="2">
        <f t="shared" si="71"/>
        <v>0</v>
      </c>
      <c r="CF51" s="2"/>
      <c r="CG51" s="2">
        <f t="shared" ref="CG51:CL51" si="93">IF(BS51="P",$C$38,(IF(BS51="S",$K$38,0)))</f>
        <v>0</v>
      </c>
      <c r="CH51" s="2">
        <f t="shared" si="93"/>
        <v>0</v>
      </c>
      <c r="CI51" s="2">
        <f t="shared" si="93"/>
        <v>0</v>
      </c>
      <c r="CJ51" s="2">
        <f t="shared" si="93"/>
        <v>0</v>
      </c>
      <c r="CK51" s="2">
        <f t="shared" si="93"/>
        <v>0</v>
      </c>
      <c r="CL51" s="2">
        <f t="shared" si="93"/>
        <v>0</v>
      </c>
      <c r="CM51" s="2"/>
      <c r="CN51" s="2">
        <f t="shared" si="81"/>
        <v>0</v>
      </c>
      <c r="CO51" s="2">
        <f t="shared" si="82"/>
        <v>0</v>
      </c>
      <c r="CP51" s="2">
        <f t="shared" si="83"/>
        <v>0</v>
      </c>
      <c r="CQ51" s="2">
        <f t="shared" si="84"/>
        <v>0</v>
      </c>
      <c r="CR51" s="2">
        <f t="shared" si="85"/>
        <v>0</v>
      </c>
      <c r="CS51" s="2">
        <f t="shared" si="86"/>
        <v>0</v>
      </c>
      <c r="CT51" s="2"/>
      <c r="CU51" s="2">
        <f>IF(BS51="P",6,IF(BS51="S",12,IF(BS51="STAT",18,0)))</f>
        <v>0</v>
      </c>
      <c r="CV51" s="2">
        <f>IF(BT51="P",8,IF(BT51="S",14,IF(BT51="STAT",20,0)))</f>
        <v>0</v>
      </c>
      <c r="CW51" s="2">
        <f t="shared" si="76"/>
        <v>0</v>
      </c>
      <c r="CX51" s="2">
        <f t="shared" si="87"/>
        <v>0</v>
      </c>
      <c r="CY51" s="2">
        <f t="shared" si="88"/>
        <v>0</v>
      </c>
      <c r="CZ51" s="2">
        <f t="shared" si="89"/>
        <v>0</v>
      </c>
    </row>
    <row r="52" spans="2:104" ht="18" hidden="1" customHeight="1" x14ac:dyDescent="0.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S52" s="10"/>
      <c r="AT52" s="10"/>
      <c r="AU52" s="10"/>
      <c r="AV52" s="10">
        <f t="shared" si="53"/>
        <v>0</v>
      </c>
      <c r="AW52" s="10"/>
      <c r="AX52" s="2">
        <f t="shared" si="54"/>
        <v>0</v>
      </c>
      <c r="AY52" s="2">
        <f>IFERROR((VLOOKUP($BO$1&amp;C8,TeamsBB2020!D:S,12,0)),0)</f>
        <v>0</v>
      </c>
      <c r="AZ52" s="2">
        <f>IFERROR((VLOOKUP($BO$1&amp;C8,TeamsBB2020!D:S,13,0)),0)</f>
        <v>0</v>
      </c>
      <c r="BA52" s="2">
        <f>IFERROR((VLOOKUP($BO$1&amp;C8,TeamsBB2020!D:S,14,0)),0)</f>
        <v>0</v>
      </c>
      <c r="BB52" s="2">
        <f>IFERROR((VLOOKUP($BO$1&amp;C8,TeamsBB2020!D:S,15,0)),0)</f>
        <v>0</v>
      </c>
      <c r="BC52" s="2">
        <f>IFERROR((VLOOKUP($BO$1&amp;C8,TeamsBB2020!D:S,16,0)),0)</f>
        <v>0</v>
      </c>
      <c r="BD52" s="2">
        <f t="shared" si="77"/>
        <v>0</v>
      </c>
      <c r="BE52" s="2">
        <f t="shared" si="55"/>
        <v>0</v>
      </c>
      <c r="BF52" s="2">
        <f t="shared" si="56"/>
        <v>0</v>
      </c>
      <c r="BG52" s="2">
        <f t="shared" si="57"/>
        <v>0</v>
      </c>
      <c r="BH52" s="2">
        <f t="shared" si="58"/>
        <v>0</v>
      </c>
      <c r="BI52" s="2">
        <f t="shared" si="59"/>
        <v>0</v>
      </c>
      <c r="BJ52" s="2"/>
      <c r="BK52" s="2">
        <f t="shared" si="78"/>
        <v>0</v>
      </c>
      <c r="BL52" s="2">
        <f t="shared" si="79"/>
        <v>0</v>
      </c>
      <c r="BM52" s="2"/>
      <c r="BN52" s="2"/>
      <c r="BO52" s="2"/>
      <c r="BP52" s="2"/>
      <c r="BS52" s="2">
        <f t="shared" si="60"/>
        <v>0</v>
      </c>
      <c r="BT52" s="2">
        <f t="shared" si="61"/>
        <v>0</v>
      </c>
      <c r="BU52" s="2">
        <f t="shared" si="62"/>
        <v>0</v>
      </c>
      <c r="BV52" s="2">
        <f t="shared" si="63"/>
        <v>0</v>
      </c>
      <c r="BW52" s="2">
        <f t="shared" si="64"/>
        <v>0</v>
      </c>
      <c r="BX52" s="2">
        <f t="shared" si="65"/>
        <v>0</v>
      </c>
      <c r="BY52" s="2"/>
      <c r="BZ52" s="2">
        <f t="shared" si="66"/>
        <v>0</v>
      </c>
      <c r="CA52" s="2">
        <f t="shared" si="67"/>
        <v>0</v>
      </c>
      <c r="CB52" s="2">
        <f t="shared" si="68"/>
        <v>0</v>
      </c>
      <c r="CC52" s="2">
        <f t="shared" si="69"/>
        <v>0</v>
      </c>
      <c r="CD52" s="2">
        <f t="shared" si="70"/>
        <v>0</v>
      </c>
      <c r="CE52" s="2">
        <f t="shared" si="71"/>
        <v>0</v>
      </c>
      <c r="CF52" s="2"/>
      <c r="CG52" s="2">
        <f t="shared" ref="CG52:CL52" si="94">IF(BS52="P",$C$38,(IF(BS52="S",$K$38,0)))</f>
        <v>0</v>
      </c>
      <c r="CH52" s="2">
        <f t="shared" si="94"/>
        <v>0</v>
      </c>
      <c r="CI52" s="2">
        <f t="shared" si="94"/>
        <v>0</v>
      </c>
      <c r="CJ52" s="2">
        <f t="shared" si="94"/>
        <v>0</v>
      </c>
      <c r="CK52" s="2">
        <f t="shared" si="94"/>
        <v>0</v>
      </c>
      <c r="CL52" s="2">
        <f t="shared" si="94"/>
        <v>0</v>
      </c>
      <c r="CM52" s="2"/>
      <c r="CN52" s="2">
        <f t="shared" si="81"/>
        <v>0</v>
      </c>
      <c r="CO52" s="2">
        <f t="shared" si="82"/>
        <v>0</v>
      </c>
      <c r="CP52" s="2">
        <f t="shared" si="83"/>
        <v>0</v>
      </c>
      <c r="CQ52" s="2">
        <f t="shared" si="84"/>
        <v>0</v>
      </c>
      <c r="CR52" s="2">
        <f t="shared" si="85"/>
        <v>0</v>
      </c>
      <c r="CS52" s="2">
        <f t="shared" si="86"/>
        <v>0</v>
      </c>
      <c r="CT52" s="2"/>
      <c r="CU52" s="2">
        <f t="shared" si="74"/>
        <v>0</v>
      </c>
      <c r="CV52" s="2">
        <f t="shared" si="75"/>
        <v>0</v>
      </c>
      <c r="CW52" s="2">
        <f t="shared" si="76"/>
        <v>0</v>
      </c>
      <c r="CX52" s="2">
        <f t="shared" si="87"/>
        <v>0</v>
      </c>
      <c r="CY52" s="2">
        <f t="shared" si="88"/>
        <v>0</v>
      </c>
      <c r="CZ52" s="2">
        <f t="shared" si="89"/>
        <v>0</v>
      </c>
    </row>
    <row r="53" spans="2:104" ht="18" hidden="1" customHeight="1" x14ac:dyDescent="0.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10"/>
      <c r="AS53" s="10"/>
      <c r="AT53" s="10"/>
      <c r="AU53" s="10"/>
      <c r="AV53" s="10">
        <f t="shared" si="53"/>
        <v>0</v>
      </c>
      <c r="AW53" s="10"/>
      <c r="AX53" s="2">
        <f t="shared" si="54"/>
        <v>0</v>
      </c>
      <c r="AY53" s="2">
        <f>IFERROR((VLOOKUP($BO$1&amp;C9,TeamsBB2020!D:S,12,0)),0)</f>
        <v>0</v>
      </c>
      <c r="AZ53" s="2">
        <f>IFERROR((VLOOKUP($BO$1&amp;C9,TeamsBB2020!D:S,13,0)),0)</f>
        <v>0</v>
      </c>
      <c r="BA53" s="2">
        <f>IFERROR((VLOOKUP($BO$1&amp;C9,TeamsBB2020!D:S,14,0)),0)</f>
        <v>0</v>
      </c>
      <c r="BB53" s="2">
        <f>IFERROR((VLOOKUP($BO$1&amp;C9,TeamsBB2020!D:S,15,0)),0)</f>
        <v>0</v>
      </c>
      <c r="BC53" s="2">
        <f>IFERROR((VLOOKUP($BO$1&amp;C9,TeamsBB2020!D:S,16,0)),0)</f>
        <v>0</v>
      </c>
      <c r="BD53" s="2">
        <f t="shared" si="77"/>
        <v>0</v>
      </c>
      <c r="BE53" s="2">
        <f t="shared" si="55"/>
        <v>0</v>
      </c>
      <c r="BF53" s="2">
        <f t="shared" si="56"/>
        <v>0</v>
      </c>
      <c r="BG53" s="2">
        <f t="shared" si="57"/>
        <v>0</v>
      </c>
      <c r="BH53" s="2">
        <f t="shared" si="58"/>
        <v>0</v>
      </c>
      <c r="BI53" s="2">
        <f t="shared" si="59"/>
        <v>0</v>
      </c>
      <c r="BJ53" s="2"/>
      <c r="BK53" s="2">
        <f t="shared" si="78"/>
        <v>0</v>
      </c>
      <c r="BL53" s="2">
        <f t="shared" si="79"/>
        <v>0</v>
      </c>
      <c r="BM53" s="2"/>
      <c r="BN53" s="2"/>
      <c r="BO53" s="2"/>
      <c r="BP53" s="2"/>
      <c r="BS53" s="2">
        <f t="shared" si="60"/>
        <v>0</v>
      </c>
      <c r="BT53" s="2">
        <f t="shared" si="61"/>
        <v>0</v>
      </c>
      <c r="BU53" s="2">
        <f t="shared" si="62"/>
        <v>0</v>
      </c>
      <c r="BV53" s="2">
        <f t="shared" si="63"/>
        <v>0</v>
      </c>
      <c r="BW53" s="2">
        <f t="shared" si="64"/>
        <v>0</v>
      </c>
      <c r="BX53" s="2">
        <f t="shared" si="65"/>
        <v>0</v>
      </c>
      <c r="BY53" s="2"/>
      <c r="BZ53" s="2">
        <f t="shared" si="66"/>
        <v>0</v>
      </c>
      <c r="CA53" s="2">
        <f t="shared" si="67"/>
        <v>0</v>
      </c>
      <c r="CB53" s="2">
        <f t="shared" si="68"/>
        <v>0</v>
      </c>
      <c r="CC53" s="2">
        <f t="shared" si="69"/>
        <v>0</v>
      </c>
      <c r="CD53" s="2">
        <f t="shared" si="70"/>
        <v>0</v>
      </c>
      <c r="CE53" s="2">
        <f t="shared" si="71"/>
        <v>0</v>
      </c>
      <c r="CF53" s="2"/>
      <c r="CG53" s="2">
        <f t="shared" ref="CG53:CL53" si="95">IF(BS53="P",$C$38,(IF(BS53="S",$K$38,0)))</f>
        <v>0</v>
      </c>
      <c r="CH53" s="2">
        <f t="shared" si="95"/>
        <v>0</v>
      </c>
      <c r="CI53" s="2">
        <f t="shared" si="95"/>
        <v>0</v>
      </c>
      <c r="CJ53" s="2">
        <f t="shared" si="95"/>
        <v>0</v>
      </c>
      <c r="CK53" s="2">
        <f t="shared" si="95"/>
        <v>0</v>
      </c>
      <c r="CL53" s="2">
        <f t="shared" si="95"/>
        <v>0</v>
      </c>
      <c r="CM53" s="2"/>
      <c r="CN53" s="2">
        <f t="shared" si="81"/>
        <v>0</v>
      </c>
      <c r="CO53" s="2">
        <f t="shared" si="82"/>
        <v>0</v>
      </c>
      <c r="CP53" s="2">
        <f t="shared" si="83"/>
        <v>0</v>
      </c>
      <c r="CQ53" s="2">
        <f t="shared" si="84"/>
        <v>0</v>
      </c>
      <c r="CR53" s="2">
        <f t="shared" si="85"/>
        <v>0</v>
      </c>
      <c r="CS53" s="2">
        <f t="shared" si="86"/>
        <v>0</v>
      </c>
      <c r="CT53" s="2"/>
      <c r="CU53" s="2">
        <f t="shared" si="74"/>
        <v>0</v>
      </c>
      <c r="CV53" s="2">
        <f t="shared" si="75"/>
        <v>0</v>
      </c>
      <c r="CW53" s="2">
        <f t="shared" si="76"/>
        <v>0</v>
      </c>
      <c r="CX53" s="2">
        <f t="shared" si="87"/>
        <v>0</v>
      </c>
      <c r="CY53" s="2">
        <f t="shared" si="88"/>
        <v>0</v>
      </c>
      <c r="CZ53" s="2">
        <f t="shared" si="89"/>
        <v>0</v>
      </c>
    </row>
    <row r="54" spans="2:104" ht="18" hidden="1" customHeight="1" x14ac:dyDescent="0.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0"/>
      <c r="AS54" s="10"/>
      <c r="AT54" s="10"/>
      <c r="AU54" s="10"/>
      <c r="AV54" s="10">
        <f t="shared" si="53"/>
        <v>0</v>
      </c>
      <c r="AW54" s="10"/>
      <c r="AX54" s="2">
        <f t="shared" si="54"/>
        <v>0</v>
      </c>
      <c r="AY54" s="2">
        <f>IFERROR((VLOOKUP($BO$1&amp;C10,TeamsBB2020!D:S,12,0)),0)</f>
        <v>0</v>
      </c>
      <c r="AZ54" s="2">
        <f>IFERROR((VLOOKUP($BO$1&amp;C10,TeamsBB2020!D:S,13,0)),0)</f>
        <v>0</v>
      </c>
      <c r="BA54" s="2">
        <f>IFERROR((VLOOKUP($BO$1&amp;C10,TeamsBB2020!D:S,14,0)),0)</f>
        <v>0</v>
      </c>
      <c r="BB54" s="2">
        <f>IFERROR((VLOOKUP($BO$1&amp;C10,TeamsBB2020!D:S,15,0)),0)</f>
        <v>0</v>
      </c>
      <c r="BC54" s="2">
        <f>IFERROR((VLOOKUP($BO$1&amp;C10,TeamsBB2020!D:S,16,0)),0)</f>
        <v>0</v>
      </c>
      <c r="BD54" s="2">
        <f t="shared" si="77"/>
        <v>0</v>
      </c>
      <c r="BE54" s="2">
        <f t="shared" si="55"/>
        <v>0</v>
      </c>
      <c r="BF54" s="2">
        <f t="shared" si="56"/>
        <v>0</v>
      </c>
      <c r="BG54" s="2">
        <f t="shared" si="57"/>
        <v>0</v>
      </c>
      <c r="BH54" s="2">
        <f t="shared" si="58"/>
        <v>0</v>
      </c>
      <c r="BI54" s="2">
        <f t="shared" si="59"/>
        <v>0</v>
      </c>
      <c r="BJ54" s="2"/>
      <c r="BK54" s="2">
        <f t="shared" si="78"/>
        <v>0</v>
      </c>
      <c r="BL54" s="2">
        <f t="shared" si="79"/>
        <v>0</v>
      </c>
      <c r="BM54" s="2"/>
      <c r="BN54" s="2"/>
      <c r="BO54" s="2"/>
      <c r="BP54" s="2"/>
      <c r="BS54" s="2">
        <f t="shared" si="60"/>
        <v>0</v>
      </c>
      <c r="BT54" s="2">
        <f t="shared" si="61"/>
        <v>0</v>
      </c>
      <c r="BU54" s="2">
        <f t="shared" si="62"/>
        <v>0</v>
      </c>
      <c r="BV54" s="2">
        <f t="shared" si="63"/>
        <v>0</v>
      </c>
      <c r="BW54" s="2">
        <f t="shared" si="64"/>
        <v>0</v>
      </c>
      <c r="BX54" s="2">
        <f t="shared" si="65"/>
        <v>0</v>
      </c>
      <c r="BY54" s="2"/>
      <c r="BZ54" s="2">
        <f t="shared" si="66"/>
        <v>0</v>
      </c>
      <c r="CA54" s="2">
        <f t="shared" si="67"/>
        <v>0</v>
      </c>
      <c r="CB54" s="2">
        <f t="shared" si="68"/>
        <v>0</v>
      </c>
      <c r="CC54" s="2">
        <f t="shared" si="69"/>
        <v>0</v>
      </c>
      <c r="CD54" s="2">
        <f t="shared" si="70"/>
        <v>0</v>
      </c>
      <c r="CE54" s="2">
        <f t="shared" si="71"/>
        <v>0</v>
      </c>
      <c r="CF54" s="2"/>
      <c r="CG54" s="2">
        <f t="shared" ref="CG54:CL54" si="96">IF(BS54="P",$C$38,(IF(BS54="S",$K$38,0)))</f>
        <v>0</v>
      </c>
      <c r="CH54" s="2">
        <f t="shared" si="96"/>
        <v>0</v>
      </c>
      <c r="CI54" s="2">
        <f t="shared" si="96"/>
        <v>0</v>
      </c>
      <c r="CJ54" s="2">
        <f t="shared" si="96"/>
        <v>0</v>
      </c>
      <c r="CK54" s="2">
        <f t="shared" si="96"/>
        <v>0</v>
      </c>
      <c r="CL54" s="2">
        <f t="shared" si="96"/>
        <v>0</v>
      </c>
      <c r="CM54" s="2"/>
      <c r="CN54" s="2">
        <f t="shared" si="81"/>
        <v>0</v>
      </c>
      <c r="CO54" s="2">
        <f t="shared" si="82"/>
        <v>0</v>
      </c>
      <c r="CP54" s="2">
        <f t="shared" si="83"/>
        <v>0</v>
      </c>
      <c r="CQ54" s="2">
        <f t="shared" si="84"/>
        <v>0</v>
      </c>
      <c r="CR54" s="2">
        <f t="shared" si="85"/>
        <v>0</v>
      </c>
      <c r="CS54" s="2">
        <f t="shared" si="86"/>
        <v>0</v>
      </c>
      <c r="CT54" s="2"/>
      <c r="CU54" s="2">
        <f t="shared" si="74"/>
        <v>0</v>
      </c>
      <c r="CV54" s="2">
        <f t="shared" si="75"/>
        <v>0</v>
      </c>
      <c r="CW54" s="2">
        <f t="shared" si="76"/>
        <v>0</v>
      </c>
      <c r="CX54" s="2">
        <f t="shared" si="87"/>
        <v>0</v>
      </c>
      <c r="CY54" s="2">
        <f t="shared" si="88"/>
        <v>0</v>
      </c>
      <c r="CZ54" s="2">
        <f t="shared" si="89"/>
        <v>0</v>
      </c>
    </row>
    <row r="55" spans="2:104" ht="18" hidden="1" customHeight="1" x14ac:dyDescent="0.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10"/>
      <c r="AS55" s="10"/>
      <c r="AT55" s="10"/>
      <c r="AU55" s="10"/>
      <c r="AV55" s="10">
        <f t="shared" si="53"/>
        <v>0</v>
      </c>
      <c r="AW55" s="10"/>
      <c r="AX55" s="2">
        <f t="shared" si="54"/>
        <v>0</v>
      </c>
      <c r="AY55" s="2">
        <f>IFERROR((VLOOKUP($BO$1&amp;C11,TeamsBB2020!D:S,12,0)),0)</f>
        <v>0</v>
      </c>
      <c r="AZ55" s="2">
        <f>IFERROR((VLOOKUP($BO$1&amp;C11,TeamsBB2020!D:S,13,0)),0)</f>
        <v>0</v>
      </c>
      <c r="BA55" s="2">
        <f>IFERROR((VLOOKUP($BO$1&amp;C11,TeamsBB2020!D:S,14,0)),0)</f>
        <v>0</v>
      </c>
      <c r="BB55" s="2">
        <f>IFERROR((VLOOKUP($BO$1&amp;C11,TeamsBB2020!D:S,15,0)),0)</f>
        <v>0</v>
      </c>
      <c r="BC55" s="2">
        <f>IFERROR((VLOOKUP($BO$1&amp;C11,TeamsBB2020!D:S,16,0)),0)</f>
        <v>0</v>
      </c>
      <c r="BD55" s="2">
        <f t="shared" si="77"/>
        <v>0</v>
      </c>
      <c r="BE55" s="2">
        <f t="shared" si="55"/>
        <v>0</v>
      </c>
      <c r="BF55" s="2">
        <f t="shared" si="56"/>
        <v>0</v>
      </c>
      <c r="BG55" s="2">
        <f t="shared" si="57"/>
        <v>0</v>
      </c>
      <c r="BH55" s="2">
        <f t="shared" si="58"/>
        <v>0</v>
      </c>
      <c r="BI55" s="2">
        <f t="shared" si="59"/>
        <v>0</v>
      </c>
      <c r="BJ55" s="2"/>
      <c r="BK55" s="2">
        <f t="shared" si="78"/>
        <v>0</v>
      </c>
      <c r="BL55" s="2">
        <f t="shared" si="79"/>
        <v>0</v>
      </c>
      <c r="BM55" s="2"/>
      <c r="BN55" s="2"/>
      <c r="BO55" s="2"/>
      <c r="BP55" s="2"/>
      <c r="BS55" s="2">
        <f t="shared" si="60"/>
        <v>0</v>
      </c>
      <c r="BT55" s="2">
        <f t="shared" si="61"/>
        <v>0</v>
      </c>
      <c r="BU55" s="2">
        <f t="shared" si="62"/>
        <v>0</v>
      </c>
      <c r="BV55" s="2">
        <f t="shared" si="63"/>
        <v>0</v>
      </c>
      <c r="BW55" s="2">
        <f t="shared" si="64"/>
        <v>0</v>
      </c>
      <c r="BX55" s="2">
        <f t="shared" si="65"/>
        <v>0</v>
      </c>
      <c r="BY55" s="2"/>
      <c r="BZ55" s="2">
        <f t="shared" si="66"/>
        <v>0</v>
      </c>
      <c r="CA55" s="2">
        <f t="shared" si="67"/>
        <v>0</v>
      </c>
      <c r="CB55" s="2">
        <f t="shared" si="68"/>
        <v>0</v>
      </c>
      <c r="CC55" s="2">
        <f t="shared" si="69"/>
        <v>0</v>
      </c>
      <c r="CD55" s="2">
        <f t="shared" si="70"/>
        <v>0</v>
      </c>
      <c r="CE55" s="2">
        <f t="shared" si="71"/>
        <v>0</v>
      </c>
      <c r="CF55" s="2"/>
      <c r="CG55" s="2">
        <f t="shared" ref="CG55:CL55" si="97">IF(BS55="P",$C$38,(IF(BS55="S",$K$38,0)))</f>
        <v>0</v>
      </c>
      <c r="CH55" s="2">
        <f t="shared" si="97"/>
        <v>0</v>
      </c>
      <c r="CI55" s="2">
        <f t="shared" si="97"/>
        <v>0</v>
      </c>
      <c r="CJ55" s="2">
        <f t="shared" si="97"/>
        <v>0</v>
      </c>
      <c r="CK55" s="2">
        <f t="shared" si="97"/>
        <v>0</v>
      </c>
      <c r="CL55" s="2">
        <f t="shared" si="97"/>
        <v>0</v>
      </c>
      <c r="CM55" s="2"/>
      <c r="CN55" s="2">
        <f t="shared" si="81"/>
        <v>0</v>
      </c>
      <c r="CO55" s="2">
        <f t="shared" si="82"/>
        <v>0</v>
      </c>
      <c r="CP55" s="2">
        <f t="shared" si="83"/>
        <v>0</v>
      </c>
      <c r="CQ55" s="2">
        <f t="shared" si="84"/>
        <v>0</v>
      </c>
      <c r="CR55" s="2">
        <f t="shared" si="85"/>
        <v>0</v>
      </c>
      <c r="CS55" s="2">
        <f t="shared" si="86"/>
        <v>0</v>
      </c>
      <c r="CT55" s="2"/>
      <c r="CU55" s="2">
        <f t="shared" si="74"/>
        <v>0</v>
      </c>
      <c r="CV55" s="2">
        <f t="shared" si="75"/>
        <v>0</v>
      </c>
      <c r="CW55" s="2">
        <f t="shared" si="76"/>
        <v>0</v>
      </c>
      <c r="CX55" s="2">
        <f t="shared" si="87"/>
        <v>0</v>
      </c>
      <c r="CY55" s="2">
        <f t="shared" si="88"/>
        <v>0</v>
      </c>
      <c r="CZ55" s="2">
        <f t="shared" si="89"/>
        <v>0</v>
      </c>
    </row>
    <row r="56" spans="2:104" ht="18" hidden="1" customHeight="1" x14ac:dyDescent="0.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10"/>
      <c r="AS56" s="10"/>
      <c r="AT56" s="10"/>
      <c r="AU56" s="10"/>
      <c r="AV56" s="10">
        <f t="shared" si="53"/>
        <v>0</v>
      </c>
      <c r="AW56" s="10"/>
      <c r="AX56" s="2">
        <f t="shared" si="54"/>
        <v>0</v>
      </c>
      <c r="AY56" s="2">
        <f>IFERROR((VLOOKUP($BO$1&amp;C12,TeamsBB2020!D:S,12,0)),0)</f>
        <v>0</v>
      </c>
      <c r="AZ56" s="2">
        <f>IFERROR((VLOOKUP($BO$1&amp;C12,TeamsBB2020!D:S,13,0)),0)</f>
        <v>0</v>
      </c>
      <c r="BA56" s="2">
        <f>IFERROR((VLOOKUP($BO$1&amp;C12,TeamsBB2020!D:S,14,0)),0)</f>
        <v>0</v>
      </c>
      <c r="BB56" s="2">
        <f>IFERROR((VLOOKUP($BO$1&amp;C12,TeamsBB2020!D:S,15,0)),0)</f>
        <v>0</v>
      </c>
      <c r="BC56" s="2">
        <f>IFERROR((VLOOKUP($BO$1&amp;C12,TeamsBB2020!D:S,16,0)),0)</f>
        <v>0</v>
      </c>
      <c r="BD56" s="2">
        <f t="shared" si="77"/>
        <v>0</v>
      </c>
      <c r="BE56" s="2">
        <f t="shared" si="55"/>
        <v>0</v>
      </c>
      <c r="BF56" s="2">
        <f t="shared" si="56"/>
        <v>0</v>
      </c>
      <c r="BG56" s="2">
        <f t="shared" si="57"/>
        <v>0</v>
      </c>
      <c r="BH56" s="2">
        <f t="shared" si="58"/>
        <v>0</v>
      </c>
      <c r="BI56" s="2">
        <f t="shared" si="59"/>
        <v>0</v>
      </c>
      <c r="BJ56" s="2"/>
      <c r="BK56" s="2">
        <f t="shared" si="78"/>
        <v>0</v>
      </c>
      <c r="BL56" s="2">
        <f t="shared" si="79"/>
        <v>0</v>
      </c>
      <c r="BM56" s="2"/>
      <c r="BN56" s="2"/>
      <c r="BO56" s="2"/>
      <c r="BP56" s="2"/>
      <c r="BS56" s="2">
        <f t="shared" si="60"/>
        <v>0</v>
      </c>
      <c r="BT56" s="2">
        <f t="shared" si="61"/>
        <v>0</v>
      </c>
      <c r="BU56" s="2">
        <f t="shared" si="62"/>
        <v>0</v>
      </c>
      <c r="BV56" s="2">
        <f t="shared" si="63"/>
        <v>0</v>
      </c>
      <c r="BW56" s="2">
        <f t="shared" si="64"/>
        <v>0</v>
      </c>
      <c r="BX56" s="2">
        <f t="shared" si="65"/>
        <v>0</v>
      </c>
      <c r="BY56" s="2"/>
      <c r="BZ56" s="2">
        <f t="shared" si="66"/>
        <v>0</v>
      </c>
      <c r="CA56" s="2">
        <f t="shared" si="67"/>
        <v>0</v>
      </c>
      <c r="CB56" s="2">
        <f t="shared" si="68"/>
        <v>0</v>
      </c>
      <c r="CC56" s="2">
        <f t="shared" si="69"/>
        <v>0</v>
      </c>
      <c r="CD56" s="2">
        <f t="shared" si="70"/>
        <v>0</v>
      </c>
      <c r="CE56" s="2">
        <f t="shared" si="71"/>
        <v>0</v>
      </c>
      <c r="CF56" s="2"/>
      <c r="CG56" s="2">
        <f t="shared" ref="CG56:CL56" si="98">IF(BS56="P",$C$38,(IF(BS56="S",$K$38,0)))</f>
        <v>0</v>
      </c>
      <c r="CH56" s="2">
        <f t="shared" si="98"/>
        <v>0</v>
      </c>
      <c r="CI56" s="2">
        <f t="shared" si="98"/>
        <v>0</v>
      </c>
      <c r="CJ56" s="2">
        <f t="shared" si="98"/>
        <v>0</v>
      </c>
      <c r="CK56" s="2">
        <f t="shared" si="98"/>
        <v>0</v>
      </c>
      <c r="CL56" s="2">
        <f t="shared" si="98"/>
        <v>0</v>
      </c>
      <c r="CM56" s="2"/>
      <c r="CN56" s="2">
        <f t="shared" si="81"/>
        <v>0</v>
      </c>
      <c r="CO56" s="2">
        <f t="shared" si="82"/>
        <v>0</v>
      </c>
      <c r="CP56" s="2">
        <f t="shared" si="83"/>
        <v>0</v>
      </c>
      <c r="CQ56" s="2">
        <f t="shared" si="84"/>
        <v>0</v>
      </c>
      <c r="CR56" s="2">
        <f t="shared" si="85"/>
        <v>0</v>
      </c>
      <c r="CS56" s="2">
        <f t="shared" si="86"/>
        <v>0</v>
      </c>
      <c r="CT56" s="2"/>
      <c r="CU56" s="2">
        <f t="shared" si="74"/>
        <v>0</v>
      </c>
      <c r="CV56" s="2">
        <f t="shared" si="75"/>
        <v>0</v>
      </c>
      <c r="CW56" s="2">
        <f t="shared" si="76"/>
        <v>0</v>
      </c>
      <c r="CX56" s="2">
        <f t="shared" si="87"/>
        <v>0</v>
      </c>
      <c r="CY56" s="2">
        <f t="shared" si="88"/>
        <v>0</v>
      </c>
      <c r="CZ56" s="2">
        <f t="shared" si="89"/>
        <v>0</v>
      </c>
    </row>
    <row r="57" spans="2:104" ht="18" hidden="1" customHeight="1" x14ac:dyDescent="0.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0"/>
      <c r="AS57" s="10"/>
      <c r="AT57" s="10"/>
      <c r="AU57" s="10"/>
      <c r="AV57" s="10">
        <f t="shared" si="53"/>
        <v>0</v>
      </c>
      <c r="AW57" s="10"/>
      <c r="AX57" s="2">
        <f t="shared" si="54"/>
        <v>0</v>
      </c>
      <c r="AY57" s="2">
        <f>IFERROR((VLOOKUP($BO$1&amp;C13,TeamsBB2020!D:S,12,0)),0)</f>
        <v>0</v>
      </c>
      <c r="AZ57" s="2">
        <f>IFERROR((VLOOKUP($BO$1&amp;C13,TeamsBB2020!D:S,13,0)),0)</f>
        <v>0</v>
      </c>
      <c r="BA57" s="2">
        <f>IFERROR((VLOOKUP($BO$1&amp;C13,TeamsBB2020!D:S,14,0)),0)</f>
        <v>0</v>
      </c>
      <c r="BB57" s="2">
        <f>IFERROR((VLOOKUP($BO$1&amp;C13,TeamsBB2020!D:S,15,0)),0)</f>
        <v>0</v>
      </c>
      <c r="BC57" s="2">
        <f>IFERROR((VLOOKUP($BO$1&amp;C13,TeamsBB2020!D:S,16,0)),0)</f>
        <v>0</v>
      </c>
      <c r="BD57" s="2">
        <f t="shared" si="77"/>
        <v>0</v>
      </c>
      <c r="BE57" s="2">
        <f t="shared" si="55"/>
        <v>0</v>
      </c>
      <c r="BF57" s="2">
        <f t="shared" si="56"/>
        <v>0</v>
      </c>
      <c r="BG57" s="2">
        <f t="shared" si="57"/>
        <v>0</v>
      </c>
      <c r="BH57" s="2">
        <f t="shared" si="58"/>
        <v>0</v>
      </c>
      <c r="BI57" s="2">
        <f t="shared" si="59"/>
        <v>0</v>
      </c>
      <c r="BJ57" s="2"/>
      <c r="BK57" s="2">
        <f t="shared" si="78"/>
        <v>0</v>
      </c>
      <c r="BL57" s="2">
        <f t="shared" si="79"/>
        <v>0</v>
      </c>
      <c r="BM57" s="2"/>
      <c r="BN57" s="2"/>
      <c r="BO57" s="2"/>
      <c r="BP57" s="2"/>
      <c r="BS57" s="2">
        <f t="shared" si="60"/>
        <v>0</v>
      </c>
      <c r="BT57" s="2">
        <f t="shared" si="61"/>
        <v>0</v>
      </c>
      <c r="BU57" s="2">
        <f t="shared" si="62"/>
        <v>0</v>
      </c>
      <c r="BV57" s="2">
        <f t="shared" si="63"/>
        <v>0</v>
      </c>
      <c r="BW57" s="2">
        <f t="shared" si="64"/>
        <v>0</v>
      </c>
      <c r="BX57" s="2">
        <f t="shared" si="65"/>
        <v>0</v>
      </c>
      <c r="BY57" s="2"/>
      <c r="BZ57" s="2">
        <f t="shared" si="66"/>
        <v>0</v>
      </c>
      <c r="CA57" s="2">
        <f t="shared" si="67"/>
        <v>0</v>
      </c>
      <c r="CB57" s="2">
        <f t="shared" si="68"/>
        <v>0</v>
      </c>
      <c r="CC57" s="2">
        <f t="shared" si="69"/>
        <v>0</v>
      </c>
      <c r="CD57" s="2">
        <f t="shared" si="70"/>
        <v>0</v>
      </c>
      <c r="CE57" s="2">
        <f t="shared" si="71"/>
        <v>0</v>
      </c>
      <c r="CF57" s="2"/>
      <c r="CG57" s="2">
        <f t="shared" ref="CG57:CL57" si="99">IF(BS57="P",$C$38,(IF(BS57="S",$K$38,0)))</f>
        <v>0</v>
      </c>
      <c r="CH57" s="2">
        <f t="shared" si="99"/>
        <v>0</v>
      </c>
      <c r="CI57" s="2">
        <f t="shared" si="99"/>
        <v>0</v>
      </c>
      <c r="CJ57" s="2">
        <f t="shared" si="99"/>
        <v>0</v>
      </c>
      <c r="CK57" s="2">
        <f t="shared" si="99"/>
        <v>0</v>
      </c>
      <c r="CL57" s="2">
        <f t="shared" si="99"/>
        <v>0</v>
      </c>
      <c r="CM57" s="2"/>
      <c r="CN57" s="2">
        <f t="shared" si="81"/>
        <v>0</v>
      </c>
      <c r="CO57" s="2">
        <f t="shared" si="82"/>
        <v>0</v>
      </c>
      <c r="CP57" s="2">
        <f t="shared" si="83"/>
        <v>0</v>
      </c>
      <c r="CQ57" s="2">
        <f t="shared" si="84"/>
        <v>0</v>
      </c>
      <c r="CR57" s="2">
        <f t="shared" si="85"/>
        <v>0</v>
      </c>
      <c r="CS57" s="2">
        <f t="shared" si="86"/>
        <v>0</v>
      </c>
      <c r="CT57" s="2"/>
      <c r="CU57" s="2">
        <f t="shared" si="74"/>
        <v>0</v>
      </c>
      <c r="CV57" s="2">
        <f t="shared" si="75"/>
        <v>0</v>
      </c>
      <c r="CW57" s="2">
        <f t="shared" si="76"/>
        <v>0</v>
      </c>
      <c r="CX57" s="2">
        <f t="shared" si="87"/>
        <v>0</v>
      </c>
      <c r="CY57" s="2">
        <f t="shared" si="88"/>
        <v>0</v>
      </c>
      <c r="CZ57" s="2">
        <f t="shared" si="89"/>
        <v>0</v>
      </c>
    </row>
    <row r="58" spans="2:104" ht="18" hidden="1" customHeight="1" x14ac:dyDescent="0.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10"/>
      <c r="AS58" s="10"/>
      <c r="AT58" s="10"/>
      <c r="AU58" s="10"/>
      <c r="AV58" s="10">
        <f t="shared" si="53"/>
        <v>0</v>
      </c>
      <c r="AW58" s="10"/>
      <c r="AX58" s="2">
        <f t="shared" si="54"/>
        <v>0</v>
      </c>
      <c r="AY58" s="2">
        <f>IFERROR((VLOOKUP($BO$1&amp;C14,TeamsBB2020!D:S,12,0)),0)</f>
        <v>0</v>
      </c>
      <c r="AZ58" s="2">
        <f>IFERROR((VLOOKUP($BO$1&amp;C14,TeamsBB2020!D:S,13,0)),0)</f>
        <v>0</v>
      </c>
      <c r="BA58" s="2">
        <f>IFERROR((VLOOKUP($BO$1&amp;C14,TeamsBB2020!D:S,14,0)),0)</f>
        <v>0</v>
      </c>
      <c r="BB58" s="2">
        <f>IFERROR((VLOOKUP($BO$1&amp;C14,TeamsBB2020!D:S,15,0)),0)</f>
        <v>0</v>
      </c>
      <c r="BC58" s="2">
        <f>IFERROR((VLOOKUP($BO$1&amp;C14,TeamsBB2020!D:S,16,0)),0)</f>
        <v>0</v>
      </c>
      <c r="BD58" s="2">
        <f t="shared" si="77"/>
        <v>0</v>
      </c>
      <c r="BE58" s="2">
        <f t="shared" si="55"/>
        <v>0</v>
      </c>
      <c r="BF58" s="2">
        <f t="shared" si="56"/>
        <v>0</v>
      </c>
      <c r="BG58" s="2">
        <f t="shared" si="57"/>
        <v>0</v>
      </c>
      <c r="BH58" s="2">
        <f t="shared" si="58"/>
        <v>0</v>
      </c>
      <c r="BI58" s="2">
        <f t="shared" si="59"/>
        <v>0</v>
      </c>
      <c r="BJ58" s="2"/>
      <c r="BK58" s="2">
        <f t="shared" si="78"/>
        <v>0</v>
      </c>
      <c r="BL58" s="2">
        <f t="shared" si="79"/>
        <v>0</v>
      </c>
      <c r="BM58" s="2"/>
      <c r="BN58" s="2"/>
      <c r="BO58" s="2"/>
      <c r="BP58" s="2"/>
      <c r="BS58" s="2">
        <f t="shared" si="60"/>
        <v>0</v>
      </c>
      <c r="BT58" s="2">
        <f t="shared" si="61"/>
        <v>0</v>
      </c>
      <c r="BU58" s="2">
        <f t="shared" si="62"/>
        <v>0</v>
      </c>
      <c r="BV58" s="2">
        <f t="shared" si="63"/>
        <v>0</v>
      </c>
      <c r="BW58" s="2">
        <f t="shared" si="64"/>
        <v>0</v>
      </c>
      <c r="BX58" s="2">
        <f t="shared" si="65"/>
        <v>0</v>
      </c>
      <c r="BY58" s="2"/>
      <c r="BZ58" s="2">
        <f t="shared" si="66"/>
        <v>0</v>
      </c>
      <c r="CA58" s="2">
        <f t="shared" si="67"/>
        <v>0</v>
      </c>
      <c r="CB58" s="2">
        <f t="shared" si="68"/>
        <v>0</v>
      </c>
      <c r="CC58" s="2">
        <f t="shared" si="69"/>
        <v>0</v>
      </c>
      <c r="CD58" s="2">
        <f t="shared" si="70"/>
        <v>0</v>
      </c>
      <c r="CE58" s="2">
        <f t="shared" si="71"/>
        <v>0</v>
      </c>
      <c r="CF58" s="2"/>
      <c r="CG58" s="2">
        <f t="shared" ref="CG58:CL58" si="100">IF(BS58="P",$C$38,(IF(BS58="S",$K$38,0)))</f>
        <v>0</v>
      </c>
      <c r="CH58" s="2">
        <f t="shared" si="100"/>
        <v>0</v>
      </c>
      <c r="CI58" s="2">
        <f t="shared" si="100"/>
        <v>0</v>
      </c>
      <c r="CJ58" s="2">
        <f t="shared" si="100"/>
        <v>0</v>
      </c>
      <c r="CK58" s="2">
        <f t="shared" si="100"/>
        <v>0</v>
      </c>
      <c r="CL58" s="2">
        <f t="shared" si="100"/>
        <v>0</v>
      </c>
      <c r="CM58" s="2"/>
      <c r="CN58" s="2">
        <f t="shared" si="81"/>
        <v>0</v>
      </c>
      <c r="CO58" s="2">
        <f t="shared" si="82"/>
        <v>0</v>
      </c>
      <c r="CP58" s="2">
        <f t="shared" si="83"/>
        <v>0</v>
      </c>
      <c r="CQ58" s="2">
        <f t="shared" si="84"/>
        <v>0</v>
      </c>
      <c r="CR58" s="2">
        <f t="shared" si="85"/>
        <v>0</v>
      </c>
      <c r="CS58" s="2">
        <f t="shared" si="86"/>
        <v>0</v>
      </c>
      <c r="CT58" s="2"/>
      <c r="CU58" s="2">
        <f t="shared" si="74"/>
        <v>0</v>
      </c>
      <c r="CV58" s="2">
        <f t="shared" si="75"/>
        <v>0</v>
      </c>
      <c r="CW58" s="2">
        <f t="shared" si="76"/>
        <v>0</v>
      </c>
      <c r="CX58" s="2">
        <f t="shared" si="87"/>
        <v>0</v>
      </c>
      <c r="CY58" s="2">
        <f t="shared" si="88"/>
        <v>0</v>
      </c>
      <c r="CZ58" s="2">
        <f t="shared" si="89"/>
        <v>0</v>
      </c>
    </row>
    <row r="59" spans="2:104" ht="15" hidden="1" customHeight="1" x14ac:dyDescent="0.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10"/>
      <c r="AS59" s="10"/>
      <c r="AT59" s="10"/>
      <c r="AU59" s="10"/>
      <c r="AV59" s="10">
        <f t="shared" si="53"/>
        <v>0</v>
      </c>
      <c r="AW59" s="10"/>
      <c r="AX59" s="2">
        <f t="shared" si="54"/>
        <v>0</v>
      </c>
      <c r="AY59" s="2">
        <f>IFERROR((VLOOKUP($BO$1&amp;C15,TeamsBB2020!D:S,12,0)),0)</f>
        <v>0</v>
      </c>
      <c r="AZ59" s="2">
        <f>IFERROR((VLOOKUP($BO$1&amp;C15,TeamsBB2020!D:S,13,0)),0)</f>
        <v>0</v>
      </c>
      <c r="BA59" s="2">
        <f>IFERROR((VLOOKUP($BO$1&amp;C15,TeamsBB2020!D:S,14,0)),0)</f>
        <v>0</v>
      </c>
      <c r="BB59" s="2">
        <f>IFERROR((VLOOKUP($BO$1&amp;C15,TeamsBB2020!D:S,15,0)),0)</f>
        <v>0</v>
      </c>
      <c r="BC59" s="2">
        <f>IFERROR((VLOOKUP($BO$1&amp;C15,TeamsBB2020!D:S,16,0)),0)</f>
        <v>0</v>
      </c>
      <c r="BD59" s="2">
        <f t="shared" si="77"/>
        <v>0</v>
      </c>
      <c r="BE59" s="2">
        <f t="shared" si="55"/>
        <v>0</v>
      </c>
      <c r="BF59" s="2">
        <f t="shared" si="56"/>
        <v>0</v>
      </c>
      <c r="BG59" s="2">
        <f t="shared" si="57"/>
        <v>0</v>
      </c>
      <c r="BH59" s="2">
        <f t="shared" si="58"/>
        <v>0</v>
      </c>
      <c r="BI59" s="2">
        <f t="shared" si="59"/>
        <v>0</v>
      </c>
      <c r="BJ59" s="2"/>
      <c r="BK59" s="2">
        <f t="shared" si="78"/>
        <v>0</v>
      </c>
      <c r="BL59" s="2">
        <f t="shared" si="79"/>
        <v>0</v>
      </c>
      <c r="BM59" s="2"/>
      <c r="BN59" s="2"/>
      <c r="BO59" s="2"/>
      <c r="BP59" s="2"/>
      <c r="BS59" s="2">
        <f t="shared" si="60"/>
        <v>0</v>
      </c>
      <c r="BT59" s="2">
        <f t="shared" si="61"/>
        <v>0</v>
      </c>
      <c r="BU59" s="2">
        <f t="shared" si="62"/>
        <v>0</v>
      </c>
      <c r="BV59" s="2">
        <f t="shared" si="63"/>
        <v>0</v>
      </c>
      <c r="BW59" s="2">
        <f t="shared" si="64"/>
        <v>0</v>
      </c>
      <c r="BX59" s="2">
        <f t="shared" si="65"/>
        <v>0</v>
      </c>
      <c r="BY59" s="2"/>
      <c r="BZ59" s="2">
        <f t="shared" si="66"/>
        <v>0</v>
      </c>
      <c r="CA59" s="2">
        <f t="shared" si="67"/>
        <v>0</v>
      </c>
      <c r="CB59" s="2">
        <f t="shared" si="68"/>
        <v>0</v>
      </c>
      <c r="CC59" s="2">
        <f t="shared" si="69"/>
        <v>0</v>
      </c>
      <c r="CD59" s="2">
        <f t="shared" si="70"/>
        <v>0</v>
      </c>
      <c r="CE59" s="2">
        <f t="shared" si="71"/>
        <v>0</v>
      </c>
      <c r="CF59" s="2"/>
      <c r="CG59" s="2">
        <f t="shared" ref="CG59:CL59" si="101">IF(BS59="P",$C$38,(IF(BS59="S",$K$38,0)))</f>
        <v>0</v>
      </c>
      <c r="CH59" s="2">
        <f t="shared" si="101"/>
        <v>0</v>
      </c>
      <c r="CI59" s="2">
        <f t="shared" si="101"/>
        <v>0</v>
      </c>
      <c r="CJ59" s="2">
        <f t="shared" si="101"/>
        <v>0</v>
      </c>
      <c r="CK59" s="2">
        <f t="shared" si="101"/>
        <v>0</v>
      </c>
      <c r="CL59" s="2">
        <f t="shared" si="101"/>
        <v>0</v>
      </c>
      <c r="CM59" s="2"/>
      <c r="CN59" s="2">
        <f t="shared" si="81"/>
        <v>0</v>
      </c>
      <c r="CO59" s="2">
        <f t="shared" si="82"/>
        <v>0</v>
      </c>
      <c r="CP59" s="2">
        <f t="shared" si="83"/>
        <v>0</v>
      </c>
      <c r="CQ59" s="2">
        <f t="shared" si="84"/>
        <v>0</v>
      </c>
      <c r="CR59" s="2">
        <f t="shared" si="85"/>
        <v>0</v>
      </c>
      <c r="CS59" s="2">
        <f t="shared" si="86"/>
        <v>0</v>
      </c>
      <c r="CT59" s="2"/>
      <c r="CU59" s="2">
        <f t="shared" si="74"/>
        <v>0</v>
      </c>
      <c r="CV59" s="2">
        <f t="shared" si="75"/>
        <v>0</v>
      </c>
      <c r="CW59" s="2">
        <f t="shared" si="76"/>
        <v>0</v>
      </c>
      <c r="CX59" s="2">
        <f t="shared" si="87"/>
        <v>0</v>
      </c>
      <c r="CY59" s="2">
        <f t="shared" si="88"/>
        <v>0</v>
      </c>
      <c r="CZ59" s="2">
        <f t="shared" si="89"/>
        <v>0</v>
      </c>
    </row>
    <row r="60" spans="2:104" ht="22.5" hidden="1" customHeight="1" x14ac:dyDescent="0.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10"/>
      <c r="AS60" s="10"/>
      <c r="AT60" s="10"/>
      <c r="AU60" s="10"/>
      <c r="AV60" s="10">
        <f t="shared" si="53"/>
        <v>0</v>
      </c>
      <c r="AW60" s="10"/>
      <c r="AX60" s="2">
        <f t="shared" si="54"/>
        <v>0</v>
      </c>
      <c r="AY60" s="2">
        <f>IFERROR((VLOOKUP($BO$1&amp;C16,TeamsBB2020!D:S,12,0)),0)</f>
        <v>0</v>
      </c>
      <c r="AZ60" s="2">
        <f>IFERROR((VLOOKUP($BO$1&amp;C16,TeamsBB2020!D:S,13,0)),0)</f>
        <v>0</v>
      </c>
      <c r="BA60" s="2">
        <f>IFERROR((VLOOKUP($BO$1&amp;C16,TeamsBB2020!D:S,14,0)),0)</f>
        <v>0</v>
      </c>
      <c r="BB60" s="2">
        <f>IFERROR((VLOOKUP($BO$1&amp;C16,TeamsBB2020!D:S,15,0)),0)</f>
        <v>0</v>
      </c>
      <c r="BC60" s="2">
        <f>IFERROR((VLOOKUP($BO$1&amp;C16,TeamsBB2020!D:S,16,0)),0)</f>
        <v>0</v>
      </c>
      <c r="BD60" s="2">
        <f t="shared" si="77"/>
        <v>0</v>
      </c>
      <c r="BE60" s="2">
        <f t="shared" si="55"/>
        <v>0</v>
      </c>
      <c r="BF60" s="2">
        <f t="shared" si="56"/>
        <v>0</v>
      </c>
      <c r="BG60" s="2">
        <f t="shared" si="57"/>
        <v>0</v>
      </c>
      <c r="BH60" s="2">
        <f t="shared" si="58"/>
        <v>0</v>
      </c>
      <c r="BI60" s="2">
        <f t="shared" si="59"/>
        <v>0</v>
      </c>
      <c r="BJ60" s="2"/>
      <c r="BK60" s="2">
        <f t="shared" si="78"/>
        <v>0</v>
      </c>
      <c r="BL60" s="2">
        <f t="shared" si="79"/>
        <v>0</v>
      </c>
      <c r="BM60" s="2"/>
      <c r="BN60" s="2"/>
      <c r="BO60" s="2"/>
      <c r="BP60" s="2"/>
      <c r="BS60" s="2">
        <f t="shared" si="60"/>
        <v>0</v>
      </c>
      <c r="BT60" s="2">
        <f t="shared" si="61"/>
        <v>0</v>
      </c>
      <c r="BU60" s="2">
        <f t="shared" si="62"/>
        <v>0</v>
      </c>
      <c r="BV60" s="2">
        <f t="shared" si="63"/>
        <v>0</v>
      </c>
      <c r="BW60" s="2">
        <f t="shared" si="64"/>
        <v>0</v>
      </c>
      <c r="BX60" s="2">
        <f t="shared" si="65"/>
        <v>0</v>
      </c>
      <c r="BY60" s="2"/>
      <c r="BZ60" s="2">
        <f t="shared" si="66"/>
        <v>0</v>
      </c>
      <c r="CA60" s="2">
        <f t="shared" si="67"/>
        <v>0</v>
      </c>
      <c r="CB60" s="2">
        <f t="shared" si="68"/>
        <v>0</v>
      </c>
      <c r="CC60" s="2">
        <f t="shared" si="69"/>
        <v>0</v>
      </c>
      <c r="CD60" s="2">
        <f t="shared" si="70"/>
        <v>0</v>
      </c>
      <c r="CE60" s="2">
        <f t="shared" si="71"/>
        <v>0</v>
      </c>
      <c r="CF60" s="2"/>
      <c r="CG60" s="2">
        <f t="shared" ref="CG60:CL60" si="102">IF(BS60="P",$C$38,(IF(BS60="S",$K$38,0)))</f>
        <v>0</v>
      </c>
      <c r="CH60" s="2">
        <f t="shared" si="102"/>
        <v>0</v>
      </c>
      <c r="CI60" s="2">
        <f t="shared" si="102"/>
        <v>0</v>
      </c>
      <c r="CJ60" s="2">
        <f t="shared" si="102"/>
        <v>0</v>
      </c>
      <c r="CK60" s="2">
        <f t="shared" si="102"/>
        <v>0</v>
      </c>
      <c r="CL60" s="2">
        <f t="shared" si="102"/>
        <v>0</v>
      </c>
      <c r="CM60" s="2"/>
      <c r="CN60" s="2">
        <f t="shared" si="81"/>
        <v>0</v>
      </c>
      <c r="CO60" s="2">
        <f t="shared" si="82"/>
        <v>0</v>
      </c>
      <c r="CP60" s="2">
        <f t="shared" si="83"/>
        <v>0</v>
      </c>
      <c r="CQ60" s="2">
        <f t="shared" si="84"/>
        <v>0</v>
      </c>
      <c r="CR60" s="2">
        <f t="shared" si="85"/>
        <v>0</v>
      </c>
      <c r="CS60" s="2">
        <f t="shared" si="86"/>
        <v>0</v>
      </c>
      <c r="CT60" s="2"/>
      <c r="CU60" s="2">
        <f t="shared" si="74"/>
        <v>0</v>
      </c>
      <c r="CV60" s="2">
        <f t="shared" si="75"/>
        <v>0</v>
      </c>
      <c r="CW60" s="2">
        <f t="shared" si="76"/>
        <v>0</v>
      </c>
      <c r="CX60" s="2">
        <f t="shared" si="87"/>
        <v>0</v>
      </c>
      <c r="CY60" s="2">
        <f t="shared" si="88"/>
        <v>0</v>
      </c>
      <c r="CZ60" s="2">
        <f t="shared" si="89"/>
        <v>0</v>
      </c>
    </row>
    <row r="61" spans="2:104" ht="22.5" hidden="1" customHeigh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10"/>
      <c r="AS61" s="10"/>
      <c r="AT61" s="10"/>
      <c r="AU61" s="10"/>
      <c r="AV61" s="10">
        <f t="shared" si="53"/>
        <v>0</v>
      </c>
      <c r="AW61" s="10"/>
      <c r="AX61" s="2">
        <f t="shared" si="54"/>
        <v>0</v>
      </c>
      <c r="AY61" s="2">
        <f>IFERROR((VLOOKUP($BO$1&amp;C17,TeamsBB2020!D:S,12,0)),0)</f>
        <v>0</v>
      </c>
      <c r="AZ61" s="2">
        <f>IFERROR((VLOOKUP($BO$1&amp;C17,TeamsBB2020!D:S,13,0)),0)</f>
        <v>0</v>
      </c>
      <c r="BA61" s="2">
        <f>IFERROR((VLOOKUP($BO$1&amp;C17,TeamsBB2020!D:S,14,0)),0)</f>
        <v>0</v>
      </c>
      <c r="BB61" s="2">
        <f>IFERROR((VLOOKUP($BO$1&amp;C17,TeamsBB2020!D:S,15,0)),0)</f>
        <v>0</v>
      </c>
      <c r="BC61" s="2">
        <f>IFERROR((VLOOKUP($BO$1&amp;C17,TeamsBB2020!D:S,16,0)),0)</f>
        <v>0</v>
      </c>
      <c r="BD61" s="2">
        <f t="shared" si="77"/>
        <v>0</v>
      </c>
      <c r="BE61" s="2">
        <f t="shared" si="55"/>
        <v>0</v>
      </c>
      <c r="BF61" s="2">
        <f t="shared" si="56"/>
        <v>0</v>
      </c>
      <c r="BG61" s="2">
        <f t="shared" si="57"/>
        <v>0</v>
      </c>
      <c r="BH61" s="2">
        <f t="shared" si="58"/>
        <v>0</v>
      </c>
      <c r="BI61" s="2">
        <f>SUM(CG61:CS61)</f>
        <v>0</v>
      </c>
      <c r="BJ61" s="2"/>
      <c r="BK61" s="2">
        <f t="shared" si="78"/>
        <v>0</v>
      </c>
      <c r="BL61" s="2">
        <f t="shared" si="79"/>
        <v>0</v>
      </c>
      <c r="BM61" s="2"/>
      <c r="BN61" s="2"/>
      <c r="BO61" s="2"/>
      <c r="BP61" s="2"/>
      <c r="BS61" s="2">
        <f t="shared" si="60"/>
        <v>0</v>
      </c>
      <c r="BT61" s="2">
        <f t="shared" si="61"/>
        <v>0</v>
      </c>
      <c r="BU61" s="2">
        <f t="shared" si="62"/>
        <v>0</v>
      </c>
      <c r="BV61" s="2">
        <f t="shared" si="63"/>
        <v>0</v>
      </c>
      <c r="BW61" s="2">
        <f t="shared" si="64"/>
        <v>0</v>
      </c>
      <c r="BX61" s="2">
        <f>(IF(BP61="G",AY61,IF(BP61="A",AZ61,IF(BP61="S",BA61,IF(BP61="P",BB61,IF(BP61="M",BC61,IF(BP61="X",0,IF(OR(BP61="MA",BP61="AV",BP61="ST",BP61="PA",BP61="AG"),"STAT",0))))))))</f>
        <v>0</v>
      </c>
      <c r="BY61" s="2"/>
      <c r="BZ61" s="2">
        <f t="shared" si="66"/>
        <v>0</v>
      </c>
      <c r="CA61" s="2">
        <f t="shared" si="67"/>
        <v>0</v>
      </c>
      <c r="CB61" s="2">
        <f t="shared" si="68"/>
        <v>0</v>
      </c>
      <c r="CC61" s="2">
        <f t="shared" si="69"/>
        <v>0</v>
      </c>
      <c r="CD61" s="2">
        <f t="shared" si="70"/>
        <v>0</v>
      </c>
      <c r="CE61" s="2">
        <f t="shared" si="71"/>
        <v>0</v>
      </c>
      <c r="CF61" s="2"/>
      <c r="CG61" s="2">
        <f t="shared" ref="CG61:CK61" si="103">IF(BS61="P",$C$38,(IF(BS61="S",$K$38,0)))</f>
        <v>0</v>
      </c>
      <c r="CH61" s="2">
        <f t="shared" si="103"/>
        <v>0</v>
      </c>
      <c r="CI61" s="2">
        <f t="shared" si="103"/>
        <v>0</v>
      </c>
      <c r="CJ61" s="2">
        <f t="shared" si="103"/>
        <v>0</v>
      </c>
      <c r="CK61" s="2">
        <f t="shared" si="103"/>
        <v>0</v>
      </c>
      <c r="CL61" s="2">
        <f>IF(BX61="P",$C$38,(IF(BX61="S",$K$38,0)))</f>
        <v>0</v>
      </c>
      <c r="CM61" s="2"/>
      <c r="CN61" s="2">
        <f t="shared" si="81"/>
        <v>0</v>
      </c>
      <c r="CO61" s="2">
        <f t="shared" si="82"/>
        <v>0</v>
      </c>
      <c r="CP61" s="2">
        <f t="shared" si="83"/>
        <v>0</v>
      </c>
      <c r="CQ61" s="2">
        <f t="shared" si="84"/>
        <v>0</v>
      </c>
      <c r="CR61" s="2">
        <f t="shared" si="85"/>
        <v>0</v>
      </c>
      <c r="CS61" s="2">
        <f t="shared" si="86"/>
        <v>0</v>
      </c>
      <c r="CT61" s="2"/>
      <c r="CU61" s="2">
        <f t="shared" si="74"/>
        <v>0</v>
      </c>
      <c r="CV61" s="2">
        <f t="shared" si="75"/>
        <v>0</v>
      </c>
      <c r="CW61" s="2">
        <f t="shared" si="76"/>
        <v>0</v>
      </c>
      <c r="CX61" s="2">
        <f t="shared" si="87"/>
        <v>0</v>
      </c>
      <c r="CY61" s="2">
        <f t="shared" si="88"/>
        <v>0</v>
      </c>
      <c r="CZ61" s="2">
        <f t="shared" si="89"/>
        <v>0</v>
      </c>
    </row>
    <row r="62" spans="2:104" ht="22.5" hidden="1" customHeight="1" x14ac:dyDescent="0.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10"/>
      <c r="AS62" s="10"/>
      <c r="AT62" s="10"/>
      <c r="AU62" s="10"/>
      <c r="AV62" s="10">
        <f>SUM(AV46:AV61)</f>
        <v>0</v>
      </c>
      <c r="AW62" s="10"/>
      <c r="AX62" s="2"/>
      <c r="AY62" s="2"/>
      <c r="AZ62" s="2"/>
      <c r="BA62" s="2"/>
      <c r="BB62" s="2"/>
      <c r="BC62" s="2"/>
      <c r="BD62" s="2"/>
      <c r="BE62" s="2"/>
      <c r="BI62" s="67"/>
      <c r="BJ62" s="67"/>
      <c r="BK62" s="2"/>
      <c r="BM62" s="2"/>
      <c r="BN62" s="2"/>
      <c r="BO62" s="2"/>
      <c r="BS62" s="11"/>
      <c r="BT62" s="2"/>
      <c r="BU62" s="3"/>
      <c r="BV62" s="3"/>
      <c r="BW62" s="2"/>
      <c r="BX62" s="2"/>
      <c r="BY62" s="2"/>
      <c r="BZ62" s="2"/>
      <c r="CA62" s="2"/>
      <c r="CB62" s="2"/>
      <c r="CC62" s="2"/>
      <c r="CD62" s="2"/>
      <c r="CE62" s="2"/>
      <c r="CF62" s="2"/>
      <c r="CG62" s="2" t="str">
        <f>VLOOKUP(CG63,TeamsBB2020!$D:$T,17,FALSE)</f>
        <v/>
      </c>
      <c r="CH62" s="2" t="str">
        <f>VLOOKUP(CH63,TeamsBB2020!$D:$T,17,FALSE)</f>
        <v/>
      </c>
      <c r="CI62" s="9" t="str">
        <f>VLOOKUP(CI63,TeamsBB2020!$D:$T,17,FALSE)</f>
        <v/>
      </c>
      <c r="CJ62" s="9" t="str">
        <f>VLOOKUP(CJ63,TeamsBB2020!$D:$T,17,FALSE)</f>
        <v/>
      </c>
      <c r="CK62" s="9" t="str">
        <f>VLOOKUP(CK63,TeamsBB2020!$D:$T,17,FALSE)</f>
        <v/>
      </c>
      <c r="CL62" s="9" t="str">
        <f>VLOOKUP(CL63,TeamsBB2020!$D:$T,17,FALSE)</f>
        <v/>
      </c>
      <c r="CM62" s="9" t="str">
        <f>VLOOKUP(CM63,TeamsBB2020!$D:$T,17,FALSE)</f>
        <v/>
      </c>
      <c r="CN62" s="9" t="str">
        <f>VLOOKUP(CN63,TeamsBB2020!$D:$T,17,FALSE)</f>
        <v/>
      </c>
      <c r="CO62" s="9" t="str">
        <f>VLOOKUP(CO63,TeamsBB2020!$D:$T,17,FALSE)</f>
        <v/>
      </c>
      <c r="CP62" s="9" t="str">
        <f>VLOOKUP(CP63,TeamsBB2020!$D:$T,17,FALSE)</f>
        <v/>
      </c>
      <c r="CQ62" s="9" t="str">
        <f>VLOOKUP(CQ63,TeamsBB2020!$D:$T,17,FALSE)</f>
        <v/>
      </c>
      <c r="CR62" s="9" t="str">
        <f>VLOOKUP(CR63,TeamsBB2020!$D:$T,17,FALSE)</f>
        <v/>
      </c>
      <c r="CS62" s="9" t="str">
        <f>VLOOKUP(CS63,TeamsBB2020!$D:$T,17,FALSE)</f>
        <v/>
      </c>
      <c r="CT62" s="9" t="str">
        <f>VLOOKUP(CT63,TeamsBB2020!$D:$T,17,FALSE)</f>
        <v/>
      </c>
      <c r="CU62" s="9" t="str">
        <f>VLOOKUP(CU63,TeamsBB2020!$D:$T,17,FALSE)</f>
        <v/>
      </c>
      <c r="CV62" s="9" t="str">
        <f>VLOOKUP(CV63,TeamsBB2020!$D:$T,17,FALSE)</f>
        <v/>
      </c>
      <c r="CW62" s="4"/>
      <c r="CX62" s="2"/>
      <c r="CY62" s="2"/>
      <c r="CZ62" s="2"/>
    </row>
    <row r="63" spans="2:104" ht="15" hidden="1" customHeight="1" x14ac:dyDescent="0.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1"/>
      <c r="AS63" s="1"/>
      <c r="AT63" s="1"/>
      <c r="AU63" s="1"/>
      <c r="AV63" s="1"/>
      <c r="AW63" s="1"/>
      <c r="AX63" s="2"/>
      <c r="AY63" s="2"/>
      <c r="AZ63" s="2"/>
      <c r="BA63" s="2"/>
      <c r="BB63" s="2"/>
      <c r="BC63" s="2"/>
      <c r="BD63" s="2"/>
      <c r="BE63" s="2"/>
      <c r="BK63" s="2"/>
      <c r="BM63" s="2"/>
      <c r="BN63" s="2"/>
      <c r="BO63" s="2"/>
      <c r="BS63" s="11"/>
      <c r="BT63" s="2"/>
      <c r="BU63" s="3"/>
      <c r="BV63" s="3"/>
      <c r="BW63" s="2"/>
      <c r="BX63" s="2"/>
      <c r="BY63" s="2"/>
      <c r="BZ63" s="2"/>
      <c r="CA63" s="2"/>
      <c r="CB63" s="2"/>
      <c r="CC63" s="2"/>
      <c r="CD63" s="2"/>
      <c r="CE63" s="2"/>
      <c r="CF63" s="2"/>
      <c r="CG63" s="69" t="str">
        <f>$BO$1&amp;$C2</f>
        <v>Norse</v>
      </c>
      <c r="CH63" s="69" t="str">
        <f>$BO$1&amp;$C3</f>
        <v>Norse</v>
      </c>
      <c r="CI63" s="69" t="str">
        <f>$BO$1&amp;$C4</f>
        <v>Norse</v>
      </c>
      <c r="CJ63" s="69" t="str">
        <f>$BO$1&amp;$C5</f>
        <v>Norse</v>
      </c>
      <c r="CK63" s="69" t="str">
        <f>$BO$1&amp;$C6</f>
        <v>Norse</v>
      </c>
      <c r="CL63" s="69" t="str">
        <f>$BO$1&amp;$C7</f>
        <v>Norse</v>
      </c>
      <c r="CM63" s="69" t="str">
        <f>$BO$1&amp;$C8</f>
        <v>Norse</v>
      </c>
      <c r="CN63" s="69" t="str">
        <f>$BO$1&amp;$C9</f>
        <v>Norse</v>
      </c>
      <c r="CO63" s="69" t="str">
        <f>$BO$1&amp;$C10</f>
        <v>Norse</v>
      </c>
      <c r="CP63" s="69" t="str">
        <f>$BO$1&amp;$C11</f>
        <v>Norse</v>
      </c>
      <c r="CQ63" s="69" t="str">
        <f>$BO$1&amp;$C12</f>
        <v>Norse</v>
      </c>
      <c r="CR63" s="69" t="str">
        <f>$BO$1&amp;$C13</f>
        <v>Norse</v>
      </c>
      <c r="CS63" s="69" t="str">
        <f>$BO$1&amp;$C14</f>
        <v>Norse</v>
      </c>
      <c r="CT63" s="69" t="str">
        <f>$BO$1&amp;$C15</f>
        <v>Norse</v>
      </c>
      <c r="CU63" s="69" t="str">
        <f>$BO$1&amp;$C16</f>
        <v>Norse</v>
      </c>
      <c r="CV63" s="69" t="str">
        <f>$BO$1&amp;$C17</f>
        <v>Norse</v>
      </c>
      <c r="CW63" s="70"/>
      <c r="CX63" s="2"/>
      <c r="CY63" s="2"/>
      <c r="CZ63" s="2"/>
    </row>
    <row r="64" spans="2:104" ht="15" hidden="1" customHeight="1" x14ac:dyDescent="0.2">
      <c r="B64" s="126" t="s">
        <v>184</v>
      </c>
      <c r="C64" s="123"/>
      <c r="D64" s="123"/>
      <c r="E64" s="123"/>
      <c r="F64" s="123"/>
      <c r="G64" s="2"/>
      <c r="H64" s="2"/>
      <c r="I64" s="2"/>
      <c r="J64" s="2"/>
      <c r="K64" s="126" t="s">
        <v>185</v>
      </c>
      <c r="L64" s="123"/>
      <c r="M64" s="123"/>
      <c r="N64" s="123"/>
      <c r="O64" s="123"/>
      <c r="P64" s="2"/>
      <c r="Q64" s="126" t="s">
        <v>186</v>
      </c>
      <c r="R64" s="123"/>
      <c r="S64" s="123"/>
      <c r="T64" s="123"/>
      <c r="U64" s="123"/>
      <c r="V64" s="2"/>
      <c r="W64" s="126" t="s">
        <v>187</v>
      </c>
      <c r="X64" s="123"/>
      <c r="Y64" s="123"/>
      <c r="Z64" s="123"/>
      <c r="AA64" s="123"/>
      <c r="AB64" s="2"/>
      <c r="AC64" s="126" t="s">
        <v>188</v>
      </c>
      <c r="AD64" s="123"/>
      <c r="AE64" s="123"/>
      <c r="AF64" s="123"/>
      <c r="AG64" s="123"/>
      <c r="AH64" s="2"/>
      <c r="AI64" s="2"/>
      <c r="AJ64" s="2"/>
      <c r="AK64" s="126" t="s">
        <v>189</v>
      </c>
      <c r="AL64" s="123"/>
      <c r="AM64" s="123"/>
      <c r="AN64" s="123"/>
      <c r="AO64" s="123"/>
      <c r="AP64" s="1"/>
      <c r="AQ64" s="1"/>
      <c r="AR64" s="68" t="s">
        <v>190</v>
      </c>
      <c r="AS64" s="68"/>
      <c r="AT64" s="68"/>
      <c r="AU64" s="68"/>
      <c r="AV64" s="68"/>
      <c r="AW64" s="68"/>
      <c r="AX64" s="68" t="s">
        <v>191</v>
      </c>
      <c r="AY64" s="68" t="s">
        <v>192</v>
      </c>
      <c r="AZ64" s="68" t="s">
        <v>193</v>
      </c>
      <c r="BA64" s="68" t="s">
        <v>194</v>
      </c>
      <c r="BB64" s="68" t="s">
        <v>195</v>
      </c>
      <c r="BC64" s="2"/>
      <c r="BD64" s="71" t="s">
        <v>117</v>
      </c>
      <c r="BF64" s="2"/>
      <c r="BG64" s="2"/>
      <c r="BH64" s="71" t="s">
        <v>109</v>
      </c>
      <c r="BK64" s="2"/>
      <c r="BL64" s="71" t="s">
        <v>127</v>
      </c>
      <c r="BM64" s="2"/>
      <c r="BO64" s="71" t="s">
        <v>133</v>
      </c>
      <c r="BP64" s="2"/>
      <c r="BR64" s="71" t="s">
        <v>143</v>
      </c>
      <c r="BS64" s="11"/>
      <c r="BT64" s="2"/>
      <c r="BU64" s="3"/>
      <c r="BV64" s="3"/>
      <c r="BW64" s="2"/>
      <c r="BX64" s="2"/>
      <c r="BY64" s="2"/>
      <c r="BZ64" s="2"/>
      <c r="CA64" s="2"/>
      <c r="CB64" s="2"/>
      <c r="CC64" s="2"/>
      <c r="CD64" s="2">
        <v>0</v>
      </c>
      <c r="CE64" s="2"/>
      <c r="CF64" s="2"/>
      <c r="CG64" s="15" t="s">
        <v>196</v>
      </c>
      <c r="CH64" s="15" t="s">
        <v>197</v>
      </c>
      <c r="CI64" s="11" t="s">
        <v>198</v>
      </c>
      <c r="CJ64" s="11" t="s">
        <v>199</v>
      </c>
      <c r="CK64" s="11" t="s">
        <v>200</v>
      </c>
      <c r="CL64" s="11" t="s">
        <v>201</v>
      </c>
      <c r="CM64" s="11" t="s">
        <v>202</v>
      </c>
      <c r="CN64" s="11" t="s">
        <v>203</v>
      </c>
      <c r="CO64" s="11" t="s">
        <v>204</v>
      </c>
      <c r="CP64" s="11" t="s">
        <v>205</v>
      </c>
      <c r="CQ64" s="11" t="s">
        <v>206</v>
      </c>
      <c r="CR64" s="11" t="s">
        <v>207</v>
      </c>
      <c r="CS64" s="11" t="s">
        <v>208</v>
      </c>
      <c r="CT64" s="11" t="s">
        <v>209</v>
      </c>
      <c r="CU64" s="11" t="s">
        <v>210</v>
      </c>
      <c r="CV64" s="11" t="s">
        <v>211</v>
      </c>
      <c r="CW64" s="4"/>
      <c r="CX64" s="2"/>
      <c r="CY64" s="2"/>
      <c r="CZ64" s="2"/>
    </row>
    <row r="65" spans="2:104" ht="15" hidden="1" customHeight="1" x14ac:dyDescent="0.2">
      <c r="B65" s="122" t="str">
        <f>IF(J29&lt;0,(IF(J24="Italiano","AVETE SPESO TROPPO!   ",IF(J24="Español","¡HAS GASTADO DEMASIADO!   ",(IF(J24="Deutsch","ZU VIEL AUSGEGEBEN!   ",(IF(J24="Français","TU DÉPENSES TROP!   ","YOU HAVE EXPENT TOO MUCH!   "))))))),"")</f>
        <v/>
      </c>
      <c r="C65" s="123"/>
      <c r="D65" s="123"/>
      <c r="E65" s="123"/>
      <c r="F65" s="123"/>
      <c r="G65" s="2"/>
      <c r="H65" s="2"/>
      <c r="I65" s="2"/>
      <c r="J65" s="2"/>
      <c r="K65" s="5" t="s">
        <v>172</v>
      </c>
      <c r="L65" s="5" t="s">
        <v>176</v>
      </c>
      <c r="M65" s="5" t="s">
        <v>174</v>
      </c>
      <c r="N65" s="5" t="s">
        <v>175</v>
      </c>
      <c r="O65" s="5" t="s">
        <v>173</v>
      </c>
      <c r="P65" s="2"/>
      <c r="Q65" s="5" t="s">
        <v>172</v>
      </c>
      <c r="R65" s="5" t="s">
        <v>176</v>
      </c>
      <c r="S65" s="5" t="s">
        <v>174</v>
      </c>
      <c r="T65" s="5" t="s">
        <v>175</v>
      </c>
      <c r="U65" s="5" t="s">
        <v>173</v>
      </c>
      <c r="V65" s="2"/>
      <c r="W65" s="5" t="s">
        <v>172</v>
      </c>
      <c r="X65" s="5" t="s">
        <v>176</v>
      </c>
      <c r="Y65" s="5" t="s">
        <v>174</v>
      </c>
      <c r="Z65" s="5" t="s">
        <v>175</v>
      </c>
      <c r="AA65" s="5" t="s">
        <v>173</v>
      </c>
      <c r="AB65" s="2"/>
      <c r="AC65" s="5" t="s">
        <v>172</v>
      </c>
      <c r="AD65" s="5" t="s">
        <v>176</v>
      </c>
      <c r="AE65" s="5" t="s">
        <v>174</v>
      </c>
      <c r="AF65" s="5" t="s">
        <v>175</v>
      </c>
      <c r="AG65" s="5" t="s">
        <v>173</v>
      </c>
      <c r="AH65" s="2"/>
      <c r="AI65" s="2" t="str">
        <f>IF(J24="English","NI",(IF(J24="Español","LP",(IF(J24="Deutsch","HV",(IF(J24="Français","BP")))))))</f>
        <v>LP</v>
      </c>
      <c r="AJ65" s="2"/>
      <c r="AK65" s="5" t="s">
        <v>172</v>
      </c>
      <c r="AL65" s="5" t="s">
        <v>176</v>
      </c>
      <c r="AM65" s="5" t="s">
        <v>174</v>
      </c>
      <c r="AN65" s="5" t="s">
        <v>175</v>
      </c>
      <c r="AO65" s="5" t="s">
        <v>173</v>
      </c>
      <c r="AP65" s="1"/>
      <c r="AQ65" s="12" t="s">
        <v>165</v>
      </c>
      <c r="AR65" s="2">
        <v>0</v>
      </c>
      <c r="AS65" s="13" t="s">
        <v>165</v>
      </c>
      <c r="AU65" s="2"/>
      <c r="AV65" s="2"/>
      <c r="AW65" s="2"/>
      <c r="AX65" s="2">
        <f>COUNTIF(BS46:BT61,"P")</f>
        <v>0</v>
      </c>
      <c r="AY65" s="2">
        <f>COUNTIF(BS46:BT61,"S")</f>
        <v>0</v>
      </c>
      <c r="AZ65" s="1">
        <f>AX65+AY65+AV37</f>
        <v>0</v>
      </c>
      <c r="BA65" s="2">
        <f>COUNTIF(BS46:BX61,"STAT")</f>
        <v>0</v>
      </c>
      <c r="BB65" s="1">
        <f>(COUNTIF(I18:I20,1))-(COUNTIF(AN18:AO20,0))</f>
        <v>-3</v>
      </c>
      <c r="BC65" s="2"/>
      <c r="BD65" s="72" t="s">
        <v>212</v>
      </c>
      <c r="BE65" s="73">
        <v>100000</v>
      </c>
      <c r="BF65" s="73"/>
      <c r="BG65" s="2"/>
      <c r="BH65" s="74" t="str">
        <f>IF(J24="Español","HECHICERO-DEPORTIVO MERCENARIO",(IF(J24="Deutsch","SPORT-ZAUBERER",(IF(J24="Français","SORCIER-SPORTIF A GAGES","HIRELING SPORT-WIZARD")))))</f>
        <v>HECHICERO-DEPORTIVO MERCENARIO</v>
      </c>
      <c r="BI65" s="73">
        <v>150000</v>
      </c>
      <c r="BJ65" s="73"/>
      <c r="BK65" s="2"/>
      <c r="BL65" s="72" t="s">
        <v>1066</v>
      </c>
      <c r="BM65" s="73">
        <f>IFERROR(IF($BV$2="Bribery and Corruption",80000,120000),0)</f>
        <v>120000</v>
      </c>
      <c r="BN65" s="73"/>
      <c r="BO65" s="72" t="s">
        <v>1071</v>
      </c>
      <c r="BP65" s="73">
        <f>IFERROR((IF(OR(COUNTIF($BU$2,"*BadlandsBrawl*")),50000,0)),0)</f>
        <v>0</v>
      </c>
      <c r="BR65" s="72" t="s">
        <v>1079</v>
      </c>
      <c r="BS65" s="125" t="s">
        <v>213</v>
      </c>
      <c r="BT65" s="125"/>
      <c r="BU65" s="125" t="s">
        <v>170</v>
      </c>
      <c r="BV65" s="125"/>
      <c r="BW65" s="125" t="s">
        <v>171</v>
      </c>
      <c r="BX65" s="125"/>
      <c r="BY65" s="125" t="s">
        <v>214</v>
      </c>
      <c r="BZ65" s="125"/>
      <c r="CA65" s="21" t="str">
        <f>IF($J$24="Italiano","Scelto",(IF($J$24="Español","Elegida",(IF($J$24="Deutsch","Gewählt",(IF($J$24="Français","Choisie","Chosen")))))))</f>
        <v>Elegida</v>
      </c>
      <c r="CB65" s="2"/>
      <c r="CC65" s="21" t="str">
        <f t="shared" ref="CC65:CD69" si="104">""</f>
        <v/>
      </c>
      <c r="CD65" s="21" t="str">
        <f t="shared" si="104"/>
        <v/>
      </c>
      <c r="CE65" s="2"/>
      <c r="CF65" s="2"/>
      <c r="CG65" s="2" t="str">
        <f>IFERROR((IF($CG$62="M",BW66,IF($CG$62="PM",BY66,IF($CG$62="P",BU66,IF($CG$62="FULL",BS66,IF($CG$62="GPSM",CA70,"")))))),"")</f>
        <v/>
      </c>
      <c r="CH65" s="2" t="str">
        <f>IFERROR((IF($CH$62="M",BW66,IF($CH$62="PM",BY66,IF($CH$62="P",BU66,IF($CH$62="FULL",BS66,IF($CH$62="GPSM",CA70,"")))))),"")</f>
        <v/>
      </c>
      <c r="CI65" s="2" t="str">
        <f>IFERROR((IF($CI$62="M",BW66,IF($CI$62="PM",BY66,IF($CI$62="P",BU66,IF($CI$62="FULL",BS66,IF($CI$62="GPSM",CA70,"")))))),"")</f>
        <v/>
      </c>
      <c r="CJ65" s="2" t="str">
        <f>IFERROR((IF($CJ$62="M",BW66,IF($CJ$62="PM",BY66,IF($CJ$62="P",BU66,IF($CJ$62="FULL",BS66,IF($CJ$62="GPSM",CA70,"")))))),"")</f>
        <v/>
      </c>
      <c r="CK65" s="2" t="str">
        <f>IFERROR((IF($CK$62="M",BW66,IF($CK$62="PM",BY66,IF($CK$62="P",BU66,IF($CK$62="FULL",BS66,IF($CK$62="GPSM",CA70,"")))))),"")</f>
        <v/>
      </c>
      <c r="CL65" s="2" t="str">
        <f>IFERROR((IF($CL$62="M",BW66,IF($CL$62="PM",BY66,IF($CL$62="P",BU66,IF($CL$62="FULL",BS66,IF($CL$62="GPSM",CA70,"")))))),"")</f>
        <v/>
      </c>
      <c r="CM65" s="2" t="str">
        <f>IFERROR((IF($CM$62="M",BW66,IF($CM$62="PM",BY66,IF($CM$62="P",BU66,IF($CM$62="FULL",BS66,IF($CM$62="GPSM",CA70,"")))))),"")</f>
        <v/>
      </c>
      <c r="CN65" s="2" t="str">
        <f>IFERROR((IF($CN$62="M",BW66,IF($CN$62="PM",BY66,IF($CN$62="P",BU66,IF($CN$62="FULL",BS66,IF($CN$62="GPSM",CA70,"")))))),"")</f>
        <v/>
      </c>
      <c r="CO65" s="2" t="str">
        <f>IFERROR((IF($CO$62="M",BW66,IF($CO$62="PM",BY66,IF($CO$62="P",BU66,IF($CO$62="FULL",BS66,IF($CO$62="GPSM",CA70,"")))))),"")</f>
        <v/>
      </c>
      <c r="CP65" s="2" t="str">
        <f>IFERROR((IF($CP$62="M",BW66,IF($CP$62="PM",BY66,IF($CP$62="P",BU66,IF($CP$62="FULL",BS66,IF($CP$62="GPSM",CA70,"")))))),"")</f>
        <v/>
      </c>
      <c r="CQ65" s="2" t="str">
        <f>IFERROR((IF($CQ$62="M",BW66,IF($CQ$62="PM",BY66,IF($CQ$62="P",BU66,IF($CQ$62="FULL",BS66,IF($CQ$62="GPSM",CA70,"")))))),"")</f>
        <v/>
      </c>
      <c r="CR65" s="2" t="str">
        <f>IFERROR((IF($CR$62="M",BW66,IF($CR$62="PM",BY66,IF($CR$62="P",BU66,IF($CR$62="FULL",BS66,IF($CR$62="GPSM",CA70,"")))))),"")</f>
        <v/>
      </c>
      <c r="CS65" s="2" t="str">
        <f>IFERROR((IF($CS$62="M",BW66,IF($CS$62="PM",BY66,IF($CS$62="P",BU66,IF($CS$62="FULL",BS66,IF($CS$62="GPSM",CA70,"")))))),"")</f>
        <v/>
      </c>
      <c r="CT65" s="2" t="str">
        <f>IFERROR((IF($CT$62="M",BW66,IF($CT$62="PM",BY66,IF($CT$62="P",BU66,IF($CT$62="FULL",BS66,IF($CT$62="GPSM",CA70,"")))))),"")</f>
        <v/>
      </c>
      <c r="CU65" s="2" t="str">
        <f>IFERROR((IF($CU$62="M",BW66,IF($CU$62="PM",BY66,IF($CU$62="P",BU66,IF($CU$62="FULL",BS66,IF($CU$62="GPSM",CA70,"")))))),"")</f>
        <v/>
      </c>
      <c r="CV65" s="2" t="str">
        <f>IFERROR((IF($CV$62="M",BW66,IF($CV$62="PM",BY66,IF($CV$62="P",BU66,IF($CV$62="FULL",BS66,IF($CV$62="GPSM",CA70,"")))))),"")</f>
        <v/>
      </c>
      <c r="CW65" s="2"/>
      <c r="CX65" s="2"/>
      <c r="CY65" s="2"/>
      <c r="CZ65" s="2"/>
    </row>
    <row r="66" spans="2:104" ht="15" hidden="1" customHeight="1" x14ac:dyDescent="0.2">
      <c r="B66" s="122" t="str">
        <f>IF(K35&lt;BB65,(IF(J24="Italiano","TROPPI GIOCATORI DI STELLE!   ",IF(J24="Español","¡DEMASIADOS JUGADORES ESTRELLA!   ",(IF(J24="Deutsch","ZU VIELE STARSPIELER!   ",(IF(J24="Français","TROP DE STARS PLAYERS!   ","TOO MANY STAR PLAYERS!   "))))))),"")</f>
        <v/>
      </c>
      <c r="C66" s="123"/>
      <c r="D66" s="123"/>
      <c r="E66" s="123"/>
      <c r="F66" s="123"/>
      <c r="G66" s="2"/>
      <c r="H66" s="2"/>
      <c r="I66" s="2"/>
      <c r="J66" s="2"/>
      <c r="K66" s="2">
        <f t="shared" ref="K66:K81" si="105">IF(Q66=0,0,(IF(Q66&gt;9,9,(IF(Q66&lt;1,1,Q66)))))</f>
        <v>0</v>
      </c>
      <c r="L66" s="2">
        <f t="shared" ref="L66:L81" si="106">IF(R66=0,0,(IF(R66&gt;8,8,(IF(R66&lt;1,1,R66)))))</f>
        <v>0</v>
      </c>
      <c r="M66" s="2">
        <f t="shared" ref="M66:N66" si="107">IF(S66=0,0,(IF(S66&gt;6,6,(IF(S66&lt;1,1,S66)))))</f>
        <v>0</v>
      </c>
      <c r="N66" s="2">
        <f t="shared" si="107"/>
        <v>0</v>
      </c>
      <c r="O66" s="2">
        <f t="shared" ref="O66:O81" si="108">IF(U66=0,0,(IF(U66&gt;11,11,(IF(U66&lt;3,3,U66)))))</f>
        <v>0</v>
      </c>
      <c r="P66" s="2"/>
      <c r="Q66" s="1">
        <f>IFERROR((VLOOKUP($BO$1&amp;C2,TeamsBB2020!D:M,2,0)+AK66+AC66),0)</f>
        <v>0</v>
      </c>
      <c r="R66" s="1">
        <f>IFERROR((VLOOKUP($BO$1&amp;C2,TeamsBB2020!D:M,3,0)+AL66+AD66),0)</f>
        <v>0</v>
      </c>
      <c r="S66" s="1">
        <f>IFERROR((VLOOKUP($BO$1&amp;C2,TeamsBB2020!D:M,4,0)+AM66-AE66),0)</f>
        <v>0</v>
      </c>
      <c r="T66" s="1">
        <f>IFERROR((VLOOKUP($BO$1&amp;C2,TeamsBB2020!D:M,5,0)+AN66-AF66),0)</f>
        <v>0</v>
      </c>
      <c r="U66" s="1">
        <f>IFERROR((VLOOKUP($BO$1&amp;C2,TeamsBB2020!D:M,6,0)+AO66+AG66),0)</f>
        <v>0</v>
      </c>
      <c r="V66" s="2"/>
      <c r="W66" s="2">
        <f>IFERROR((VLOOKUP($BO$1&amp;C2,TeamsBB2020!D:M,2,0)),0)</f>
        <v>0</v>
      </c>
      <c r="X66" s="2">
        <f>IFERROR((VLOOKUP($BO$1&amp;C2,TeamsBB2020!D:M,3,0)),0)</f>
        <v>0</v>
      </c>
      <c r="Y66" s="2">
        <f>IFERROR((VLOOKUP($BO$1&amp;C2,TeamsBB2020!D:M,4,0)),0)</f>
        <v>0</v>
      </c>
      <c r="Z66" s="2">
        <f>IFERROR((VLOOKUP($BO$1&amp;C2,TeamsBB2020!D:M,5,0)),0)</f>
        <v>0</v>
      </c>
      <c r="AA66" s="2">
        <f>IFERROR((VLOOKUP($BO$1&amp;C2,TeamsBB2020!D:M,6,0)),0)</f>
        <v>0</v>
      </c>
      <c r="AB66" s="2"/>
      <c r="AC66" s="2">
        <f t="shared" ref="AC66:AC81" si="109">IF((COUNTIF(BK46:BP46,"MA"))&gt;2,2,(COUNTIF(BK46:BP46,"MA")))</f>
        <v>0</v>
      </c>
      <c r="AD66" s="2">
        <f t="shared" ref="AD66:AD81" si="110">IF((COUNTIF(BK46:BP46,"ST"))&gt;2,2,(COUNTIF(BK46:BP46,"ST")))</f>
        <v>0</v>
      </c>
      <c r="AE66" s="2">
        <f t="shared" ref="AE66:AE81" si="111">IF((COUNTIF(BK46:BP46,"AG"))&gt;2,2,(COUNTIF(BK46:BP46,"AG")))</f>
        <v>0</v>
      </c>
      <c r="AF66" s="2">
        <f t="shared" ref="AF66:AF81" si="112">IF((COUNTIF(BK46:BP46,"PA"))&gt;2,2,(COUNTIF(BK46:BP46,"PA")))</f>
        <v>0</v>
      </c>
      <c r="AG66" s="2">
        <f t="shared" ref="AG66:AG81" si="113">IF((COUNTIF(BK46:BP46,"AV"))&gt;2,2,(COUNTIF(BK46:BP46,"AV")))</f>
        <v>0</v>
      </c>
      <c r="AH66" s="2"/>
      <c r="AJ66" s="2"/>
      <c r="AK66" s="1">
        <f t="shared" ref="AK66:AK81" si="114">IF(OR(AG2="-1 MO",AG2="-1 MA",AG2="-1 BE",AG2="-1 M"),-1,(IF(OR(AG2="-2 MO",AG2="-2 MA",AG2="-2 BE",AG2="-2 M"),-2,0)))</f>
        <v>0</v>
      </c>
      <c r="AL66" s="1">
        <f t="shared" ref="AL66:AL81" si="115">IF(OR(AG2="-1 ST",AG2="-1 FU",AG2="-1 F"),-1,(IF(OR(AG2="-2 ST",AG2="-2 FU",AG2="-2 F"),-2,0)))</f>
        <v>0</v>
      </c>
      <c r="AM66" s="1">
        <f t="shared" ref="AM66:AM81" si="116">IF(OR(AG2="1 AG",AG2="1 GE"),1,(IF(OR(AG2="2 AG",AG2="2 GE"),2,0)))</f>
        <v>0</v>
      </c>
      <c r="AN66" s="1">
        <f t="shared" ref="AN66:AN81" si="117">IF(OR(AG2="1 PA",AG2="1 WG",AG2="1 CP"),1,(IF(OR(AG2="2 PA",AG2="2 WG",AG2="2 CP"),2,0)))</f>
        <v>0</v>
      </c>
      <c r="AO66" s="1">
        <f t="shared" ref="AO66:AO81" si="118">IF(OR(AG2="-1 AV",AG2="-1 AR",AG2="-1 RW"),-1,(IF(OR(AG2="-2 AV",AG2="-2 AR",AG2="-2 RW"),-2,0)))</f>
        <v>0</v>
      </c>
      <c r="AP66" s="1"/>
      <c r="AQ66" s="12">
        <v>1</v>
      </c>
      <c r="AR66" s="12">
        <v>600000</v>
      </c>
      <c r="AS66" s="12">
        <v>10000</v>
      </c>
      <c r="AT66" s="76" t="str">
        <f>IF(J24="English","-1 MA",(IF(J24="Español","-1 MO",(IF(J24="Deutsch","-1 BE",(IF(J24="Français","-1 M")))))))</f>
        <v>-1 MO</v>
      </c>
      <c r="AU66" s="1"/>
      <c r="AV66" s="1"/>
      <c r="AW66" s="1"/>
      <c r="AX66" s="68"/>
      <c r="AY66" s="2"/>
      <c r="AZ66" s="2"/>
      <c r="BA66" s="2"/>
      <c r="BB66" s="2"/>
      <c r="BC66" s="73"/>
      <c r="BD66" s="72" t="s">
        <v>1047</v>
      </c>
      <c r="BE66" s="73">
        <f>IFERROR((IF(OR(COUNTIF($BU$2,"*ElvenKingdomsLeague*"),COUNTIF($BU$2,"*LustrianSuperleague*"),COUNTIF($BU$2,"*OldWorldClassic*"),COUNTIF($BU$2,"*WorldsEdgeSuperleague*")),50000,0)),0)</f>
        <v>50000</v>
      </c>
      <c r="BF66" s="73"/>
      <c r="BH66" s="72" t="s">
        <v>1056</v>
      </c>
      <c r="BI66" s="73">
        <f>IFERROR((IF(OR(COUNTIF($BU$2,"*Favouredof*"),COUNTIF($BU$2,"*UnderworldChallenge*")),150000,0)),0)</f>
        <v>150000</v>
      </c>
      <c r="BJ66" s="73"/>
      <c r="BK66" s="2"/>
      <c r="BL66" s="72" t="s">
        <v>1067</v>
      </c>
      <c r="BM66" s="73">
        <f>IFERROR((IF(OR(COUNTIF($BU$2,"*LustrianSuperleague*"),COUNTIF($BU$2,"*OldWorldClassic*")),130000,0)),0)</f>
        <v>130000</v>
      </c>
      <c r="BN66" s="73"/>
      <c r="BO66" s="72" t="s">
        <v>1072</v>
      </c>
      <c r="BP66" s="73">
        <f>IFERROR((IF(OR(COUNTIF(BO2,"*Nurgle*")),30000,0)),0)</f>
        <v>0</v>
      </c>
      <c r="BR66" s="72" t="s">
        <v>1080</v>
      </c>
      <c r="BS66" s="21" t="str">
        <f t="shared" ref="BS66:CB75" si="119">""</f>
        <v/>
      </c>
      <c r="BT66" s="21" t="str">
        <f t="shared" si="119"/>
        <v/>
      </c>
      <c r="BU66" s="21" t="str">
        <f t="shared" si="119"/>
        <v/>
      </c>
      <c r="BV66" s="21" t="str">
        <f t="shared" si="119"/>
        <v/>
      </c>
      <c r="BW66" s="21" t="str">
        <f t="shared" si="119"/>
        <v/>
      </c>
      <c r="BX66" s="21" t="str">
        <f t="shared" si="119"/>
        <v/>
      </c>
      <c r="BY66" s="21" t="str">
        <f t="shared" si="119"/>
        <v/>
      </c>
      <c r="BZ66" s="21" t="str">
        <f t="shared" si="119"/>
        <v/>
      </c>
      <c r="CA66" s="21" t="str">
        <f>IF($J$24="Italiano","Casuale",(IF($J$24="Español","Aleatoria",(IF($J$24="Deutsch","Zufällig",(IF($J$24="Français","Aléatoire","Random")))))))</f>
        <v>Aleatoria</v>
      </c>
      <c r="CB66" s="2"/>
      <c r="CC66" s="21" t="str">
        <f t="shared" si="104"/>
        <v/>
      </c>
      <c r="CD66" s="21" t="str">
        <f t="shared" si="104"/>
        <v/>
      </c>
      <c r="CE66" s="2"/>
      <c r="CF66" s="2"/>
      <c r="CG66" s="2" t="str">
        <f t="shared" ref="CG66:CG129" si="120">IFERROR((IF($CG$62="M",BW67,IF($CG$62="PM",BY67,IF($CG$62="P",BU67,IF($CG$62="FULL",BS67,IF($CG$62="GPSM",CA71,"")))))),"")</f>
        <v/>
      </c>
      <c r="CH66" s="2" t="str">
        <f t="shared" ref="CH66:CH129" si="121">IFERROR((IF($CH$62="M",BW67,IF($CH$62="PM",BY67,IF($CH$62="P",BU67,IF($CH$62="FULL",BS67,IF($CH$62="GPSM",CA71,"")))))),"")</f>
        <v/>
      </c>
      <c r="CI66" s="2" t="str">
        <f t="shared" ref="CI66:CI129" si="122">IFERROR((IF($CI$62="M",BW67,IF($CI$62="PM",BY67,IF($CI$62="P",BU67,IF($CI$62="FULL",BS67,IF($CI$62="GPSM",CA71,"")))))),"")</f>
        <v/>
      </c>
      <c r="CJ66" s="2" t="str">
        <f t="shared" ref="CJ66:CJ129" si="123">IFERROR((IF($CJ$62="M",BW67,IF($CJ$62="PM",BY67,IF($CJ$62="P",BU67,IF($CJ$62="FULL",BS67,IF($CJ$62="GPSM",CA71,"")))))),"")</f>
        <v/>
      </c>
      <c r="CK66" s="2" t="str">
        <f t="shared" ref="CK66:CK129" si="124">IFERROR((IF($CK$62="M",BW67,IF($CK$62="PM",BY67,IF($CK$62="P",BU67,IF($CK$62="FULL",BS67,IF($CK$62="GPSM",CA71,"")))))),"")</f>
        <v/>
      </c>
      <c r="CL66" s="2" t="str">
        <f t="shared" ref="CL66:CL129" si="125">IFERROR((IF($CL$62="M",BW67,IF($CL$62="PM",BY67,IF($CL$62="P",BU67,IF($CL$62="FULL",BS67,IF($CL$62="GPSM",CA71,"")))))),"")</f>
        <v/>
      </c>
      <c r="CM66" s="2" t="str">
        <f t="shared" ref="CM66:CM129" si="126">IFERROR((IF($CM$62="M",BW67,IF($CM$62="PM",BY67,IF($CM$62="P",BU67,IF($CM$62="FULL",BS67,IF($CM$62="GPSM",CA71,"")))))),"")</f>
        <v/>
      </c>
      <c r="CN66" s="2" t="str">
        <f t="shared" ref="CN66:CN129" si="127">IFERROR((IF($CN$62="M",BW67,IF($CN$62="PM",BY67,IF($CN$62="P",BU67,IF($CN$62="FULL",BS67,IF($CN$62="GPSM",CA71,"")))))),"")</f>
        <v/>
      </c>
      <c r="CO66" s="2" t="str">
        <f t="shared" ref="CO66:CO129" si="128">IFERROR((IF($CO$62="M",BW67,IF($CO$62="PM",BY67,IF($CO$62="P",BU67,IF($CO$62="FULL",BS67,IF($CO$62="GPSM",CA71,"")))))),"")</f>
        <v/>
      </c>
      <c r="CP66" s="2" t="str">
        <f t="shared" ref="CP66:CP129" si="129">IFERROR((IF($CP$62="M",BW67,IF($CP$62="PM",BY67,IF($CP$62="P",BU67,IF($CP$62="FULL",BS67,IF($CP$62="GPSM",CA71,"")))))),"")</f>
        <v/>
      </c>
      <c r="CQ66" s="2" t="str">
        <f t="shared" ref="CQ66:CQ129" si="130">IFERROR((IF($CQ$62="M",BW67,IF($CQ$62="PM",BY67,IF($CQ$62="P",BU67,IF($CQ$62="FULL",BS67,IF($CQ$62="GPSM",CA71,"")))))),"")</f>
        <v/>
      </c>
      <c r="CR66" s="2" t="str">
        <f t="shared" ref="CR66:CR129" si="131">IFERROR((IF($CR$62="M",BW67,IF($CR$62="PM",BY67,IF($CR$62="P",BU67,IF($CR$62="FULL",BS67,IF($CR$62="GPSM",CA71,"")))))),"")</f>
        <v/>
      </c>
      <c r="CS66" s="2" t="str">
        <f t="shared" ref="CS66:CS129" si="132">IFERROR((IF($CS$62="M",BW67,IF($CS$62="PM",BY67,IF($CS$62="P",BU67,IF($CS$62="FULL",BS67,IF($CS$62="GPSM",CA71,"")))))),"")</f>
        <v/>
      </c>
      <c r="CT66" s="2" t="str">
        <f t="shared" ref="CT66:CT129" si="133">IFERROR((IF($CT$62="M",BW67,IF($CT$62="PM",BY67,IF($CT$62="P",BU67,IF($CT$62="FULL",BS67,IF($CT$62="GPSM",CA71,"")))))),"")</f>
        <v/>
      </c>
      <c r="CU66" s="2" t="str">
        <f t="shared" ref="CU66:CU129" si="134">IFERROR((IF($CU$62="M",BW67,IF($CU$62="PM",BY67,IF($CU$62="P",BU67,IF($CU$62="FULL",BS67,IF($CU$62="GPSM",CA71,"")))))),"")</f>
        <v/>
      </c>
      <c r="CV66" s="2" t="str">
        <f t="shared" ref="CV66:CV129" si="135">IFERROR((IF($CV$62="M",BW67,IF($CV$62="PM",BY67,IF($CV$62="P",BU67,IF($CV$62="FULL",BS67,IF($CV$62="GPSM",CA71,"")))))),"")</f>
        <v/>
      </c>
      <c r="CW66" s="2"/>
      <c r="CX66" s="2"/>
      <c r="CY66" s="2"/>
      <c r="CZ66" s="2"/>
    </row>
    <row r="67" spans="2:104" ht="15" hidden="1" customHeight="1" x14ac:dyDescent="0.2">
      <c r="B67" s="122" t="str">
        <f>IF(C37&lt;&gt;AZ65,(IF(J24="Italiano","DEVI AVERE 6 ABILITÀ (3 PRIMARIE E 3 SECONDARIE CON LA POSSIBILITÀ DI SCAMBIARE OGNI SECONDARIA CON UNA PRIMARIA) (LE MEGASTAR ELIMINANO 3 ABILITÀ SECONDARIE)!   ",IF(J24="Español","¡DEBES TENER 6 HABILIDAES (3 HABILIDADES PRIMARIAS Y 3 SECUNDARIAS PUDIENDO CAMBIAR CADA SECUNDARIA POR UNA PRIMARIA) (LOS MEGAESTRELLAS QUITAN 3 SECUNDARIAS)!   ",(IF(J24="Deutsch","SIE MÜSSEN ÜBER 6 FERTIGKEITEN VERFÜGEN (3 PRIMÄR- UND 3 SEKUNDÄRFERTIGKEITEN MIT DER MÖGLICHKEIT, JEDE SEKUNDÄRFERTIGKEIT GEGEN EINE PRIMÄRFERTIGKEIT AUSZUTAUSCHEN) (MEGASTARS ENTFERNEN 3 SEKUNDÄRFERTIGKEITEN)!   ",(IF(J24="Français","VOUS DEVEZ AVOIR 6 COMPÉTENCES (3 PRIMAIRES ET 3 SECONDAIRES AVEC LA POSSIBILITÉ D'ÉCHANGER CHAQUE SECONDAIRE CONTRE UNE PRIMAIRE) (LES MÉGASTARS SUPPRIMENT 3 COMPÉTENCES SECONDAIRES)!   ","YOU MUST HAVE 6 SKILLS (3 PRIMARY AND 3 SECONDARY SKILLS WITH THE ABILITY TO SWAP EACH SECONDARY FOR A PRIMARY) (MEGASTARS REMOVE 3 SECONDARY SKILLS)!   "))))))),"")</f>
        <v xml:space="preserve">¡DEBES TENER 6 HABILIDAES (3 HABILIDADES PRIMARIAS Y 3 SECUNDARIAS PUDIENDO CAMBIAR CADA SECUNDARIA POR UNA PRIMARIA) (LOS MEGAESTRELLAS QUITAN 3 SECUNDARIAS)!   </v>
      </c>
      <c r="C67" s="123"/>
      <c r="D67" s="123"/>
      <c r="E67" s="123"/>
      <c r="F67" s="123"/>
      <c r="G67" s="2"/>
      <c r="H67" s="2"/>
      <c r="I67" s="2"/>
      <c r="J67" s="2"/>
      <c r="K67" s="2">
        <f t="shared" si="105"/>
        <v>0</v>
      </c>
      <c r="L67" s="2">
        <f t="shared" si="106"/>
        <v>0</v>
      </c>
      <c r="M67" s="2">
        <f t="shared" ref="M67:N67" si="136">IF(S67=0,0,(IF(S67&gt;6,6,(IF(S67&lt;1,1,S67)))))</f>
        <v>0</v>
      </c>
      <c r="N67" s="2">
        <f t="shared" si="136"/>
        <v>0</v>
      </c>
      <c r="O67" s="2">
        <f t="shared" si="108"/>
        <v>0</v>
      </c>
      <c r="P67" s="2"/>
      <c r="Q67" s="1">
        <f>IFERROR((VLOOKUP($BO$1&amp;C3,TeamsBB2020!D:M,2,0)+AK67+AC67),0)</f>
        <v>0</v>
      </c>
      <c r="R67" s="1">
        <f>IFERROR((VLOOKUP($BO$1&amp;C3,TeamsBB2020!D:M,3,0)+AL67+AD67),0)</f>
        <v>0</v>
      </c>
      <c r="S67" s="1">
        <f>IFERROR((VLOOKUP($BO$1&amp;C3,TeamsBB2020!D:M,4,0)+AM67-AE67),0)</f>
        <v>0</v>
      </c>
      <c r="T67" s="1">
        <f>IFERROR((VLOOKUP($BO$1&amp;C3,TeamsBB2020!D:M,5,0)+AN67-AF67),0)</f>
        <v>0</v>
      </c>
      <c r="U67" s="1">
        <f>IFERROR((VLOOKUP($BO$1&amp;C3,TeamsBB2020!D:M,6,0)+AO67+AG67),0)</f>
        <v>0</v>
      </c>
      <c r="V67" s="2"/>
      <c r="W67" s="2">
        <f>IFERROR((VLOOKUP($BO$1&amp;C3,TeamsBB2020!D:M,2,0)),0)</f>
        <v>0</v>
      </c>
      <c r="X67" s="2">
        <f>IFERROR((VLOOKUP($BO$1&amp;C3,TeamsBB2020!D:M,3,0)),0)</f>
        <v>0</v>
      </c>
      <c r="Y67" s="2">
        <f>IFERROR((VLOOKUP($BO$1&amp;C3,TeamsBB2020!D:M,4,0)),0)</f>
        <v>0</v>
      </c>
      <c r="Z67" s="2">
        <f>IFERROR((VLOOKUP($BO$1&amp;C3,TeamsBB2020!D:M,5,0)),0)</f>
        <v>0</v>
      </c>
      <c r="AA67" s="2">
        <f>IFERROR((VLOOKUP($BO$1&amp;C3,TeamsBB2020!D:M,6,0)),0)</f>
        <v>0</v>
      </c>
      <c r="AB67" s="2"/>
      <c r="AC67" s="2">
        <f t="shared" si="109"/>
        <v>0</v>
      </c>
      <c r="AD67" s="2">
        <f t="shared" si="110"/>
        <v>0</v>
      </c>
      <c r="AE67" s="2">
        <f t="shared" si="111"/>
        <v>0</v>
      </c>
      <c r="AF67" s="2">
        <f t="shared" si="112"/>
        <v>0</v>
      </c>
      <c r="AG67" s="2">
        <f t="shared" si="113"/>
        <v>0</v>
      </c>
      <c r="AH67" s="2"/>
      <c r="AI67" s="2">
        <v>0</v>
      </c>
      <c r="AJ67" s="2"/>
      <c r="AK67" s="1">
        <f t="shared" si="114"/>
        <v>0</v>
      </c>
      <c r="AL67" s="1">
        <f t="shared" si="115"/>
        <v>0</v>
      </c>
      <c r="AM67" s="1">
        <f t="shared" si="116"/>
        <v>0</v>
      </c>
      <c r="AN67" s="1">
        <f t="shared" si="117"/>
        <v>0</v>
      </c>
      <c r="AO67" s="1">
        <f t="shared" si="118"/>
        <v>0</v>
      </c>
      <c r="AP67" s="2"/>
      <c r="AQ67" s="13">
        <v>2</v>
      </c>
      <c r="AR67" s="12">
        <v>605000</v>
      </c>
      <c r="AS67" s="12">
        <v>20000</v>
      </c>
      <c r="AT67" s="76" t="str">
        <f>IF(J24="English","-2 MA",(IF(J24="Español","-2 MO",(IF(J24="Deutsch","-2 BE",(IF(J24="Français","-2 M")))))))</f>
        <v>-2 MO</v>
      </c>
      <c r="AU67" s="1"/>
      <c r="AV67" s="1"/>
      <c r="AW67" s="1"/>
      <c r="AX67" s="77" t="s">
        <v>165</v>
      </c>
      <c r="AY67" s="78">
        <v>0</v>
      </c>
      <c r="AZ67" s="2"/>
      <c r="BA67" s="2" t="s">
        <v>116</v>
      </c>
      <c r="BB67" s="2"/>
      <c r="BC67" s="2"/>
      <c r="BD67" s="72" t="s">
        <v>1048</v>
      </c>
      <c r="BE67" s="73">
        <f>IFERROR((IF(OR(COUNTIF($BU$2,"*Favouredof*"),COUNTIF($BU$2,"*UnderworldChallenge*")),80000,0)),0)</f>
        <v>80000</v>
      </c>
      <c r="BH67" s="72" t="s">
        <v>1057</v>
      </c>
      <c r="BI67" s="73">
        <f>IFERROR((IF(OR(COUNTIF($BU$2,"*Favouredof*"),COUNTIF($BU$2,"*ElvenKingdomsLeague*")),150000,0)),0)</f>
        <v>150000</v>
      </c>
      <c r="BK67" s="2"/>
      <c r="BL67" s="72" t="s">
        <v>1068</v>
      </c>
      <c r="BM67" s="73">
        <f>IFERROR((IF(OR(COUNTIF($BU$2,"*WorldsEdgeSuperleague*")),120000,0)),0)</f>
        <v>0</v>
      </c>
      <c r="BN67" s="2"/>
      <c r="BO67" s="72" t="s">
        <v>1073</v>
      </c>
      <c r="BP67" s="73">
        <f>IFERROR((IF(OR(COUNTIF($BU$2,"*OldWorldClassic*"),COUNTIF($BU$2,"*WorldsEdgeSuperleague*")),50000,0)),0)</f>
        <v>50000</v>
      </c>
      <c r="BR67" s="72" t="s">
        <v>1081</v>
      </c>
      <c r="BS67" s="21" t="str">
        <f t="shared" si="119"/>
        <v/>
      </c>
      <c r="BT67" s="21" t="str">
        <f t="shared" si="119"/>
        <v/>
      </c>
      <c r="BU67" s="21" t="str">
        <f t="shared" si="119"/>
        <v/>
      </c>
      <c r="BV67" s="21" t="str">
        <f t="shared" si="119"/>
        <v/>
      </c>
      <c r="BW67" s="21" t="str">
        <f t="shared" si="119"/>
        <v/>
      </c>
      <c r="BX67" s="21" t="str">
        <f t="shared" si="119"/>
        <v/>
      </c>
      <c r="BY67" s="21" t="str">
        <f t="shared" si="119"/>
        <v/>
      </c>
      <c r="BZ67" s="21" t="str">
        <f t="shared" si="119"/>
        <v/>
      </c>
      <c r="CA67" s="2"/>
      <c r="CB67" s="2"/>
      <c r="CC67" s="21" t="str">
        <f t="shared" si="104"/>
        <v/>
      </c>
      <c r="CD67" s="21" t="str">
        <f t="shared" si="104"/>
        <v/>
      </c>
      <c r="CE67" s="2"/>
      <c r="CF67" s="2"/>
      <c r="CG67" s="2" t="str">
        <f t="shared" si="120"/>
        <v/>
      </c>
      <c r="CH67" s="2" t="str">
        <f t="shared" si="121"/>
        <v/>
      </c>
      <c r="CI67" s="2" t="str">
        <f t="shared" si="122"/>
        <v/>
      </c>
      <c r="CJ67" s="2" t="str">
        <f t="shared" si="123"/>
        <v/>
      </c>
      <c r="CK67" s="2" t="str">
        <f t="shared" si="124"/>
        <v/>
      </c>
      <c r="CL67" s="2" t="str">
        <f t="shared" si="125"/>
        <v/>
      </c>
      <c r="CM67" s="2" t="str">
        <f t="shared" si="126"/>
        <v/>
      </c>
      <c r="CN67" s="2" t="str">
        <f t="shared" si="127"/>
        <v/>
      </c>
      <c r="CO67" s="2" t="str">
        <f t="shared" si="128"/>
        <v/>
      </c>
      <c r="CP67" s="2" t="str">
        <f t="shared" si="129"/>
        <v/>
      </c>
      <c r="CQ67" s="2" t="str">
        <f t="shared" si="130"/>
        <v/>
      </c>
      <c r="CR67" s="2" t="str">
        <f t="shared" si="131"/>
        <v/>
      </c>
      <c r="CS67" s="2" t="str">
        <f t="shared" si="132"/>
        <v/>
      </c>
      <c r="CT67" s="2" t="str">
        <f t="shared" si="133"/>
        <v/>
      </c>
      <c r="CU67" s="2" t="str">
        <f t="shared" si="134"/>
        <v/>
      </c>
      <c r="CV67" s="2" t="str">
        <f t="shared" si="135"/>
        <v/>
      </c>
      <c r="CW67" s="2"/>
      <c r="CX67" s="2"/>
      <c r="CY67" s="2"/>
      <c r="CZ67" s="2"/>
    </row>
    <row r="68" spans="2:104" ht="15" hidden="1" customHeight="1" x14ac:dyDescent="0.2">
      <c r="B68" s="122" t="str">
        <f>IF(K37&lt;AX65,(IF(J24="Italiano","TROPPE ABILITÀ PRIMARIE!   ",IF(J24="Español","¡DEMASIADAS HABILIDADES PRIMARIAS!   ",(IF(J24="Deutsch","ZU VIELE PRIMÄRE FERTIGKEITEN!   ",(IF(J24="Français","TROP DE COMP PRIMAIRES!   ","TOO MANY PRIMARY SKILLS!   "))))))),"")</f>
        <v/>
      </c>
      <c r="C68" s="123"/>
      <c r="D68" s="123"/>
      <c r="E68" s="123"/>
      <c r="F68" s="123"/>
      <c r="G68" s="2"/>
      <c r="H68" s="2"/>
      <c r="I68" s="2"/>
      <c r="J68" s="2"/>
      <c r="K68" s="2">
        <f t="shared" si="105"/>
        <v>0</v>
      </c>
      <c r="L68" s="2">
        <f t="shared" si="106"/>
        <v>0</v>
      </c>
      <c r="M68" s="2">
        <f t="shared" ref="M68:N68" si="137">IF(S68=0,0,(IF(S68&gt;6,6,(IF(S68&lt;1,1,S68)))))</f>
        <v>0</v>
      </c>
      <c r="N68" s="2">
        <f t="shared" si="137"/>
        <v>0</v>
      </c>
      <c r="O68" s="2">
        <f t="shared" si="108"/>
        <v>0</v>
      </c>
      <c r="P68" s="2"/>
      <c r="Q68" s="1">
        <f>IFERROR((VLOOKUP($BO$1&amp;C4,TeamsBB2020!D:M,2,0)+AK68+AC68),0)</f>
        <v>0</v>
      </c>
      <c r="R68" s="1">
        <f>IFERROR((VLOOKUP($BO$1&amp;C4,TeamsBB2020!D:M,3,0)+AL68+AD68),0)</f>
        <v>0</v>
      </c>
      <c r="S68" s="1">
        <f>IFERROR((VLOOKUP($BO$1&amp;C4,TeamsBB2020!D:M,4,0)+AM68-AE68),0)</f>
        <v>0</v>
      </c>
      <c r="T68" s="1">
        <f>IFERROR((VLOOKUP($BO$1&amp;C4,TeamsBB2020!D:M,5,0)+AN68-AF68),0)</f>
        <v>0</v>
      </c>
      <c r="U68" s="1">
        <f>IFERROR((VLOOKUP($BO$1&amp;C4,TeamsBB2020!D:M,6,0)+AO68+AG68),0)</f>
        <v>0</v>
      </c>
      <c r="V68" s="2"/>
      <c r="W68" s="2">
        <f>IFERROR((VLOOKUP($BO$1&amp;C4,TeamsBB2020!D:M,2,0)),0)</f>
        <v>0</v>
      </c>
      <c r="X68" s="2">
        <f>IFERROR((VLOOKUP($BO$1&amp;C4,TeamsBB2020!D:M,3,0)),0)</f>
        <v>0</v>
      </c>
      <c r="Y68" s="2">
        <f>IFERROR((VLOOKUP($BO$1&amp;C4,TeamsBB2020!D:M,4,0)),0)</f>
        <v>0</v>
      </c>
      <c r="Z68" s="2">
        <f>IFERROR((VLOOKUP($BO$1&amp;C4,TeamsBB2020!D:M,5,0)),0)</f>
        <v>0</v>
      </c>
      <c r="AA68" s="2">
        <f>IFERROR((VLOOKUP($BO$1&amp;C4,TeamsBB2020!D:M,6,0)),0)</f>
        <v>0</v>
      </c>
      <c r="AB68" s="2"/>
      <c r="AC68" s="2">
        <f t="shared" si="109"/>
        <v>0</v>
      </c>
      <c r="AD68" s="2">
        <f t="shared" si="110"/>
        <v>0</v>
      </c>
      <c r="AE68" s="2">
        <f t="shared" si="111"/>
        <v>0</v>
      </c>
      <c r="AF68" s="2">
        <f t="shared" si="112"/>
        <v>0</v>
      </c>
      <c r="AG68" s="2">
        <f t="shared" si="113"/>
        <v>0</v>
      </c>
      <c r="AH68" s="2"/>
      <c r="AI68" s="2">
        <v>-1</v>
      </c>
      <c r="AJ68" s="2"/>
      <c r="AK68" s="1">
        <f t="shared" si="114"/>
        <v>0</v>
      </c>
      <c r="AL68" s="1">
        <f t="shared" si="115"/>
        <v>0</v>
      </c>
      <c r="AM68" s="1">
        <f t="shared" si="116"/>
        <v>0</v>
      </c>
      <c r="AN68" s="1">
        <f t="shared" si="117"/>
        <v>0</v>
      </c>
      <c r="AO68" s="1">
        <f t="shared" si="118"/>
        <v>0</v>
      </c>
      <c r="AP68" s="2"/>
      <c r="AQ68" s="13">
        <v>3</v>
      </c>
      <c r="AR68" s="12">
        <v>610000</v>
      </c>
      <c r="AS68" s="12">
        <v>30000</v>
      </c>
      <c r="AT68" s="76" t="str">
        <f>IF(J24="English","-1 ST",(IF(J24="Español","-1 FU",(IF(J24="Deutsch","-1 ST",(IF(J24="Français","-1 F")))))))</f>
        <v>-1 FU</v>
      </c>
      <c r="AU68" s="1"/>
      <c r="AV68" s="1"/>
      <c r="AW68" s="1"/>
      <c r="AX68" s="78">
        <v>0</v>
      </c>
      <c r="AY68" s="78">
        <v>1</v>
      </c>
      <c r="AZ68" s="2"/>
      <c r="BA68" s="2" t="s">
        <v>215</v>
      </c>
      <c r="BB68" s="2"/>
      <c r="BC68" s="2"/>
      <c r="BD68" s="72" t="s">
        <v>1049</v>
      </c>
      <c r="BE68" s="73">
        <f>IFERROR((IF(COUNTIF($BU$2,"*ElvenKingdomsLeague*"),40000,0)),0)</f>
        <v>0</v>
      </c>
      <c r="BH68" s="72" t="s">
        <v>1058</v>
      </c>
      <c r="BI68" s="73">
        <f>IFERROR((IF(OR(COUNTIF($BU$2,"*ElvenKingdomsLeague*")),150000,0)),0)</f>
        <v>0</v>
      </c>
      <c r="BK68" s="73"/>
      <c r="BL68" s="72" t="s">
        <v>1069</v>
      </c>
      <c r="BM68" s="73">
        <f>IFERROR(IF($BV$2="Bribery and Corruption",80000,120000),0)</f>
        <v>120000</v>
      </c>
      <c r="BN68" s="73"/>
      <c r="BO68" s="72" t="s">
        <v>1074</v>
      </c>
      <c r="BP68" s="73">
        <f>IFERROR(IF(COUNTIF($BU$2,"*HalflingThimbleCup*"),60000,(IF(COUNTIF($BU$2,"*OldWorldClassic*"),80000,0))),0)</f>
        <v>80000</v>
      </c>
      <c r="BR68" s="72" t="s">
        <v>1082</v>
      </c>
      <c r="BS68" s="21" t="str">
        <f t="shared" si="119"/>
        <v/>
      </c>
      <c r="BT68" s="21" t="str">
        <f t="shared" si="119"/>
        <v/>
      </c>
      <c r="BU68" s="21" t="str">
        <f t="shared" si="119"/>
        <v/>
      </c>
      <c r="BV68" s="21" t="str">
        <f t="shared" si="119"/>
        <v/>
      </c>
      <c r="BW68" s="21" t="str">
        <f t="shared" si="119"/>
        <v/>
      </c>
      <c r="BX68" s="21" t="str">
        <f t="shared" si="119"/>
        <v/>
      </c>
      <c r="BY68" s="21" t="str">
        <f t="shared" si="119"/>
        <v/>
      </c>
      <c r="BZ68" s="21" t="str">
        <f t="shared" si="119"/>
        <v/>
      </c>
      <c r="CA68" s="46"/>
      <c r="CB68" s="1"/>
      <c r="CC68" s="21" t="str">
        <f t="shared" si="104"/>
        <v/>
      </c>
      <c r="CD68" s="21" t="str">
        <f t="shared" si="104"/>
        <v/>
      </c>
      <c r="CE68" s="2"/>
      <c r="CF68" s="2"/>
      <c r="CG68" s="2" t="str">
        <f t="shared" si="120"/>
        <v/>
      </c>
      <c r="CH68" s="2" t="str">
        <f t="shared" si="121"/>
        <v/>
      </c>
      <c r="CI68" s="2" t="str">
        <f t="shared" si="122"/>
        <v/>
      </c>
      <c r="CJ68" s="2" t="str">
        <f t="shared" si="123"/>
        <v/>
      </c>
      <c r="CK68" s="2" t="str">
        <f t="shared" si="124"/>
        <v/>
      </c>
      <c r="CL68" s="2" t="str">
        <f t="shared" si="125"/>
        <v/>
      </c>
      <c r="CM68" s="2" t="str">
        <f t="shared" si="126"/>
        <v/>
      </c>
      <c r="CN68" s="2" t="str">
        <f t="shared" si="127"/>
        <v/>
      </c>
      <c r="CO68" s="2" t="str">
        <f t="shared" si="128"/>
        <v/>
      </c>
      <c r="CP68" s="2" t="str">
        <f t="shared" si="129"/>
        <v/>
      </c>
      <c r="CQ68" s="2" t="str">
        <f t="shared" si="130"/>
        <v/>
      </c>
      <c r="CR68" s="2" t="str">
        <f t="shared" si="131"/>
        <v/>
      </c>
      <c r="CS68" s="2" t="str">
        <f t="shared" si="132"/>
        <v/>
      </c>
      <c r="CT68" s="2" t="str">
        <f t="shared" si="133"/>
        <v/>
      </c>
      <c r="CU68" s="2" t="str">
        <f t="shared" si="134"/>
        <v/>
      </c>
      <c r="CV68" s="2" t="str">
        <f t="shared" si="135"/>
        <v/>
      </c>
      <c r="CW68" s="2"/>
      <c r="CX68" s="2"/>
      <c r="CY68" s="2"/>
      <c r="CZ68" s="2"/>
    </row>
    <row r="69" spans="2:104" ht="15" hidden="1" customHeight="1" x14ac:dyDescent="0.2">
      <c r="B69" s="122" t="str">
        <f>IF(Q37&lt;AY65,(IF(J24="Italiano","TROPPE ABILITÀ SECONDARIE!   ",IF(J24="Español","¡DEMASIADAS HABILIDADES SECUNDARIAS!   ",(IF(J24="Deutsch","ZU VIELE SEKUNDÄRE FERTIGKEITEN!   ",(IF(J24="Français","TROP DE COMP SECONDAIRES!   ","TOO MANY SECONDARY SKILLS!   "))))))),"")</f>
        <v/>
      </c>
      <c r="C69" s="123"/>
      <c r="D69" s="123"/>
      <c r="E69" s="123"/>
      <c r="F69" s="123"/>
      <c r="G69" s="2"/>
      <c r="H69" s="2"/>
      <c r="I69" s="2"/>
      <c r="J69" s="2"/>
      <c r="K69" s="2">
        <f t="shared" si="105"/>
        <v>0</v>
      </c>
      <c r="L69" s="2">
        <f t="shared" si="106"/>
        <v>0</v>
      </c>
      <c r="M69" s="2">
        <f t="shared" ref="M69:N69" si="138">IF(S69=0,0,(IF(S69&gt;6,6,(IF(S69&lt;1,1,S69)))))</f>
        <v>0</v>
      </c>
      <c r="N69" s="2">
        <f t="shared" si="138"/>
        <v>0</v>
      </c>
      <c r="O69" s="2">
        <f t="shared" si="108"/>
        <v>0</v>
      </c>
      <c r="P69" s="2" t="s">
        <v>216</v>
      </c>
      <c r="Q69" s="1">
        <f>IFERROR((VLOOKUP($BO$1&amp;C5,TeamsBB2020!D:M,2,0)+AK69+AC69),0)</f>
        <v>0</v>
      </c>
      <c r="R69" s="1">
        <f>IFERROR((VLOOKUP($BO$1&amp;C5,TeamsBB2020!D:M,3,0)+AL69+AD69),0)</f>
        <v>0</v>
      </c>
      <c r="S69" s="1">
        <f>IFERROR((VLOOKUP($BO$1&amp;C5,TeamsBB2020!D:M,4,0)+AM69-AE69),0)</f>
        <v>0</v>
      </c>
      <c r="T69" s="1">
        <f>IFERROR((VLOOKUP($BO$1&amp;C5,TeamsBB2020!D:M,5,0)+AN69-AF69),0)</f>
        <v>0</v>
      </c>
      <c r="U69" s="1">
        <f>IFERROR((VLOOKUP($BO$1&amp;C5,TeamsBB2020!D:M,6,0)+AO69+AG69),0)</f>
        <v>0</v>
      </c>
      <c r="V69" s="2"/>
      <c r="W69" s="2">
        <f>IFERROR((VLOOKUP($BO$1&amp;C5,TeamsBB2020!D:M,2,0)),0)</f>
        <v>0</v>
      </c>
      <c r="X69" s="2">
        <f>IFERROR((VLOOKUP($BO$1&amp;C5,TeamsBB2020!D:M,3,0)),0)</f>
        <v>0</v>
      </c>
      <c r="Y69" s="2">
        <f>IFERROR((VLOOKUP($BO$1&amp;C5,TeamsBB2020!D:M,4,0)),0)</f>
        <v>0</v>
      </c>
      <c r="Z69" s="2">
        <f>IFERROR((VLOOKUP($BO$1&amp;C5,TeamsBB2020!D:M,5,0)),0)</f>
        <v>0</v>
      </c>
      <c r="AA69" s="2">
        <f>IFERROR((VLOOKUP($BO$1&amp;C5,TeamsBB2020!D:M,6,0)),0)</f>
        <v>0</v>
      </c>
      <c r="AB69" s="5"/>
      <c r="AC69" s="2">
        <f t="shared" si="109"/>
        <v>0</v>
      </c>
      <c r="AD69" s="2">
        <f t="shared" si="110"/>
        <v>0</v>
      </c>
      <c r="AE69" s="2">
        <f t="shared" si="111"/>
        <v>0</v>
      </c>
      <c r="AF69" s="2">
        <f t="shared" si="112"/>
        <v>0</v>
      </c>
      <c r="AG69" s="2">
        <f t="shared" si="113"/>
        <v>0</v>
      </c>
      <c r="AH69" s="5"/>
      <c r="AI69" s="2">
        <v>-2</v>
      </c>
      <c r="AJ69" s="2"/>
      <c r="AK69" s="1">
        <f t="shared" si="114"/>
        <v>0</v>
      </c>
      <c r="AL69" s="1">
        <f t="shared" si="115"/>
        <v>0</v>
      </c>
      <c r="AM69" s="1">
        <f t="shared" si="116"/>
        <v>0</v>
      </c>
      <c r="AN69" s="1">
        <f t="shared" si="117"/>
        <v>0</v>
      </c>
      <c r="AO69" s="1">
        <f t="shared" si="118"/>
        <v>0</v>
      </c>
      <c r="AP69" s="5"/>
      <c r="AQ69" s="12">
        <v>4</v>
      </c>
      <c r="AR69" s="12">
        <v>615000</v>
      </c>
      <c r="AS69" s="12">
        <v>40000</v>
      </c>
      <c r="AT69" s="76" t="str">
        <f>IF(J24="English","-2 ST",(IF(J24="Español","-2 FU",(IF(J24="Deutsch","-2 ST",(IF(J24="Français","-2 F")))))))</f>
        <v>-2 FU</v>
      </c>
      <c r="AU69" s="1"/>
      <c r="AV69" s="1"/>
      <c r="AW69" s="1"/>
      <c r="AX69" s="78">
        <v>1</v>
      </c>
      <c r="AY69" s="78">
        <v>2</v>
      </c>
      <c r="AZ69" s="2" t="s">
        <v>216</v>
      </c>
      <c r="BA69" s="2" t="s">
        <v>217</v>
      </c>
      <c r="BB69" s="2"/>
      <c r="BC69" s="2"/>
      <c r="BD69" s="72" t="s">
        <v>1050</v>
      </c>
      <c r="BE69" s="73">
        <f>IFERROR((IF(COUNTIF($BU$2,"*UnderworldChallenge*"),70000,0)),0)</f>
        <v>0</v>
      </c>
      <c r="BH69" s="72" t="s">
        <v>1059</v>
      </c>
      <c r="BI69" s="73">
        <f>IFERROR((IF(OR(COUNTIF($BU$2,"*LustrianSuperleague*")),200000,0)),0)</f>
        <v>0</v>
      </c>
      <c r="BK69" s="73"/>
      <c r="BL69" s="72" t="s">
        <v>1070</v>
      </c>
      <c r="BM69" s="73">
        <f>IFERROR((IF(OR(COUNTIF($BU$2,"*HalflingThimbleCup*")),40000,80000)),0)</f>
        <v>80000</v>
      </c>
      <c r="BN69" s="73"/>
      <c r="BO69" s="72" t="s">
        <v>1075</v>
      </c>
      <c r="BP69" s="73">
        <f>IFERROR(IF(COUNTIF($BU$2,"*HalflingThimbleCup*"),30000,(IF(COUNTIF($BU$2,"*OldWorldClassic*"),40000,0))),0)</f>
        <v>40000</v>
      </c>
      <c r="BR69" s="72"/>
      <c r="BS69" s="21" t="str">
        <f t="shared" si="119"/>
        <v/>
      </c>
      <c r="BT69" s="21" t="str">
        <f t="shared" si="119"/>
        <v/>
      </c>
      <c r="BU69" s="21" t="str">
        <f t="shared" si="119"/>
        <v/>
      </c>
      <c r="BV69" s="21" t="str">
        <f t="shared" si="119"/>
        <v/>
      </c>
      <c r="BW69" s="21" t="str">
        <f t="shared" si="119"/>
        <v/>
      </c>
      <c r="BX69" s="21" t="str">
        <f t="shared" si="119"/>
        <v/>
      </c>
      <c r="BY69" s="21" t="str">
        <f t="shared" si="119"/>
        <v/>
      </c>
      <c r="BZ69" s="21" t="str">
        <f t="shared" si="119"/>
        <v/>
      </c>
      <c r="CA69" s="124" t="s">
        <v>1474</v>
      </c>
      <c r="CB69" s="125"/>
      <c r="CC69" s="21" t="str">
        <f t="shared" si="104"/>
        <v/>
      </c>
      <c r="CD69" s="21" t="str">
        <f t="shared" si="104"/>
        <v/>
      </c>
      <c r="CE69" s="2"/>
      <c r="CF69" s="2"/>
      <c r="CG69" s="2" t="str">
        <f t="shared" si="120"/>
        <v/>
      </c>
      <c r="CH69" s="2" t="str">
        <f t="shared" si="121"/>
        <v/>
      </c>
      <c r="CI69" s="2" t="str">
        <f t="shared" si="122"/>
        <v/>
      </c>
      <c r="CJ69" s="2" t="str">
        <f t="shared" si="123"/>
        <v/>
      </c>
      <c r="CK69" s="2" t="str">
        <f t="shared" si="124"/>
        <v/>
      </c>
      <c r="CL69" s="2" t="str">
        <f t="shared" si="125"/>
        <v/>
      </c>
      <c r="CM69" s="2" t="str">
        <f t="shared" si="126"/>
        <v/>
      </c>
      <c r="CN69" s="2" t="str">
        <f t="shared" si="127"/>
        <v/>
      </c>
      <c r="CO69" s="2" t="str">
        <f t="shared" si="128"/>
        <v/>
      </c>
      <c r="CP69" s="2" t="str">
        <f t="shared" si="129"/>
        <v/>
      </c>
      <c r="CQ69" s="2" t="str">
        <f t="shared" si="130"/>
        <v/>
      </c>
      <c r="CR69" s="2" t="str">
        <f t="shared" si="131"/>
        <v/>
      </c>
      <c r="CS69" s="2" t="str">
        <f t="shared" si="132"/>
        <v/>
      </c>
      <c r="CT69" s="2" t="str">
        <f t="shared" si="133"/>
        <v/>
      </c>
      <c r="CU69" s="2" t="str">
        <f t="shared" si="134"/>
        <v/>
      </c>
      <c r="CV69" s="2" t="str">
        <f t="shared" si="135"/>
        <v/>
      </c>
      <c r="CW69" s="2"/>
      <c r="CX69" s="2"/>
      <c r="CY69" s="2"/>
      <c r="CZ69" s="2"/>
    </row>
    <row r="70" spans="2:104" ht="15" hidden="1" customHeight="1" x14ac:dyDescent="0.2">
      <c r="B70" s="122" t="str">
        <f>IF(AS44&lt;11,(IF(J24="Italiano","SERVONO 11 GIOCATORI!   ",IF(J24="Español","¡NECESITAS 11 JUGADORES!   ",(IF(J24="Deutsch","MAN BRAUCHT 11 SPIELER!   ",(IF(J24="Français","IL FAUT 11 JOUEURS!   ","YOU NEED 11 PLAYERS!   "))))))),"")</f>
        <v xml:space="preserve">¡NECESITAS 11 JUGADORES!   </v>
      </c>
      <c r="C70" s="123"/>
      <c r="D70" s="123"/>
      <c r="E70" s="123"/>
      <c r="F70" s="123"/>
      <c r="G70" s="2"/>
      <c r="H70" s="2"/>
      <c r="I70" s="2"/>
      <c r="J70" s="2"/>
      <c r="K70" s="2">
        <f t="shared" si="105"/>
        <v>0</v>
      </c>
      <c r="L70" s="2">
        <f t="shared" si="106"/>
        <v>0</v>
      </c>
      <c r="M70" s="2">
        <f t="shared" ref="M70:N70" si="139">IF(S70=0,0,(IF(S70&gt;6,6,(IF(S70&lt;1,1,S70)))))</f>
        <v>0</v>
      </c>
      <c r="N70" s="2">
        <f t="shared" si="139"/>
        <v>0</v>
      </c>
      <c r="O70" s="2">
        <f t="shared" si="108"/>
        <v>0</v>
      </c>
      <c r="P70" s="2"/>
      <c r="Q70" s="1">
        <f>IFERROR((VLOOKUP($BO$1&amp;C6,TeamsBB2020!D:M,2,0)+AK70+AC70),0)</f>
        <v>0</v>
      </c>
      <c r="R70" s="1">
        <f>IFERROR((VLOOKUP($BO$1&amp;C6,TeamsBB2020!D:M,3,0)+AL70+AD70),0)</f>
        <v>0</v>
      </c>
      <c r="S70" s="1">
        <f>IFERROR((VLOOKUP($BO$1&amp;C6,TeamsBB2020!D:M,4,0)+AM70-AE70),0)</f>
        <v>0</v>
      </c>
      <c r="T70" s="1">
        <f>IFERROR((VLOOKUP($BO$1&amp;C6,TeamsBB2020!D:M,5,0)+AN70-AF70),0)</f>
        <v>0</v>
      </c>
      <c r="U70" s="1">
        <f>IFERROR((VLOOKUP($BO$1&amp;C6,TeamsBB2020!D:M,6,0)+AO70+AG70),0)</f>
        <v>0</v>
      </c>
      <c r="V70" s="2"/>
      <c r="W70" s="2">
        <f>IFERROR((VLOOKUP($BO$1&amp;C6,TeamsBB2020!D:M,2,0)),0)</f>
        <v>0</v>
      </c>
      <c r="X70" s="2">
        <f>IFERROR((VLOOKUP($BO$1&amp;C6,TeamsBB2020!D:M,3,0)),0)</f>
        <v>0</v>
      </c>
      <c r="Y70" s="2">
        <f>IFERROR((VLOOKUP($BO$1&amp;C6,TeamsBB2020!D:M,4,0)),0)</f>
        <v>0</v>
      </c>
      <c r="Z70" s="2">
        <f>IFERROR((VLOOKUP($BO$1&amp;C6,TeamsBB2020!D:M,5,0)),0)</f>
        <v>0</v>
      </c>
      <c r="AA70" s="2">
        <f>IFERROR((VLOOKUP($BO$1&amp;C6,TeamsBB2020!D:M,6,0)),0)</f>
        <v>0</v>
      </c>
      <c r="AB70" s="2"/>
      <c r="AC70" s="2">
        <f t="shared" si="109"/>
        <v>0</v>
      </c>
      <c r="AD70" s="2">
        <f t="shared" si="110"/>
        <v>0</v>
      </c>
      <c r="AE70" s="2">
        <f t="shared" si="111"/>
        <v>0</v>
      </c>
      <c r="AF70" s="2">
        <f t="shared" si="112"/>
        <v>0</v>
      </c>
      <c r="AG70" s="2">
        <f t="shared" si="113"/>
        <v>0</v>
      </c>
      <c r="AH70" s="2"/>
      <c r="AI70" s="79" t="s">
        <v>216</v>
      </c>
      <c r="AJ70" s="2"/>
      <c r="AK70" s="1">
        <f t="shared" si="114"/>
        <v>0</v>
      </c>
      <c r="AL70" s="1">
        <f t="shared" si="115"/>
        <v>0</v>
      </c>
      <c r="AM70" s="1">
        <f t="shared" si="116"/>
        <v>0</v>
      </c>
      <c r="AN70" s="1">
        <f t="shared" si="117"/>
        <v>0</v>
      </c>
      <c r="AO70" s="1">
        <f t="shared" si="118"/>
        <v>0</v>
      </c>
      <c r="AP70" s="2"/>
      <c r="AQ70" s="13">
        <v>5</v>
      </c>
      <c r="AR70" s="12">
        <v>620000</v>
      </c>
      <c r="AS70" s="12">
        <v>50000</v>
      </c>
      <c r="AT70" s="76" t="str">
        <f>IF(J24="English","1 PA",(IF(J24="Español","1 PA",(IF(J24="Deutsch","1 WG",(IF(J24="Français","1 CP")))))))</f>
        <v>1 PA</v>
      </c>
      <c r="AU70" s="1"/>
      <c r="AV70" s="1"/>
      <c r="AW70" s="1"/>
      <c r="AX70" s="78">
        <v>2</v>
      </c>
      <c r="AY70" s="78">
        <v>3</v>
      </c>
      <c r="AZ70" s="2"/>
      <c r="BA70" s="2" t="s">
        <v>218</v>
      </c>
      <c r="BB70" s="2"/>
      <c r="BC70" s="2"/>
      <c r="BD70" s="72" t="s">
        <v>1051</v>
      </c>
      <c r="BE70" s="73">
        <v>100000</v>
      </c>
      <c r="BH70" s="72" t="s">
        <v>1060</v>
      </c>
      <c r="BI70" s="73">
        <f>IFERROR((IF(OR(COUNTIF(BO2,"*Nurgle*"),COUNTIF($BU$2,"*UnderworldChallenge*")),150000,0)),0)</f>
        <v>0</v>
      </c>
      <c r="BK70" s="73"/>
      <c r="BL70" s="73"/>
      <c r="BM70" s="2"/>
      <c r="BN70" s="73"/>
      <c r="BO70" s="72" t="s">
        <v>1076</v>
      </c>
      <c r="BP70" s="73">
        <f>IFERROR((IF(OR(COUNTIF(BO2,"*Halfling*"),COUNTIF(J23,"*Goblin*"),COUNTIF(J23,"*Ogre*"),COUNTIF(J23,"*Snotling*")),30000,0)),0)</f>
        <v>0</v>
      </c>
      <c r="BR70" s="72"/>
      <c r="BS70" s="21" t="str">
        <f t="shared" si="119"/>
        <v/>
      </c>
      <c r="BT70" s="21" t="str">
        <f t="shared" si="119"/>
        <v/>
      </c>
      <c r="BU70" s="21" t="str">
        <f t="shared" si="119"/>
        <v/>
      </c>
      <c r="BV70" s="21" t="str">
        <f t="shared" si="119"/>
        <v/>
      </c>
      <c r="BW70" s="21" t="str">
        <f t="shared" si="119"/>
        <v/>
      </c>
      <c r="BX70" s="21" t="str">
        <f t="shared" si="119"/>
        <v/>
      </c>
      <c r="BY70" s="21" t="str">
        <f t="shared" si="119"/>
        <v/>
      </c>
      <c r="BZ70" s="21" t="str">
        <f t="shared" si="119"/>
        <v/>
      </c>
      <c r="CA70" s="21" t="str">
        <f t="shared" si="119"/>
        <v/>
      </c>
      <c r="CB70" s="21" t="str">
        <f t="shared" si="119"/>
        <v/>
      </c>
      <c r="CC70" s="21" t="str">
        <f>IF($J$24="Español","Agallas",(IF($J$24="Deutsch","Abwehren",(IF($J$24="Français","Arracher le ballon","Block")))))</f>
        <v>Agallas</v>
      </c>
      <c r="CD70" s="2" t="s">
        <v>167</v>
      </c>
      <c r="CE70" s="80"/>
      <c r="CF70" s="2"/>
      <c r="CG70" s="2" t="str">
        <f t="shared" si="120"/>
        <v/>
      </c>
      <c r="CH70" s="2" t="str">
        <f t="shared" si="121"/>
        <v/>
      </c>
      <c r="CI70" s="2" t="str">
        <f t="shared" si="122"/>
        <v/>
      </c>
      <c r="CJ70" s="2" t="str">
        <f t="shared" si="123"/>
        <v/>
      </c>
      <c r="CK70" s="2" t="str">
        <f t="shared" si="124"/>
        <v/>
      </c>
      <c r="CL70" s="2" t="str">
        <f t="shared" si="125"/>
        <v/>
      </c>
      <c r="CM70" s="2" t="str">
        <f t="shared" si="126"/>
        <v/>
      </c>
      <c r="CN70" s="2" t="str">
        <f t="shared" si="127"/>
        <v/>
      </c>
      <c r="CO70" s="2" t="str">
        <f t="shared" si="128"/>
        <v/>
      </c>
      <c r="CP70" s="2" t="str">
        <f t="shared" si="129"/>
        <v/>
      </c>
      <c r="CQ70" s="2" t="str">
        <f t="shared" si="130"/>
        <v/>
      </c>
      <c r="CR70" s="2" t="str">
        <f t="shared" si="131"/>
        <v/>
      </c>
      <c r="CS70" s="2" t="str">
        <f t="shared" si="132"/>
        <v/>
      </c>
      <c r="CT70" s="2" t="str">
        <f t="shared" si="133"/>
        <v/>
      </c>
      <c r="CU70" s="2" t="str">
        <f t="shared" si="134"/>
        <v/>
      </c>
      <c r="CV70" s="2" t="str">
        <f t="shared" si="135"/>
        <v/>
      </c>
      <c r="CW70" s="2"/>
      <c r="CX70" s="2"/>
      <c r="CY70" s="2"/>
      <c r="CZ70" s="2"/>
    </row>
    <row r="71" spans="2:104" ht="15" hidden="1" customHeight="1" x14ac:dyDescent="0.2">
      <c r="B71" s="122" t="str">
        <f>(IF(J21&lt;&gt;"","",(IF(J24="Italiano","È NECESSARIO INSERIRE IL NOME DELL'ALLENATORE!   ",IF(J24="Español","¡DEBES PONER EL NOMBRE DEL ENTRENADOR!   ",(IF(J24="Deutsch","SIE MÜSSEN DEN NAMEN DES AUSBILDERS ANGEBEN!   ",(IF(J24="Français","VOUS DEVEZ INDIQUER LE NOM DU FORMATEUR!   ","YOU MUST PUT THE NAME OF THE COACH!   ")))))))))&amp;(IF(J22&lt;&gt;"","",(IF(J24="Italiano","È NECESSARIO INSERIRE IL NUMERO NAF (se non lo avete mettete 0)!   ",IF(J24="Español","¡DEBES PONER EL NUMERO NAF (si no tienes pon 0)!   ",(IF(J24="Deutsch","SIE MÜSSEN DIE NAF-NUMMER EINGEBEN (wenn Sie sie nicht haben, geben Sie 0 ein)!   ",(IF(J24="Français","VOUS DEVEZ INSCRIRE LE NUMÉRO NAF (si vous ne l'avez pas, mettez 0)!   ","YOU MUST PUT IN THE NAF NUMBER (if you don't have it put 0)!   ")))))))))</f>
        <v xml:space="preserve">¡DEBES PONER EL NOMBRE DEL ENTRENADOR!   ¡DEBES PONER EL NUMERO NAF (si no tienes pon 0)!   </v>
      </c>
      <c r="C71" s="123"/>
      <c r="D71" s="123"/>
      <c r="E71" s="123"/>
      <c r="F71" s="123"/>
      <c r="G71" s="2"/>
      <c r="H71" s="2"/>
      <c r="I71" s="2"/>
      <c r="J71" s="2"/>
      <c r="K71" s="2">
        <f t="shared" si="105"/>
        <v>0</v>
      </c>
      <c r="L71" s="2">
        <f t="shared" si="106"/>
        <v>0</v>
      </c>
      <c r="M71" s="2">
        <f t="shared" ref="M71:N71" si="140">IF(S71=0,0,(IF(S71&gt;6,6,(IF(S71&lt;1,1,S71)))))</f>
        <v>0</v>
      </c>
      <c r="N71" s="2">
        <f t="shared" si="140"/>
        <v>0</v>
      </c>
      <c r="O71" s="2">
        <f t="shared" si="108"/>
        <v>0</v>
      </c>
      <c r="P71" s="2"/>
      <c r="Q71" s="1">
        <f>IFERROR((VLOOKUP($BO$1&amp;C7,TeamsBB2020!D:M,2,0)+AK71+AC71),0)</f>
        <v>0</v>
      </c>
      <c r="R71" s="1">
        <f>IFERROR((VLOOKUP($BO$1&amp;C7,TeamsBB2020!D:M,3,0)+AL71+AD71),0)</f>
        <v>0</v>
      </c>
      <c r="S71" s="1">
        <f>IFERROR((VLOOKUP($BO$1&amp;C7,TeamsBB2020!D:M,4,0)+AM71-AE71),0)</f>
        <v>0</v>
      </c>
      <c r="T71" s="1">
        <f>IFERROR((VLOOKUP($BO$1&amp;C7,TeamsBB2020!D:M,5,0)+AN71-AF71),0)</f>
        <v>0</v>
      </c>
      <c r="U71" s="1">
        <f>IFERROR((VLOOKUP($BO$1&amp;C7,TeamsBB2020!D:M,6,0)+AO71+AG71),0)</f>
        <v>0</v>
      </c>
      <c r="V71" s="2"/>
      <c r="W71" s="2">
        <f>IFERROR((VLOOKUP($BO$1&amp;C7,TeamsBB2020!D:M,2,0)),0)</f>
        <v>0</v>
      </c>
      <c r="X71" s="2">
        <f>IFERROR((VLOOKUP($BO$1&amp;C7,TeamsBB2020!D:M,3,0)),0)</f>
        <v>0</v>
      </c>
      <c r="Y71" s="2">
        <f>IFERROR((VLOOKUP($BO$1&amp;C7,TeamsBB2020!D:M,4,0)),0)</f>
        <v>0</v>
      </c>
      <c r="Z71" s="2">
        <f>IFERROR((VLOOKUP($BO$1&amp;C7,TeamsBB2020!D:M,5,0)),0)</f>
        <v>0</v>
      </c>
      <c r="AA71" s="2">
        <f>IFERROR((VLOOKUP($BO$1&amp;C7,TeamsBB2020!D:M,6,0)),0)</f>
        <v>0</v>
      </c>
      <c r="AB71" s="2"/>
      <c r="AC71" s="2">
        <f t="shared" si="109"/>
        <v>0</v>
      </c>
      <c r="AD71" s="2">
        <f t="shared" si="110"/>
        <v>0</v>
      </c>
      <c r="AE71" s="2">
        <f t="shared" si="111"/>
        <v>0</v>
      </c>
      <c r="AF71" s="2">
        <f t="shared" si="112"/>
        <v>0</v>
      </c>
      <c r="AG71" s="2">
        <f t="shared" si="113"/>
        <v>0</v>
      </c>
      <c r="AH71" s="2"/>
      <c r="AI71" s="2">
        <v>0</v>
      </c>
      <c r="AJ71" s="2"/>
      <c r="AK71" s="1">
        <f t="shared" si="114"/>
        <v>0</v>
      </c>
      <c r="AL71" s="1">
        <f t="shared" si="115"/>
        <v>0</v>
      </c>
      <c r="AM71" s="1">
        <f t="shared" si="116"/>
        <v>0</v>
      </c>
      <c r="AN71" s="1">
        <f t="shared" si="117"/>
        <v>0</v>
      </c>
      <c r="AO71" s="1">
        <f t="shared" si="118"/>
        <v>0</v>
      </c>
      <c r="AP71" s="2"/>
      <c r="AQ71" s="13">
        <v>6</v>
      </c>
      <c r="AR71" s="12">
        <v>625000</v>
      </c>
      <c r="AS71" s="12">
        <v>60000</v>
      </c>
      <c r="AT71" s="76" t="str">
        <f>IF(J24="English","2 PA",(IF(J24="Español","2 PA",(IF(J24="Deutsch","2 WG",(IF(J24="Français","2 CP")))))))</f>
        <v>2 PA</v>
      </c>
      <c r="AU71" s="1"/>
      <c r="AV71" s="1"/>
      <c r="AW71" s="1"/>
      <c r="AX71" s="78">
        <v>3</v>
      </c>
      <c r="AY71" s="78">
        <v>4</v>
      </c>
      <c r="AZ71" s="2"/>
      <c r="BA71" s="21" t="s">
        <v>1040</v>
      </c>
      <c r="BB71" s="2"/>
      <c r="BC71" s="2"/>
      <c r="BD71" s="72" t="s">
        <v>1052</v>
      </c>
      <c r="BE71" s="73">
        <f>IFERROR((IF(COUNTIF($BU$2,"*SylvanianSpotlight*"),130000,0)),0)</f>
        <v>0</v>
      </c>
      <c r="BH71" s="72" t="s">
        <v>1061</v>
      </c>
      <c r="BI71" s="73">
        <f>IFERROR((IF(COUNTIF($BU$2,"*SylvanianSpotlight*"),150000,0)),0)</f>
        <v>0</v>
      </c>
      <c r="BK71" s="73"/>
      <c r="BL71" s="73"/>
      <c r="BM71" s="2"/>
      <c r="BN71" s="73"/>
      <c r="BO71" s="72" t="s">
        <v>1077</v>
      </c>
      <c r="BP71" s="73">
        <v>30000</v>
      </c>
      <c r="BR71" s="74"/>
      <c r="BS71" s="21" t="str">
        <f t="shared" si="119"/>
        <v/>
      </c>
      <c r="BT71" s="21" t="str">
        <f t="shared" si="119"/>
        <v/>
      </c>
      <c r="BU71" s="21" t="str">
        <f t="shared" si="119"/>
        <v/>
      </c>
      <c r="BV71" s="21" t="str">
        <f t="shared" si="119"/>
        <v/>
      </c>
      <c r="BW71" s="21" t="str">
        <f t="shared" si="119"/>
        <v/>
      </c>
      <c r="BX71" s="21" t="str">
        <f t="shared" si="119"/>
        <v/>
      </c>
      <c r="BY71" s="21" t="str">
        <f t="shared" si="119"/>
        <v/>
      </c>
      <c r="BZ71" s="21" t="str">
        <f t="shared" si="119"/>
        <v/>
      </c>
      <c r="CA71" s="21" t="str">
        <f t="shared" si="119"/>
        <v/>
      </c>
      <c r="CB71" s="21" t="str">
        <f t="shared" si="119"/>
        <v/>
      </c>
      <c r="CC71" s="75" t="str">
        <f>IF($J$24="Español","Forcejear",(IF($J$24="Deutsch","Ball entreißen",(IF($J$24="Français","Blocage","Dauntless")))))</f>
        <v>Forcejear</v>
      </c>
      <c r="CD71" s="2" t="s">
        <v>167</v>
      </c>
      <c r="CE71" s="80"/>
      <c r="CF71" s="2"/>
      <c r="CG71" s="2" t="str">
        <f t="shared" si="120"/>
        <v/>
      </c>
      <c r="CH71" s="2" t="str">
        <f t="shared" si="121"/>
        <v/>
      </c>
      <c r="CI71" s="2" t="str">
        <f t="shared" si="122"/>
        <v/>
      </c>
      <c r="CJ71" s="2" t="str">
        <f t="shared" si="123"/>
        <v/>
      </c>
      <c r="CK71" s="2" t="str">
        <f t="shared" si="124"/>
        <v/>
      </c>
      <c r="CL71" s="2" t="str">
        <f t="shared" si="125"/>
        <v/>
      </c>
      <c r="CM71" s="2" t="str">
        <f t="shared" si="126"/>
        <v/>
      </c>
      <c r="CN71" s="2" t="str">
        <f t="shared" si="127"/>
        <v/>
      </c>
      <c r="CO71" s="2" t="str">
        <f t="shared" si="128"/>
        <v/>
      </c>
      <c r="CP71" s="2" t="str">
        <f t="shared" si="129"/>
        <v/>
      </c>
      <c r="CQ71" s="2" t="str">
        <f t="shared" si="130"/>
        <v/>
      </c>
      <c r="CR71" s="2" t="str">
        <f t="shared" si="131"/>
        <v/>
      </c>
      <c r="CS71" s="2" t="str">
        <f t="shared" si="132"/>
        <v/>
      </c>
      <c r="CT71" s="2" t="str">
        <f t="shared" si="133"/>
        <v/>
      </c>
      <c r="CU71" s="2" t="str">
        <f t="shared" si="134"/>
        <v/>
      </c>
      <c r="CV71" s="2" t="str">
        <f t="shared" si="135"/>
        <v/>
      </c>
      <c r="CW71" s="2"/>
      <c r="CX71" s="2"/>
      <c r="CY71" s="2"/>
      <c r="CZ71" s="2"/>
    </row>
    <row r="72" spans="2:104" ht="15" hidden="1" customHeight="1" x14ac:dyDescent="0.2">
      <c r="B72" s="122" t="str">
        <f>IF((SUM(AT36:AU41))=2,(IF(J24="Italiano","NON SI POSSONO AVERE DUE SUPERSTAR!   ",IF(J24="Español","¡NO PUEDES TENER DOS SUPERESTRELLAS!   ",(IF(J24="Deutsch","MAN KANN NICHT ZWEI SUPERSTARS HABEN!   ",(IF(J24="Français","ON NE PEUT PAS AVOIR DEUX SUPERSTARS!   ","YOU CAN'T HAVE TWO SUPERSTARS!   "))))))),"")</f>
        <v/>
      </c>
      <c r="C72" s="123"/>
      <c r="D72" s="123"/>
      <c r="E72" s="123"/>
      <c r="F72" s="123"/>
      <c r="G72" s="2"/>
      <c r="H72" s="2"/>
      <c r="I72" s="2"/>
      <c r="J72" s="2"/>
      <c r="K72" s="2">
        <f t="shared" si="105"/>
        <v>0</v>
      </c>
      <c r="L72" s="2">
        <f t="shared" si="106"/>
        <v>0</v>
      </c>
      <c r="M72" s="2">
        <f t="shared" ref="M72:N72" si="141">IF(S72=0,0,(IF(S72&gt;6,6,(IF(S72&lt;1,1,S72)))))</f>
        <v>0</v>
      </c>
      <c r="N72" s="2">
        <f t="shared" si="141"/>
        <v>0</v>
      </c>
      <c r="O72" s="2">
        <f t="shared" si="108"/>
        <v>0</v>
      </c>
      <c r="P72" s="2"/>
      <c r="Q72" s="1">
        <f>IFERROR((VLOOKUP($BO$1&amp;C8,TeamsBB2020!D:M,2,0)+AK72+AC72),0)</f>
        <v>0</v>
      </c>
      <c r="R72" s="1">
        <f>IFERROR((VLOOKUP($BO$1&amp;C8,TeamsBB2020!D:M,3,0)+AL72+AD72),0)</f>
        <v>0</v>
      </c>
      <c r="S72" s="1">
        <f>IFERROR((VLOOKUP($BO$1&amp;C8,TeamsBB2020!D:M,4,0)+AM72-AE72),0)</f>
        <v>0</v>
      </c>
      <c r="T72" s="1">
        <f>IFERROR((VLOOKUP($BO$1&amp;C8,TeamsBB2020!D:M,5,0)+AN72-AF72),0)</f>
        <v>0</v>
      </c>
      <c r="U72" s="1">
        <f>IFERROR((VLOOKUP($BO$1&amp;C8,TeamsBB2020!D:M,6,0)+AO72+AG72),0)</f>
        <v>0</v>
      </c>
      <c r="V72" s="2"/>
      <c r="W72" s="2">
        <f>IFERROR((VLOOKUP($BO$1&amp;C8,TeamsBB2020!D:M,2,0)),0)</f>
        <v>0</v>
      </c>
      <c r="X72" s="2">
        <f>IFERROR((VLOOKUP($BO$1&amp;C8,TeamsBB2020!D:M,3,0)),0)</f>
        <v>0</v>
      </c>
      <c r="Y72" s="2">
        <f>IFERROR((VLOOKUP($BO$1&amp;C8,TeamsBB2020!D:M,4,0)),0)</f>
        <v>0</v>
      </c>
      <c r="Z72" s="2">
        <f>IFERROR((VLOOKUP($BO$1&amp;C8,TeamsBB2020!D:M,5,0)),0)</f>
        <v>0</v>
      </c>
      <c r="AA72" s="2">
        <f>IFERROR((VLOOKUP($BO$1&amp;C8,TeamsBB2020!D:M,6,0)),0)</f>
        <v>0</v>
      </c>
      <c r="AB72" s="2"/>
      <c r="AC72" s="2">
        <f t="shared" si="109"/>
        <v>0</v>
      </c>
      <c r="AD72" s="2">
        <f t="shared" si="110"/>
        <v>0</v>
      </c>
      <c r="AE72" s="2">
        <f t="shared" si="111"/>
        <v>0</v>
      </c>
      <c r="AF72" s="2">
        <f t="shared" si="112"/>
        <v>0</v>
      </c>
      <c r="AG72" s="2">
        <f t="shared" si="113"/>
        <v>0</v>
      </c>
      <c r="AH72" s="2"/>
      <c r="AI72" s="2">
        <v>1</v>
      </c>
      <c r="AJ72" s="2"/>
      <c r="AK72" s="1">
        <f t="shared" si="114"/>
        <v>0</v>
      </c>
      <c r="AL72" s="1">
        <f t="shared" si="115"/>
        <v>0</v>
      </c>
      <c r="AM72" s="1">
        <f t="shared" si="116"/>
        <v>0</v>
      </c>
      <c r="AN72" s="1">
        <f t="shared" si="117"/>
        <v>0</v>
      </c>
      <c r="AO72" s="1">
        <f t="shared" si="118"/>
        <v>0</v>
      </c>
      <c r="AP72" s="2"/>
      <c r="AQ72" s="12">
        <v>7</v>
      </c>
      <c r="AR72" s="12">
        <v>630000</v>
      </c>
      <c r="AS72" s="12">
        <v>70000</v>
      </c>
      <c r="AT72" s="76" t="str">
        <f>IF(J24="English","1 AG",(IF(J24="Español","1 AG",(IF(J24="Deutsch","1 GE",(IF(J24="Français","1 AG")))))))</f>
        <v>1 AG</v>
      </c>
      <c r="AU72" s="1"/>
      <c r="AV72" s="1"/>
      <c r="AW72" s="1"/>
      <c r="AX72" s="78">
        <v>4</v>
      </c>
      <c r="AY72" s="78">
        <v>5</v>
      </c>
      <c r="AZ72" s="2"/>
      <c r="BA72" s="2"/>
      <c r="BB72" s="2"/>
      <c r="BC72" s="2"/>
      <c r="BD72" s="72" t="s">
        <v>1053</v>
      </c>
      <c r="BE72" s="73">
        <f>IFERROR((IF(OR(COUNTIF($BU$2,"*BadlandsBrawl*"),COUNTIF($BU$2,"*OldWorldClassic*"),COUNTIF($BU$2,"*UnderworldChallenge*")),80000,0)),0)</f>
        <v>80000</v>
      </c>
      <c r="BH72" s="74" t="str">
        <f>IF($J$24="Español","BRUJA MALVADA",(IF($J$24="Deutsch","VERRÜCKTE HEXE",(IF($J$24="Français","WICKED WITCH","WICKED WITCH")))))</f>
        <v>BRUJA MALVADA</v>
      </c>
      <c r="BI72" s="73">
        <f>IFERROR((IF(OR(COUNTIF($BU$2,"*OldWorldClassic*"),COUNTIF($BU$2,"*SylvanianSpotlight*"),COUNTIF($BU$2,"*UnderworldChallenge*")),150000,0)),0)</f>
        <v>150000</v>
      </c>
      <c r="BK72" s="73"/>
      <c r="BL72" s="73"/>
      <c r="BM72" s="2"/>
      <c r="BN72" s="73"/>
      <c r="BO72" s="72" t="s">
        <v>1078</v>
      </c>
      <c r="BP72" s="73">
        <v>60000</v>
      </c>
      <c r="BR72" s="74"/>
      <c r="BS72" s="21" t="str">
        <f>IF($J$24="Español","Agallas",(IF($J$24="Deutsch","Abwehren",(IF($J$24="Français","Arracher le ballon","Block")))))</f>
        <v>Agallas</v>
      </c>
      <c r="BT72" s="21" t="s">
        <v>167</v>
      </c>
      <c r="BU72" s="21" t="str">
        <f>IF($J$24="Español","Agallas",(IF($J$24="Deutsch","Abwehren",(IF($J$24="Français","Arracher le ballon","Block")))))</f>
        <v>Agallas</v>
      </c>
      <c r="BV72" s="21" t="s">
        <v>167</v>
      </c>
      <c r="BW72" s="21" t="str">
        <f>IF($J$24="Español","Agallas",(IF($J$24="Deutsch","Abwehren",(IF($J$24="Français","Arracher le ballon","Block")))))</f>
        <v>Agallas</v>
      </c>
      <c r="BX72" s="21" t="s">
        <v>167</v>
      </c>
      <c r="BY72" s="21" t="str">
        <f>IF($J$24="Español","Agallas",(IF($J$24="Deutsch","Abwehren",(IF($J$24="Français","Arracher le ballon","Block")))))</f>
        <v>Agallas</v>
      </c>
      <c r="BZ72" s="21" t="s">
        <v>167</v>
      </c>
      <c r="CA72" s="21" t="str">
        <f t="shared" si="119"/>
        <v/>
      </c>
      <c r="CB72" s="21" t="str">
        <f t="shared" si="119"/>
        <v/>
      </c>
      <c r="CC72" s="75" t="str">
        <f>IF($J$24="Español","Furia",(IF($J$24="Deutsch","Ballgefühl",(IF($J$24="Français","Frappe précise","Dirty Player (+1)")))))</f>
        <v>Furia</v>
      </c>
      <c r="CD72" s="2" t="s">
        <v>167</v>
      </c>
      <c r="CE72" s="80"/>
      <c r="CF72" s="2"/>
      <c r="CG72" s="2" t="str">
        <f t="shared" si="120"/>
        <v/>
      </c>
      <c r="CH72" s="2" t="str">
        <f t="shared" si="121"/>
        <v/>
      </c>
      <c r="CI72" s="2" t="str">
        <f t="shared" si="122"/>
        <v/>
      </c>
      <c r="CJ72" s="2" t="str">
        <f t="shared" si="123"/>
        <v/>
      </c>
      <c r="CK72" s="2" t="str">
        <f t="shared" si="124"/>
        <v/>
      </c>
      <c r="CL72" s="2" t="str">
        <f t="shared" si="125"/>
        <v/>
      </c>
      <c r="CM72" s="2" t="str">
        <f t="shared" si="126"/>
        <v/>
      </c>
      <c r="CN72" s="2" t="str">
        <f t="shared" si="127"/>
        <v/>
      </c>
      <c r="CO72" s="2" t="str">
        <f t="shared" si="128"/>
        <v/>
      </c>
      <c r="CP72" s="2" t="str">
        <f t="shared" si="129"/>
        <v/>
      </c>
      <c r="CQ72" s="2" t="str">
        <f t="shared" si="130"/>
        <v/>
      </c>
      <c r="CR72" s="2" t="str">
        <f t="shared" si="131"/>
        <v/>
      </c>
      <c r="CS72" s="2" t="str">
        <f t="shared" si="132"/>
        <v/>
      </c>
      <c r="CT72" s="2" t="str">
        <f t="shared" si="133"/>
        <v/>
      </c>
      <c r="CU72" s="2" t="str">
        <f t="shared" si="134"/>
        <v/>
      </c>
      <c r="CV72" s="2" t="str">
        <f t="shared" si="135"/>
        <v/>
      </c>
      <c r="CW72" s="2"/>
      <c r="CX72" s="2"/>
      <c r="CY72" s="2"/>
      <c r="CZ72" s="2"/>
    </row>
    <row r="73" spans="2:104" ht="15" hidden="1" customHeight="1" x14ac:dyDescent="0.2">
      <c r="B73" s="122" t="str">
        <f>IF(AV36&gt;0,(IF((IFERROR((VLOOKUP((IF(J24="Italiano","Leader",(IF(J24="Español","Líder",(IF(J24="Deutsch","Teamkapitän",(IF(J24="Français","Chef","Leader")))))))),AE2:AH17,1,FALSE)),""))&lt;&gt;"",(IF(J24="Italiano","NON SI PUÒ AVERE UN LEADER CON LE SUPERSTAR!   ",IF(J24="Español","¡NO PUEDES TENER LÍDER CON SUPERESTRELLAS!   ",(IF(J24="Deutsch","MAN KANN KEINEN ANFÜHRER MIT SUPERSTARS HABEN!   ",(IF(J24="Français","ON NE PEUT PAS AVOIR UN LEADER AVEC DES SUPERSTARS!   ","YOU CAN'T HAVE A LEADER WITH SUPERSTARS!   "))))))),(IF((IFERROR((VLOOKUP((IF(J24="Italiano","Leader",(IF(J24="Español","Líder",(IF(J24="Deutsch","Teamkapitän",(IF(J24="Français","Chef","Leader")))))))),AI2:AL17,1,FALSE)),""))&lt;&gt;"",(IF(J24="Italiano","NON SI PUÒ AVERE UN LEADER CON LE SUPERSTAR!   ",IF(J24="Español","¡NO PUEDES TENER LÍDER CON SUPERESTRELLAS!   ",(IF(J24="Deutsch","MAN KANN KEINEN ANFÜHRER MIT SUPERSTARS HABEN!   ",(IF(J24="Français","ON NE PEUT PAS AVOIR UN LEADER AVEC DES SUPERSTARS!   ","YOU CAN'T HAVE A LEADER WITH SUPERSTARS!   "))))))),"")))),"")</f>
        <v/>
      </c>
      <c r="C73" s="123"/>
      <c r="D73" s="123"/>
      <c r="E73" s="123"/>
      <c r="F73" s="123"/>
      <c r="G73" s="2"/>
      <c r="H73" s="2"/>
      <c r="I73" s="2"/>
      <c r="J73" s="2"/>
      <c r="K73" s="2">
        <f t="shared" si="105"/>
        <v>0</v>
      </c>
      <c r="L73" s="2">
        <f t="shared" si="106"/>
        <v>0</v>
      </c>
      <c r="M73" s="2">
        <f t="shared" ref="M73:N73" si="142">IF(S73=0,0,(IF(S73&gt;6,6,(IF(S73&lt;1,1,S73)))))</f>
        <v>0</v>
      </c>
      <c r="N73" s="2">
        <f t="shared" si="142"/>
        <v>0</v>
      </c>
      <c r="O73" s="2">
        <f t="shared" si="108"/>
        <v>0</v>
      </c>
      <c r="P73" s="2"/>
      <c r="Q73" s="1">
        <f>IFERROR((VLOOKUP($BO$1&amp;C9,TeamsBB2020!D:M,2,0)+AK73+AC73),0)</f>
        <v>0</v>
      </c>
      <c r="R73" s="1">
        <f>IFERROR((VLOOKUP($BO$1&amp;C9,TeamsBB2020!D:M,3,0)+AL73+AD73),0)</f>
        <v>0</v>
      </c>
      <c r="S73" s="1">
        <f>IFERROR((VLOOKUP($BO$1&amp;C9,TeamsBB2020!D:M,4,0)+AM73-AE73),0)</f>
        <v>0</v>
      </c>
      <c r="T73" s="1">
        <f>IFERROR((VLOOKUP($BO$1&amp;C9,TeamsBB2020!D:M,5,0)+AN73-AF73),0)</f>
        <v>0</v>
      </c>
      <c r="U73" s="1">
        <f>IFERROR((VLOOKUP($BO$1&amp;C9,TeamsBB2020!D:M,6,0)+AO73+AG73),0)</f>
        <v>0</v>
      </c>
      <c r="V73" s="2"/>
      <c r="W73" s="2">
        <f>IFERROR((VLOOKUP($BO$1&amp;C9,TeamsBB2020!D:M,2,0)),0)</f>
        <v>0</v>
      </c>
      <c r="X73" s="2">
        <f>IFERROR((VLOOKUP($BO$1&amp;C9,TeamsBB2020!D:M,3,0)),0)</f>
        <v>0</v>
      </c>
      <c r="Y73" s="2">
        <f>IFERROR((VLOOKUP($BO$1&amp;C9,TeamsBB2020!D:M,4,0)),0)</f>
        <v>0</v>
      </c>
      <c r="Z73" s="2">
        <f>IFERROR((VLOOKUP($BO$1&amp;C9,TeamsBB2020!D:M,5,0)),0)</f>
        <v>0</v>
      </c>
      <c r="AA73" s="2">
        <f>IFERROR((VLOOKUP($BO$1&amp;C9,TeamsBB2020!D:M,6,0)),0)</f>
        <v>0</v>
      </c>
      <c r="AB73" s="2"/>
      <c r="AC73" s="2">
        <f t="shared" si="109"/>
        <v>0</v>
      </c>
      <c r="AD73" s="2">
        <f t="shared" si="110"/>
        <v>0</v>
      </c>
      <c r="AE73" s="2">
        <f t="shared" si="111"/>
        <v>0</v>
      </c>
      <c r="AF73" s="2">
        <f t="shared" si="112"/>
        <v>0</v>
      </c>
      <c r="AG73" s="2">
        <f t="shared" si="113"/>
        <v>0</v>
      </c>
      <c r="AH73" s="2"/>
      <c r="AI73" s="2">
        <v>2</v>
      </c>
      <c r="AJ73" s="2"/>
      <c r="AK73" s="1">
        <f t="shared" si="114"/>
        <v>0</v>
      </c>
      <c r="AL73" s="1">
        <f t="shared" si="115"/>
        <v>0</v>
      </c>
      <c r="AM73" s="1">
        <f t="shared" si="116"/>
        <v>0</v>
      </c>
      <c r="AN73" s="1">
        <f t="shared" si="117"/>
        <v>0</v>
      </c>
      <c r="AO73" s="1">
        <f t="shared" si="118"/>
        <v>0</v>
      </c>
      <c r="AP73" s="2"/>
      <c r="AQ73" s="13">
        <v>8</v>
      </c>
      <c r="AR73" s="12">
        <v>635000</v>
      </c>
      <c r="AS73" s="12">
        <v>80000</v>
      </c>
      <c r="AT73" s="76" t="str">
        <f>IF(J24="English","2 AG",(IF(J24="Español","2 AG",(IF(J24="Deutsch","2 GE",(IF(J24="Français","2 AG")))))))</f>
        <v>2 AG</v>
      </c>
      <c r="AU73" s="1"/>
      <c r="AV73" s="1"/>
      <c r="AW73" s="1"/>
      <c r="AX73" s="78">
        <v>5</v>
      </c>
      <c r="AY73" s="78">
        <v>6</v>
      </c>
      <c r="AZ73" s="2" t="s">
        <v>165</v>
      </c>
      <c r="BA73" s="2" t="str">
        <f>IF(J24="Italiano","SI",(IF(J24="Español","SÍ",(IF(J24="Deutsch","JA",(IF(J24="Français","OUI","YES")))))))</f>
        <v>SÍ</v>
      </c>
      <c r="BB73" s="2" t="str">
        <f>IF(J24="Deutsch","NEIN",(IF(J24="Français","NON","NO")))</f>
        <v>NO</v>
      </c>
      <c r="BC73" s="1"/>
      <c r="BD73" s="72" t="s">
        <v>1054</v>
      </c>
      <c r="BE73" s="73">
        <f>IFERROR((IF(OR(COUNTIF($BU$2,"*BadlandsBrawl*"),COUNTIF($BU$2,"*UnderworldChallenge*")),90000,0)),0)</f>
        <v>0</v>
      </c>
      <c r="BH73" s="72" t="s">
        <v>1062</v>
      </c>
      <c r="BI73" s="73">
        <f>IFERROR((IF(OR(COUNTIF($BU$2,"*UnderworldChallenge*")),150000,0)),0)</f>
        <v>0</v>
      </c>
      <c r="BK73" s="2"/>
      <c r="BM73" s="2"/>
      <c r="BN73" s="2"/>
      <c r="BO73" s="72" t="str">
        <f>IF($J$24="Español","TOTEM DEL CAOS","CHAOS TOTEM")</f>
        <v>TOTEM DEL CAOS</v>
      </c>
      <c r="BP73" s="73">
        <v>50000</v>
      </c>
      <c r="BS73" s="81" t="str">
        <f>IF($J$24="Español","Forcejear",(IF($J$24="Deutsch","Ball entreißen",(IF($J$24="Français","Blocage","Dauntless")))))</f>
        <v>Forcejear</v>
      </c>
      <c r="BT73" s="21" t="s">
        <v>167</v>
      </c>
      <c r="BU73" s="81" t="str">
        <f>IF($J$24="Español","Forcejear",(IF($J$24="Deutsch","Ball entreißen",(IF($J$24="Français","Blocage","Dauntless")))))</f>
        <v>Forcejear</v>
      </c>
      <c r="BV73" s="21" t="s">
        <v>167</v>
      </c>
      <c r="BW73" s="81" t="str">
        <f>IF($J$24="Español","Forcejear",(IF($J$24="Deutsch","Ball entreißen",(IF($J$24="Français","Blocage","Dauntless")))))</f>
        <v>Forcejear</v>
      </c>
      <c r="BX73" s="21" t="s">
        <v>167</v>
      </c>
      <c r="BY73" s="75" t="str">
        <f>IF($J$24="Español","Forcejear",(IF($J$24="Deutsch","Ball entreißen",(IF($J$24="Français","Blocage","Dauntless")))))</f>
        <v>Forcejear</v>
      </c>
      <c r="BZ73" s="21" t="s">
        <v>167</v>
      </c>
      <c r="CA73" s="21" t="str">
        <f t="shared" si="119"/>
        <v/>
      </c>
      <c r="CB73" s="21" t="str">
        <f t="shared" si="119"/>
        <v/>
      </c>
      <c r="CC73" s="75" t="str">
        <f>IF($J$24="Español","Juego Sucio (+1)",(IF($J$24="Deutsch","Block",(IF($J$24="Français","Frénésie ","Fend")))))</f>
        <v>Juego Sucio (+1)</v>
      </c>
      <c r="CD73" s="2" t="s">
        <v>167</v>
      </c>
      <c r="CE73" s="80"/>
      <c r="CF73" s="2"/>
      <c r="CG73" s="2" t="str">
        <f t="shared" si="120"/>
        <v/>
      </c>
      <c r="CH73" s="2" t="str">
        <f t="shared" si="121"/>
        <v/>
      </c>
      <c r="CI73" s="2" t="str">
        <f t="shared" si="122"/>
        <v/>
      </c>
      <c r="CJ73" s="2" t="str">
        <f t="shared" si="123"/>
        <v/>
      </c>
      <c r="CK73" s="2" t="str">
        <f t="shared" si="124"/>
        <v/>
      </c>
      <c r="CL73" s="2" t="str">
        <f t="shared" si="125"/>
        <v/>
      </c>
      <c r="CM73" s="2" t="str">
        <f t="shared" si="126"/>
        <v/>
      </c>
      <c r="CN73" s="2" t="str">
        <f t="shared" si="127"/>
        <v/>
      </c>
      <c r="CO73" s="2" t="str">
        <f t="shared" si="128"/>
        <v/>
      </c>
      <c r="CP73" s="2" t="str">
        <f t="shared" si="129"/>
        <v/>
      </c>
      <c r="CQ73" s="2" t="str">
        <f t="shared" si="130"/>
        <v/>
      </c>
      <c r="CR73" s="2" t="str">
        <f t="shared" si="131"/>
        <v/>
      </c>
      <c r="CS73" s="2" t="str">
        <f t="shared" si="132"/>
        <v/>
      </c>
      <c r="CT73" s="2" t="str">
        <f t="shared" si="133"/>
        <v/>
      </c>
      <c r="CU73" s="2" t="str">
        <f t="shared" si="134"/>
        <v/>
      </c>
      <c r="CV73" s="2" t="str">
        <f t="shared" si="135"/>
        <v/>
      </c>
      <c r="CW73" s="2"/>
      <c r="CX73" s="2"/>
      <c r="CY73" s="2"/>
      <c r="CZ73" s="2"/>
    </row>
    <row r="74" spans="2:104" ht="15" hidden="1" customHeight="1" x14ac:dyDescent="0.2">
      <c r="B74" s="122" t="str">
        <f>IF(BT44&gt;1,(IF(J24="Italiano","NON È POSSIBILE IMPILARE PIÙ DI UN GIOCATORE!   ",IF(J24="Español","¡NO PUEDES APILAR EN MÁS DE UN JUGADOR!   ",(IF(J24="Deutsch","SIE KÖNNEN NICHT AUF MEHR ALS EINEN SPIELER SETZEN!   ",(IF(J24="Français","VOUS NE POUVEZ PAS CUMULER PLUS D'UN JOUEUR!   ","YOU CAN'T STACK ON MORE THAN ONE PLAYER!   "))))))),"")</f>
        <v/>
      </c>
      <c r="C74" s="122"/>
      <c r="D74" s="122"/>
      <c r="E74" s="122"/>
      <c r="F74" s="122"/>
      <c r="G74" s="2"/>
      <c r="H74" s="2"/>
      <c r="I74" s="2"/>
      <c r="J74" s="2"/>
      <c r="K74" s="2">
        <f t="shared" si="105"/>
        <v>0</v>
      </c>
      <c r="L74" s="2">
        <f t="shared" si="106"/>
        <v>0</v>
      </c>
      <c r="M74" s="2">
        <f t="shared" ref="M74:N74" si="143">IF(S74=0,0,(IF(S74&gt;6,6,(IF(S74&lt;1,1,S74)))))</f>
        <v>0</v>
      </c>
      <c r="N74" s="2">
        <f t="shared" si="143"/>
        <v>0</v>
      </c>
      <c r="O74" s="2">
        <f t="shared" si="108"/>
        <v>0</v>
      </c>
      <c r="P74" s="2"/>
      <c r="Q74" s="1">
        <f>IFERROR((VLOOKUP($BO$1&amp;C10,TeamsBB2020!D:M,2,0)+AK74+AC74),0)</f>
        <v>0</v>
      </c>
      <c r="R74" s="1">
        <f>IFERROR((VLOOKUP($BO$1&amp;C10,TeamsBB2020!D:M,3,0)+AL74+AD74),0)</f>
        <v>0</v>
      </c>
      <c r="S74" s="1">
        <f>IFERROR((VLOOKUP($BO$1&amp;C10,TeamsBB2020!D:M,4,0)+AM74-AE74),0)</f>
        <v>0</v>
      </c>
      <c r="T74" s="1">
        <f>IFERROR((VLOOKUP($BO$1&amp;C10,TeamsBB2020!D:M,5,0)+AN74-AF74),0)</f>
        <v>0</v>
      </c>
      <c r="U74" s="1">
        <f>IFERROR((VLOOKUP($BO$1&amp;C10,TeamsBB2020!D:M,6,0)+AO74+AG74),0)</f>
        <v>0</v>
      </c>
      <c r="V74" s="2"/>
      <c r="W74" s="2">
        <f>IFERROR((VLOOKUP($BO$1&amp;C10,TeamsBB2020!D:M,2,0)),0)</f>
        <v>0</v>
      </c>
      <c r="X74" s="2">
        <f>IFERROR((VLOOKUP($BO$1&amp;C10,TeamsBB2020!D:M,3,0)),0)</f>
        <v>0</v>
      </c>
      <c r="Y74" s="2">
        <f>IFERROR((VLOOKUP($BO$1&amp;C10,TeamsBB2020!D:M,4,0)),0)</f>
        <v>0</v>
      </c>
      <c r="Z74" s="2">
        <f>IFERROR((VLOOKUP($BO$1&amp;C10,TeamsBB2020!D:M,5,0)),0)</f>
        <v>0</v>
      </c>
      <c r="AA74" s="2">
        <f>IFERROR((VLOOKUP($BO$1&amp;C10,TeamsBB2020!D:M,6,0)),0)</f>
        <v>0</v>
      </c>
      <c r="AB74" s="2"/>
      <c r="AC74" s="2">
        <f t="shared" si="109"/>
        <v>0</v>
      </c>
      <c r="AD74" s="2">
        <f t="shared" si="110"/>
        <v>0</v>
      </c>
      <c r="AE74" s="2">
        <f t="shared" si="111"/>
        <v>0</v>
      </c>
      <c r="AF74" s="2">
        <f t="shared" si="112"/>
        <v>0</v>
      </c>
      <c r="AG74" s="2">
        <f t="shared" si="113"/>
        <v>0</v>
      </c>
      <c r="AH74" s="2"/>
      <c r="AI74" s="13">
        <v>3</v>
      </c>
      <c r="AJ74" s="2"/>
      <c r="AK74" s="1">
        <f t="shared" si="114"/>
        <v>0</v>
      </c>
      <c r="AL74" s="1">
        <f t="shared" si="115"/>
        <v>0</v>
      </c>
      <c r="AM74" s="1">
        <f t="shared" si="116"/>
        <v>0</v>
      </c>
      <c r="AN74" s="1">
        <f t="shared" si="117"/>
        <v>0</v>
      </c>
      <c r="AO74" s="1">
        <f t="shared" si="118"/>
        <v>0</v>
      </c>
      <c r="AP74" s="2"/>
      <c r="AQ74" s="13">
        <v>9</v>
      </c>
      <c r="AR74" s="12">
        <v>640000</v>
      </c>
      <c r="AS74" s="12">
        <v>90000</v>
      </c>
      <c r="AT74" s="76" t="str">
        <f>IF(J24="English","-1 AV",(IF(J24="Español","-1 AR",(IF(J24="Deutsch","-1 RW",(IF(J24="Français","-1 AR")))))))</f>
        <v>-1 AR</v>
      </c>
      <c r="AU74" s="1"/>
      <c r="AV74" s="1"/>
      <c r="AW74" s="1"/>
      <c r="AX74" s="78">
        <v>6</v>
      </c>
      <c r="AY74" s="78">
        <v>7</v>
      </c>
      <c r="AZ74" s="2" t="s">
        <v>219</v>
      </c>
      <c r="BA74" s="2" t="str">
        <f>IF(J24="Deutsch","NEIN",(IF(J24="Français","NON","NO")))</f>
        <v>NO</v>
      </c>
      <c r="BB74" s="2" t="str">
        <f>IF(J24="Italiano","SI",(IF(J24="Español","SÍ",(IF(J24="Deutsch","JA",(IF(J24="Français","OUI","YES")))))))</f>
        <v>SÍ</v>
      </c>
      <c r="BC74" s="2"/>
      <c r="BD74" s="72" t="s">
        <v>1055</v>
      </c>
      <c r="BE74" s="73">
        <v>90000</v>
      </c>
      <c r="BH74" s="72" t="s">
        <v>1063</v>
      </c>
      <c r="BI74" s="73">
        <f>IFERROR((IF(OR(COUNTIF($BU$2,"*BadlandsBrawl*")),150000,0)),0)</f>
        <v>0</v>
      </c>
      <c r="BK74" s="2"/>
      <c r="BM74" s="2"/>
      <c r="BN74" s="2"/>
      <c r="BO74" s="72" t="s">
        <v>1183</v>
      </c>
      <c r="BP74" s="73">
        <v>50000</v>
      </c>
      <c r="BS74" s="81" t="str">
        <f>IF($J$24="Español","Furia",(IF($J$24="Deutsch","Ballgefühl",(IF($J$24="Français","Frappe précise","Dirty Player (+1)")))))</f>
        <v>Furia</v>
      </c>
      <c r="BT74" s="21" t="s">
        <v>167</v>
      </c>
      <c r="BU74" s="81" t="str">
        <f>IF($J$24="Español","Furia",(IF($J$24="Deutsch","Ballgefühl",(IF($J$24="Français","Frappe précise","Dirty Player (+1)")))))</f>
        <v>Furia</v>
      </c>
      <c r="BV74" s="21" t="s">
        <v>167</v>
      </c>
      <c r="BW74" s="81" t="str">
        <f>IF($J$24="Español","Furia",(IF($J$24="Deutsch","Ballgefühl",(IF($J$24="Français","Frappe précise","Dirty Player (+1)")))))</f>
        <v>Furia</v>
      </c>
      <c r="BX74" s="21" t="s">
        <v>167</v>
      </c>
      <c r="BY74" s="75" t="str">
        <f>IF($J$24="Español","Furia",(IF($J$24="Deutsch","Ballgefühl",(IF($J$24="Français","Frappe précise","Dirty Player (+1)")))))</f>
        <v>Furia</v>
      </c>
      <c r="BZ74" s="21" t="s">
        <v>167</v>
      </c>
      <c r="CA74" s="21" t="str">
        <f t="shared" si="119"/>
        <v/>
      </c>
      <c r="CB74" s="21" t="str">
        <f t="shared" si="119"/>
        <v/>
      </c>
      <c r="CC74" s="75" t="str">
        <f>IF($J$24="Español","Manos Seguras",(IF($J$24="Deutsch","Brutal (+1)",(IF($J$24="Français","Intrépide","Frenzy")))))</f>
        <v>Manos Seguras</v>
      </c>
      <c r="CD74" s="2" t="s">
        <v>167</v>
      </c>
      <c r="CE74" s="80"/>
      <c r="CF74" s="2"/>
      <c r="CG74" s="2" t="str">
        <f t="shared" si="120"/>
        <v/>
      </c>
      <c r="CH74" s="2" t="str">
        <f t="shared" si="121"/>
        <v/>
      </c>
      <c r="CI74" s="2" t="str">
        <f t="shared" si="122"/>
        <v/>
      </c>
      <c r="CJ74" s="2" t="str">
        <f t="shared" si="123"/>
        <v/>
      </c>
      <c r="CK74" s="2" t="str">
        <f t="shared" si="124"/>
        <v/>
      </c>
      <c r="CL74" s="2" t="str">
        <f t="shared" si="125"/>
        <v/>
      </c>
      <c r="CM74" s="2" t="str">
        <f t="shared" si="126"/>
        <v/>
      </c>
      <c r="CN74" s="2" t="str">
        <f t="shared" si="127"/>
        <v/>
      </c>
      <c r="CO74" s="2" t="str">
        <f t="shared" si="128"/>
        <v/>
      </c>
      <c r="CP74" s="2" t="str">
        <f t="shared" si="129"/>
        <v/>
      </c>
      <c r="CQ74" s="2" t="str">
        <f t="shared" si="130"/>
        <v/>
      </c>
      <c r="CR74" s="2" t="str">
        <f t="shared" si="131"/>
        <v/>
      </c>
      <c r="CS74" s="2" t="str">
        <f t="shared" si="132"/>
        <v/>
      </c>
      <c r="CT74" s="2" t="str">
        <f t="shared" si="133"/>
        <v/>
      </c>
      <c r="CU74" s="2" t="str">
        <f t="shared" si="134"/>
        <v/>
      </c>
      <c r="CV74" s="2" t="str">
        <f t="shared" si="135"/>
        <v/>
      </c>
      <c r="CW74" s="2"/>
      <c r="CX74" s="2"/>
      <c r="CY74" s="2"/>
      <c r="CZ74" s="2"/>
    </row>
    <row r="75" spans="2:104" ht="15" hidden="1" customHeight="1" x14ac:dyDescent="0.2">
      <c r="B75" s="122" t="str">
        <f>IF(J22="","",(IF(((IF((ISNUMBER(J22)),0,1))=1),(IF(J24="Italiano","IL NUMERO NAF NON PUÒ CONTENERE LETTERE!   ",IF(J24="Español","¡EL NUMERO NAF NO PUEDE CONTENER LETRAS!   ",(IF(J24="Deutsch","DIE NAF-NUMMER DARF KEINE BUCHSTABEN ENTHALTEN!   ",(IF(J24="Français","LE NUMÉRO NAF NE PEUT PAS CONTENIR DE LETTRES!   ","THE NAF NUMBER CANNOT CONTAIN LETTERS!   "))))))),"")))</f>
        <v/>
      </c>
      <c r="C75" s="122"/>
      <c r="D75" s="122"/>
      <c r="E75" s="122"/>
      <c r="F75" s="122"/>
      <c r="G75" s="2"/>
      <c r="H75" s="2"/>
      <c r="I75" s="2"/>
      <c r="J75" s="2"/>
      <c r="K75" s="2">
        <f t="shared" si="105"/>
        <v>0</v>
      </c>
      <c r="L75" s="2">
        <f t="shared" si="106"/>
        <v>0</v>
      </c>
      <c r="M75" s="2">
        <f t="shared" ref="M75:N75" si="144">IF(S75=0,0,(IF(S75&gt;6,6,(IF(S75&lt;1,1,S75)))))</f>
        <v>0</v>
      </c>
      <c r="N75" s="2">
        <f t="shared" si="144"/>
        <v>0</v>
      </c>
      <c r="O75" s="2">
        <f t="shared" si="108"/>
        <v>0</v>
      </c>
      <c r="P75" s="2"/>
      <c r="Q75" s="1">
        <f>IFERROR((VLOOKUP($BO$1&amp;C11,TeamsBB2020!D:M,2,0)+AK75+AC75),0)</f>
        <v>0</v>
      </c>
      <c r="R75" s="1">
        <f>IFERROR((VLOOKUP($BO$1&amp;C11,TeamsBB2020!D:M,3,0)+AL75+AD75),0)</f>
        <v>0</v>
      </c>
      <c r="S75" s="1">
        <f>IFERROR((VLOOKUP($BO$1&amp;C11,TeamsBB2020!D:M,4,0)+AM75-AE75),0)</f>
        <v>0</v>
      </c>
      <c r="T75" s="1">
        <f>IFERROR((VLOOKUP($BO$1&amp;C11,TeamsBB2020!D:M,5,0)+AN75-AF75),0)</f>
        <v>0</v>
      </c>
      <c r="U75" s="1">
        <f>IFERROR((VLOOKUP($BO$1&amp;C11,TeamsBB2020!D:M,6,0)+AO75+AG75),0)</f>
        <v>0</v>
      </c>
      <c r="V75" s="2"/>
      <c r="W75" s="2">
        <f>IFERROR((VLOOKUP($BO$1&amp;C11,TeamsBB2020!D:M,2,0)),0)</f>
        <v>0</v>
      </c>
      <c r="X75" s="2">
        <f>IFERROR((VLOOKUP($BO$1&amp;C11,TeamsBB2020!D:M,3,0)),0)</f>
        <v>0</v>
      </c>
      <c r="Y75" s="2">
        <f>IFERROR((VLOOKUP($BO$1&amp;C11,TeamsBB2020!D:M,4,0)),0)</f>
        <v>0</v>
      </c>
      <c r="Z75" s="2">
        <f>IFERROR((VLOOKUP($BO$1&amp;C11,TeamsBB2020!D:M,5,0)),0)</f>
        <v>0</v>
      </c>
      <c r="AA75" s="2">
        <f>IFERROR((VLOOKUP($BO$1&amp;C11,TeamsBB2020!D:M,6,0)),0)</f>
        <v>0</v>
      </c>
      <c r="AB75" s="2"/>
      <c r="AC75" s="2">
        <f t="shared" si="109"/>
        <v>0</v>
      </c>
      <c r="AD75" s="2">
        <f t="shared" si="110"/>
        <v>0</v>
      </c>
      <c r="AE75" s="2">
        <f t="shared" si="111"/>
        <v>0</v>
      </c>
      <c r="AF75" s="2">
        <f t="shared" si="112"/>
        <v>0</v>
      </c>
      <c r="AG75" s="2">
        <f t="shared" si="113"/>
        <v>0</v>
      </c>
      <c r="AH75" s="2"/>
      <c r="AI75" s="13">
        <v>4</v>
      </c>
      <c r="AJ75" s="2"/>
      <c r="AK75" s="1">
        <f t="shared" si="114"/>
        <v>0</v>
      </c>
      <c r="AL75" s="1">
        <f t="shared" si="115"/>
        <v>0</v>
      </c>
      <c r="AM75" s="1">
        <f t="shared" si="116"/>
        <v>0</v>
      </c>
      <c r="AN75" s="1">
        <f t="shared" si="117"/>
        <v>0</v>
      </c>
      <c r="AO75" s="1">
        <f t="shared" si="118"/>
        <v>0</v>
      </c>
      <c r="AP75" s="2"/>
      <c r="AQ75" s="12">
        <v>10</v>
      </c>
      <c r="AR75" s="12">
        <v>645000</v>
      </c>
      <c r="AS75" s="12">
        <v>100000</v>
      </c>
      <c r="AT75" s="76" t="str">
        <f>IF(J24="English","-2 AV",(IF(J24="Español","-2 AR",(IF(J24="Deutsch","-2 RW",(IF(J24="Français","-2 AR")))))))</f>
        <v>-2 AR</v>
      </c>
      <c r="AU75" s="1"/>
      <c r="AV75" s="1"/>
      <c r="AW75" s="1"/>
      <c r="AX75" s="78">
        <v>7</v>
      </c>
      <c r="AY75" s="78">
        <v>8</v>
      </c>
      <c r="AZ75" s="1">
        <v>20000</v>
      </c>
      <c r="BA75" s="2"/>
      <c r="BB75" s="2"/>
      <c r="BC75" s="2"/>
      <c r="BD75" s="73"/>
      <c r="BE75" s="73"/>
      <c r="BH75" s="72" t="s">
        <v>1064</v>
      </c>
      <c r="BI75" s="73">
        <f>IFERROR((IF(OR(COUNTIF($BU$2,"*BadlandsBrawl*"),COUNTIF($BU$2,"*UnderworldChallenge*")),150000,0)),0)</f>
        <v>0</v>
      </c>
      <c r="BK75" s="2"/>
      <c r="BM75" s="2"/>
      <c r="BN75" s="2"/>
      <c r="BO75" s="72" t="s">
        <v>1233</v>
      </c>
      <c r="BP75" s="73">
        <v>50000</v>
      </c>
      <c r="BS75" s="81" t="str">
        <f>IF($J$24="Español","Juego Sucio (+1)",(IF($J$24="Deutsch","Block",(IF($J$24="Français","Frénésie ","Fend")))))</f>
        <v>Juego Sucio (+1)</v>
      </c>
      <c r="BT75" s="21" t="s">
        <v>167</v>
      </c>
      <c r="BU75" s="81" t="str">
        <f>IF($J$24="Español","Juego Sucio (+1)",(IF($J$24="Deutsch","Block",(IF($J$24="Français","Frénésie ","Fend")))))</f>
        <v>Juego Sucio (+1)</v>
      </c>
      <c r="BV75" s="21" t="s">
        <v>167</v>
      </c>
      <c r="BW75" s="81" t="str">
        <f>IF($J$24="Español","Juego Sucio (+1)",(IF($J$24="Deutsch","Block",(IF($J$24="Français","Frénésie ","Fend")))))</f>
        <v>Juego Sucio (+1)</v>
      </c>
      <c r="BX75" s="21" t="s">
        <v>167</v>
      </c>
      <c r="BY75" s="75" t="str">
        <f>IF($J$24="Español","Juego Sucio (+1)",(IF($J$24="Deutsch","Block",(IF($J$24="Français","Frénésie ","Fend")))))</f>
        <v>Juego Sucio (+1)</v>
      </c>
      <c r="BZ75" s="21" t="s">
        <v>167</v>
      </c>
      <c r="CA75" s="21" t="str">
        <f t="shared" si="119"/>
        <v/>
      </c>
      <c r="CB75" s="21" t="str">
        <f t="shared" si="119"/>
        <v/>
      </c>
      <c r="CC75" s="75" t="str">
        <f>IF($J$24="Español","Patada",(IF($J$24="Deutsch","Kicken",(IF($J$24="Français","Joueur Déloyal (+1)","Kick")))))</f>
        <v>Patada</v>
      </c>
      <c r="CD75" s="2" t="s">
        <v>167</v>
      </c>
      <c r="CE75" s="80"/>
      <c r="CF75" s="2"/>
      <c r="CG75" s="2" t="str">
        <f t="shared" si="120"/>
        <v/>
      </c>
      <c r="CH75" s="2" t="str">
        <f t="shared" si="121"/>
        <v/>
      </c>
      <c r="CI75" s="2" t="str">
        <f t="shared" si="122"/>
        <v/>
      </c>
      <c r="CJ75" s="2" t="str">
        <f t="shared" si="123"/>
        <v/>
      </c>
      <c r="CK75" s="2" t="str">
        <f t="shared" si="124"/>
        <v/>
      </c>
      <c r="CL75" s="2" t="str">
        <f t="shared" si="125"/>
        <v/>
      </c>
      <c r="CM75" s="2" t="str">
        <f t="shared" si="126"/>
        <v/>
      </c>
      <c r="CN75" s="2" t="str">
        <f t="shared" si="127"/>
        <v/>
      </c>
      <c r="CO75" s="2" t="str">
        <f t="shared" si="128"/>
        <v/>
      </c>
      <c r="CP75" s="2" t="str">
        <f t="shared" si="129"/>
        <v/>
      </c>
      <c r="CQ75" s="2" t="str">
        <f t="shared" si="130"/>
        <v/>
      </c>
      <c r="CR75" s="2" t="str">
        <f t="shared" si="131"/>
        <v/>
      </c>
      <c r="CS75" s="2" t="str">
        <f t="shared" si="132"/>
        <v/>
      </c>
      <c r="CT75" s="2" t="str">
        <f t="shared" si="133"/>
        <v/>
      </c>
      <c r="CU75" s="2" t="str">
        <f t="shared" si="134"/>
        <v/>
      </c>
      <c r="CV75" s="2" t="str">
        <f t="shared" si="135"/>
        <v/>
      </c>
      <c r="CW75" s="2"/>
      <c r="CX75" s="2"/>
      <c r="CY75" s="2"/>
      <c r="CZ75" s="2"/>
    </row>
    <row r="76" spans="2:104" ht="15" hidden="1" customHeight="1" x14ac:dyDescent="0.2">
      <c r="B76" s="122" t="str">
        <f>IF(AV62&gt;0,(IF(J24="Italiano","SI È SCELTA UN'ABILITÀ CHE IL GIOCATORE GIÀ POSSIEDE!   ",IF(J24="Español","¡HAS ELEGIDO UNA HABILIDAD QUE YA TIENE EL JUGADOR!   ",(IF(J24="Deutsch","SIE HABEN EINE FÄHIGKEIT GEWÄHLT, DIE DER SPIELER BEREITS BESITZT!   ",(IF(J24="Français","VOUS AVEZ CHOISI UNE COMPÉTENCE QUE LE JOUEUR POSSÈDE DÉJÀ!   ","YOU HAVE CHOSEN A SKILL THAT THE PLAYER ALREADY HAS!   "))))))),"")</f>
        <v/>
      </c>
      <c r="C76" s="122"/>
      <c r="D76" s="122"/>
      <c r="E76" s="122"/>
      <c r="F76" s="122"/>
      <c r="G76" s="2"/>
      <c r="H76" s="2"/>
      <c r="I76" s="2"/>
      <c r="J76" s="2"/>
      <c r="K76" s="2">
        <f t="shared" si="105"/>
        <v>0</v>
      </c>
      <c r="L76" s="2">
        <f t="shared" si="106"/>
        <v>0</v>
      </c>
      <c r="M76" s="2">
        <f t="shared" ref="M76:N76" si="145">IF(S76=0,0,(IF(S76&gt;6,6,(IF(S76&lt;1,1,S76)))))</f>
        <v>0</v>
      </c>
      <c r="N76" s="2">
        <f t="shared" si="145"/>
        <v>0</v>
      </c>
      <c r="O76" s="2">
        <f t="shared" si="108"/>
        <v>0</v>
      </c>
      <c r="P76" s="2"/>
      <c r="Q76" s="1">
        <f>IFERROR((VLOOKUP($BO$1&amp;C12,TeamsBB2020!D:M,2,0)+AK76+AC76),0)</f>
        <v>0</v>
      </c>
      <c r="R76" s="1">
        <f>IFERROR((VLOOKUP($BO$1&amp;C12,TeamsBB2020!D:M,3,0)+AL76+AD76),0)</f>
        <v>0</v>
      </c>
      <c r="S76" s="1">
        <f>IFERROR((VLOOKUP($BO$1&amp;C12,TeamsBB2020!D:M,4,0)+AM76-AE76),0)</f>
        <v>0</v>
      </c>
      <c r="T76" s="1">
        <f>IFERROR((VLOOKUP($BO$1&amp;C12,TeamsBB2020!D:M,5,0)+AN76-AF76),0)</f>
        <v>0</v>
      </c>
      <c r="U76" s="1">
        <f>IFERROR((VLOOKUP($BO$1&amp;C12,TeamsBB2020!D:M,6,0)+AO76+AG76),0)</f>
        <v>0</v>
      </c>
      <c r="V76" s="2"/>
      <c r="W76" s="2">
        <f>IFERROR((VLOOKUP($BO$1&amp;C12,TeamsBB2020!D:M,2,0)),0)</f>
        <v>0</v>
      </c>
      <c r="X76" s="2">
        <f>IFERROR((VLOOKUP($BO$1&amp;C12,TeamsBB2020!D:M,3,0)),0)</f>
        <v>0</v>
      </c>
      <c r="Y76" s="2">
        <f>IFERROR((VLOOKUP($BO$1&amp;C12,TeamsBB2020!D:M,4,0)),0)</f>
        <v>0</v>
      </c>
      <c r="Z76" s="2">
        <f>IFERROR((VLOOKUP($BO$1&amp;C12,TeamsBB2020!D:M,5,0)),0)</f>
        <v>0</v>
      </c>
      <c r="AA76" s="2">
        <f>IFERROR((VLOOKUP($BO$1&amp;C12,TeamsBB2020!D:M,6,0)),0)</f>
        <v>0</v>
      </c>
      <c r="AB76" s="2"/>
      <c r="AC76" s="2">
        <f t="shared" si="109"/>
        <v>0</v>
      </c>
      <c r="AD76" s="2">
        <f t="shared" si="110"/>
        <v>0</v>
      </c>
      <c r="AE76" s="2">
        <f t="shared" si="111"/>
        <v>0</v>
      </c>
      <c r="AF76" s="2">
        <f t="shared" si="112"/>
        <v>0</v>
      </c>
      <c r="AG76" s="2">
        <f t="shared" si="113"/>
        <v>0</v>
      </c>
      <c r="AH76" s="2"/>
      <c r="AI76" s="2" t="str">
        <f>""</f>
        <v/>
      </c>
      <c r="AJ76" s="2"/>
      <c r="AK76" s="1">
        <f t="shared" si="114"/>
        <v>0</v>
      </c>
      <c r="AL76" s="1">
        <f t="shared" si="115"/>
        <v>0</v>
      </c>
      <c r="AM76" s="1">
        <f t="shared" si="116"/>
        <v>0</v>
      </c>
      <c r="AN76" s="1">
        <f t="shared" si="117"/>
        <v>0</v>
      </c>
      <c r="AO76" s="1">
        <f t="shared" si="118"/>
        <v>0</v>
      </c>
      <c r="AP76" s="2"/>
      <c r="AQ76" s="13">
        <v>11</v>
      </c>
      <c r="AR76" s="12">
        <v>650000</v>
      </c>
      <c r="AS76" s="12">
        <v>110000</v>
      </c>
      <c r="AT76" s="1"/>
      <c r="AU76" s="1"/>
      <c r="AV76" s="1"/>
      <c r="AW76" s="1"/>
      <c r="AX76" s="78">
        <v>8</v>
      </c>
      <c r="AY76" s="78">
        <v>9</v>
      </c>
      <c r="AZ76" s="1">
        <v>30000</v>
      </c>
      <c r="BA76" s="5" t="s">
        <v>220</v>
      </c>
      <c r="BB76" s="2"/>
      <c r="BC76" s="2"/>
      <c r="BD76" s="73"/>
      <c r="BE76" s="73"/>
      <c r="BH76" s="72" t="s">
        <v>1065</v>
      </c>
      <c r="BI76" s="73">
        <v>80000</v>
      </c>
      <c r="BK76" s="2"/>
      <c r="BM76" s="2"/>
      <c r="BN76" s="2"/>
      <c r="BO76" s="72" t="s">
        <v>1405</v>
      </c>
      <c r="BP76" s="73">
        <v>150000</v>
      </c>
      <c r="BS76" s="81" t="str">
        <f>IF($J$24="Español","Manos Seguras",(IF($J$24="Deutsch","Brutal (+1)",(IF($J$24="Français","Intrépide","Frenzy")))))</f>
        <v>Manos Seguras</v>
      </c>
      <c r="BT76" s="21" t="s">
        <v>167</v>
      </c>
      <c r="BU76" s="81" t="str">
        <f>IF($J$24="Español","Manos Seguras",(IF($J$24="Deutsch","Brutal (+1)",(IF($J$24="Français","Intrépide","Frenzy")))))</f>
        <v>Manos Seguras</v>
      </c>
      <c r="BV76" s="21" t="s">
        <v>167</v>
      </c>
      <c r="BW76" s="81" t="str">
        <f>IF($J$24="Español","Manos Seguras",(IF($J$24="Deutsch","Brutal (+1)",(IF($J$24="Français","Intrépide","Frenzy")))))</f>
        <v>Manos Seguras</v>
      </c>
      <c r="BX76" s="21" t="s">
        <v>167</v>
      </c>
      <c r="BY76" s="75" t="str">
        <f>IF($J$24="Español","Manos Seguras",(IF($J$24="Deutsch","Brutal (+1)",(IF($J$24="Français","Intrépide","Frenzy")))))</f>
        <v>Manos Seguras</v>
      </c>
      <c r="BZ76" s="21" t="s">
        <v>167</v>
      </c>
      <c r="CA76" s="75" t="str">
        <f>IF($J$24="Español","Echarse a un Lado",(IF($J$24="Deutsch","Ausweichen",(IF($J$24="Français","Équilibre","Diving Catch")))))</f>
        <v>Echarse a un Lado</v>
      </c>
      <c r="CB76" s="21" t="s">
        <v>168</v>
      </c>
      <c r="CC76" s="75" t="str">
        <f>IF($J$24="Español","Perseguir",(IF($J$24="Deutsch","Manndeckung",(IF($J$24="Français","Lutte","Pro")))))</f>
        <v>Perseguir</v>
      </c>
      <c r="CD76" s="2" t="s">
        <v>167</v>
      </c>
      <c r="CE76" s="80"/>
      <c r="CF76" s="2"/>
      <c r="CG76" s="2" t="str">
        <f t="shared" si="120"/>
        <v/>
      </c>
      <c r="CH76" s="2" t="str">
        <f t="shared" si="121"/>
        <v/>
      </c>
      <c r="CI76" s="2" t="str">
        <f t="shared" si="122"/>
        <v/>
      </c>
      <c r="CJ76" s="2" t="str">
        <f t="shared" si="123"/>
        <v/>
      </c>
      <c r="CK76" s="2" t="str">
        <f t="shared" si="124"/>
        <v/>
      </c>
      <c r="CL76" s="2" t="str">
        <f t="shared" si="125"/>
        <v/>
      </c>
      <c r="CM76" s="2" t="str">
        <f t="shared" si="126"/>
        <v/>
      </c>
      <c r="CN76" s="2" t="str">
        <f t="shared" si="127"/>
        <v/>
      </c>
      <c r="CO76" s="2" t="str">
        <f t="shared" si="128"/>
        <v/>
      </c>
      <c r="CP76" s="2" t="str">
        <f t="shared" si="129"/>
        <v/>
      </c>
      <c r="CQ76" s="2" t="str">
        <f t="shared" si="130"/>
        <v/>
      </c>
      <c r="CR76" s="2" t="str">
        <f t="shared" si="131"/>
        <v/>
      </c>
      <c r="CS76" s="2" t="str">
        <f t="shared" si="132"/>
        <v/>
      </c>
      <c r="CT76" s="2" t="str">
        <f t="shared" si="133"/>
        <v/>
      </c>
      <c r="CU76" s="2" t="str">
        <f t="shared" si="134"/>
        <v/>
      </c>
      <c r="CV76" s="2" t="str">
        <f t="shared" si="135"/>
        <v/>
      </c>
      <c r="CW76" s="2"/>
      <c r="CX76" s="2"/>
      <c r="CY76" s="2"/>
      <c r="CZ76" s="2"/>
    </row>
    <row r="77" spans="2:104" ht="15" hidden="1" customHeight="1" x14ac:dyDescent="0.2">
      <c r="B77" s="122" t="str">
        <f>IF(AR44&gt;16,(IF(J24="Italiano","NON SI POSSONO AVERE PIÙ DI 16 GIOCATORI!   ",IF(J24="Español","¡NO PUEDES TENER MÁS DE 16 JUGADORES!   ",(IF(J24="Deutsch","SIE KÖNNEN NICHT MEHR ALS 16 SPIELER HABEN!   ",(IF(J24="Français","VOUS NE POUVEZ PAS AVOIR PLUS DE 16 JOUEURS!   ","YOU CANNOT HAVE MORE THAN 16 PLAYERS!   "))))))),"")</f>
        <v/>
      </c>
      <c r="C77" s="122"/>
      <c r="D77" s="122"/>
      <c r="E77" s="122"/>
      <c r="F77" s="122"/>
      <c r="G77" s="2"/>
      <c r="H77" s="2"/>
      <c r="I77" s="2"/>
      <c r="J77" s="2"/>
      <c r="K77" s="2">
        <f t="shared" si="105"/>
        <v>0</v>
      </c>
      <c r="L77" s="2">
        <f t="shared" si="106"/>
        <v>0</v>
      </c>
      <c r="M77" s="2">
        <f t="shared" ref="M77:N77" si="146">IF(S77=0,0,(IF(S77&gt;6,6,(IF(S77&lt;1,1,S77)))))</f>
        <v>0</v>
      </c>
      <c r="N77" s="2">
        <f t="shared" si="146"/>
        <v>0</v>
      </c>
      <c r="O77" s="2">
        <f t="shared" si="108"/>
        <v>0</v>
      </c>
      <c r="P77" s="2"/>
      <c r="Q77" s="1">
        <f>IFERROR((VLOOKUP($BO$1&amp;C13,TeamsBB2020!D:M,2,0)+AK77+AC77),0)</f>
        <v>0</v>
      </c>
      <c r="R77" s="1">
        <f>IFERROR((VLOOKUP($BO$1&amp;C13,TeamsBB2020!D:M,3,0)+AL77+AD77),0)</f>
        <v>0</v>
      </c>
      <c r="S77" s="1">
        <f>IFERROR((VLOOKUP($BO$1&amp;C13,TeamsBB2020!D:M,4,0)+AM77-AE77),0)</f>
        <v>0</v>
      </c>
      <c r="T77" s="1">
        <f>IFERROR((VLOOKUP($BO$1&amp;C13,TeamsBB2020!D:M,5,0)+AN77-AF77),0)</f>
        <v>0</v>
      </c>
      <c r="U77" s="1">
        <f>IFERROR((VLOOKUP($BO$1&amp;C13,TeamsBB2020!D:M,6,0)+AO77+AG77),0)</f>
        <v>0</v>
      </c>
      <c r="V77" s="2"/>
      <c r="W77" s="2">
        <f>IFERROR((VLOOKUP($BO$1&amp;C13,TeamsBB2020!D:M,2,0)),0)</f>
        <v>0</v>
      </c>
      <c r="X77" s="2">
        <f>IFERROR((VLOOKUP($BO$1&amp;C13,TeamsBB2020!D:M,3,0)),0)</f>
        <v>0</v>
      </c>
      <c r="Y77" s="2">
        <f>IFERROR((VLOOKUP($BO$1&amp;C13,TeamsBB2020!D:M,4,0)),0)</f>
        <v>0</v>
      </c>
      <c r="Z77" s="2">
        <f>IFERROR((VLOOKUP($BO$1&amp;C13,TeamsBB2020!D:M,5,0)),0)</f>
        <v>0</v>
      </c>
      <c r="AA77" s="2">
        <f>IFERROR((VLOOKUP($BO$1&amp;C13,TeamsBB2020!D:M,6,0)),0)</f>
        <v>0</v>
      </c>
      <c r="AB77" s="2"/>
      <c r="AC77" s="2">
        <f t="shared" si="109"/>
        <v>0</v>
      </c>
      <c r="AD77" s="2">
        <f t="shared" si="110"/>
        <v>0</v>
      </c>
      <c r="AE77" s="2">
        <f t="shared" si="111"/>
        <v>0</v>
      </c>
      <c r="AF77" s="2">
        <f t="shared" si="112"/>
        <v>0</v>
      </c>
      <c r="AG77" s="2">
        <f t="shared" si="113"/>
        <v>0</v>
      </c>
      <c r="AH77" s="2"/>
      <c r="AI77" s="2">
        <v>1</v>
      </c>
      <c r="AJ77" s="2"/>
      <c r="AK77" s="1">
        <f t="shared" si="114"/>
        <v>0</v>
      </c>
      <c r="AL77" s="1">
        <f t="shared" si="115"/>
        <v>0</v>
      </c>
      <c r="AM77" s="1">
        <f t="shared" si="116"/>
        <v>0</v>
      </c>
      <c r="AN77" s="1">
        <f t="shared" si="117"/>
        <v>0</v>
      </c>
      <c r="AO77" s="1">
        <f t="shared" si="118"/>
        <v>0</v>
      </c>
      <c r="AP77" s="2"/>
      <c r="AQ77" s="13">
        <v>12</v>
      </c>
      <c r="AR77" s="12">
        <v>655000</v>
      </c>
      <c r="AS77" s="12">
        <v>120000</v>
      </c>
      <c r="AT77" s="1"/>
      <c r="AU77" s="1"/>
      <c r="AV77" s="1"/>
      <c r="AW77" s="1"/>
      <c r="AX77" s="78">
        <v>9</v>
      </c>
      <c r="AY77" s="78">
        <v>10</v>
      </c>
      <c r="AZ77" s="1">
        <v>40000</v>
      </c>
      <c r="BA77" s="2">
        <f>SUM(AR2:AR17)</f>
        <v>0</v>
      </c>
      <c r="BB77" s="2"/>
      <c r="BC77" s="2"/>
      <c r="BD77" s="2"/>
      <c r="BE77" s="2"/>
      <c r="BI77" s="2"/>
      <c r="BK77" s="2"/>
      <c r="BM77" s="2"/>
      <c r="BN77" s="2"/>
      <c r="BO77" s="72" t="s">
        <v>1489</v>
      </c>
      <c r="BP77" s="73">
        <v>50000</v>
      </c>
      <c r="BS77" s="81" t="str">
        <f>IF($J$24="Español","Patada",(IF($J$24="Deutsch","Kicken",(IF($J$24="Français","Joueur Déloyal (+1)","Kick")))))</f>
        <v>Patada</v>
      </c>
      <c r="BT77" s="21" t="s">
        <v>167</v>
      </c>
      <c r="BU77" s="81" t="str">
        <f>IF($J$24="Español","Patada",(IF($J$24="Deutsch","Kicken",(IF($J$24="Français","Joueur Déloyal (+1)","Kick")))))</f>
        <v>Patada</v>
      </c>
      <c r="BV77" s="21" t="s">
        <v>167</v>
      </c>
      <c r="BW77" s="81" t="str">
        <f>IF($J$24="Español","Patada",(IF($J$24="Deutsch","Kicken",(IF($J$24="Français","Joueur Déloyal (+1)","Kick")))))</f>
        <v>Patada</v>
      </c>
      <c r="BX77" s="21" t="s">
        <v>167</v>
      </c>
      <c r="BY77" s="75" t="str">
        <f>IF($J$24="Español","Patada",(IF($J$24="Deutsch","Kicken",(IF($J$24="Français","Joueur Déloyal (+1)","Kick")))))</f>
        <v>Patada</v>
      </c>
      <c r="BZ77" s="21" t="s">
        <v>167</v>
      </c>
      <c r="CA77" s="75" t="str">
        <f>IF($J$24="Español","En Pie de un Salto",(IF($J$24="Deutsch","Fangsicher",(IF($J$24="Français","Esquive","Diving Tackle")))))</f>
        <v>En Pie de un Salto</v>
      </c>
      <c r="CB77" s="21" t="s">
        <v>168</v>
      </c>
      <c r="CC77" s="75" t="str">
        <f>IF($J$24="Español","Placaje Defensivo",(IF($J$24="Deutsch","Profi",(IF($J$24="Français","Parade","Shadowing")))))</f>
        <v>Placaje Defensivo</v>
      </c>
      <c r="CD77" s="2" t="s">
        <v>167</v>
      </c>
      <c r="CE77" s="80"/>
      <c r="CF77" s="2"/>
      <c r="CG77" s="2" t="str">
        <f t="shared" si="120"/>
        <v/>
      </c>
      <c r="CH77" s="2" t="str">
        <f t="shared" si="121"/>
        <v/>
      </c>
      <c r="CI77" s="2" t="str">
        <f t="shared" si="122"/>
        <v/>
      </c>
      <c r="CJ77" s="2" t="str">
        <f t="shared" si="123"/>
        <v/>
      </c>
      <c r="CK77" s="2" t="str">
        <f t="shared" si="124"/>
        <v/>
      </c>
      <c r="CL77" s="2" t="str">
        <f t="shared" si="125"/>
        <v/>
      </c>
      <c r="CM77" s="2" t="str">
        <f t="shared" si="126"/>
        <v/>
      </c>
      <c r="CN77" s="2" t="str">
        <f t="shared" si="127"/>
        <v/>
      </c>
      <c r="CO77" s="2" t="str">
        <f t="shared" si="128"/>
        <v/>
      </c>
      <c r="CP77" s="2" t="str">
        <f t="shared" si="129"/>
        <v/>
      </c>
      <c r="CQ77" s="2" t="str">
        <f t="shared" si="130"/>
        <v/>
      </c>
      <c r="CR77" s="2" t="str">
        <f t="shared" si="131"/>
        <v/>
      </c>
      <c r="CS77" s="2" t="str">
        <f t="shared" si="132"/>
        <v/>
      </c>
      <c r="CT77" s="2" t="str">
        <f t="shared" si="133"/>
        <v/>
      </c>
      <c r="CU77" s="2" t="str">
        <f t="shared" si="134"/>
        <v/>
      </c>
      <c r="CV77" s="2" t="str">
        <f t="shared" si="135"/>
        <v/>
      </c>
      <c r="CW77" s="2"/>
      <c r="CX77" s="2"/>
      <c r="CY77" s="2"/>
      <c r="CZ77" s="2"/>
    </row>
    <row r="78" spans="2:104" ht="15" hidden="1" customHeight="1" x14ac:dyDescent="0.2">
      <c r="B78" s="2"/>
      <c r="C78" s="10"/>
      <c r="D78" s="10"/>
      <c r="E78" s="10"/>
      <c r="F78" s="10"/>
      <c r="G78" s="2"/>
      <c r="H78" s="2"/>
      <c r="I78" s="2"/>
      <c r="J78" s="2"/>
      <c r="K78" s="2">
        <f t="shared" si="105"/>
        <v>0</v>
      </c>
      <c r="L78" s="2">
        <f t="shared" si="106"/>
        <v>0</v>
      </c>
      <c r="M78" s="2">
        <f t="shared" ref="M78:N78" si="147">IF(S78=0,0,(IF(S78&gt;6,6,(IF(S78&lt;1,1,S78)))))</f>
        <v>0</v>
      </c>
      <c r="N78" s="2">
        <f t="shared" si="147"/>
        <v>0</v>
      </c>
      <c r="O78" s="2">
        <f t="shared" si="108"/>
        <v>0</v>
      </c>
      <c r="P78" s="2"/>
      <c r="Q78" s="1">
        <f>IFERROR((VLOOKUP($BO$1&amp;C14,TeamsBB2020!D:M,2,0)+AK78+AC78),0)</f>
        <v>0</v>
      </c>
      <c r="R78" s="1">
        <f>IFERROR((VLOOKUP($BO$1&amp;C14,TeamsBB2020!D:M,3,0)+AL78+AD78),0)</f>
        <v>0</v>
      </c>
      <c r="S78" s="1">
        <f>IFERROR((VLOOKUP($BO$1&amp;C14,TeamsBB2020!D:M,4,0)+AM78-AE78),0)</f>
        <v>0</v>
      </c>
      <c r="T78" s="1">
        <f>IFERROR((VLOOKUP($BO$1&amp;C14,TeamsBB2020!D:M,5,0)+AN78-AF78),0)</f>
        <v>0</v>
      </c>
      <c r="U78" s="1">
        <f>IFERROR((VLOOKUP($BO$1&amp;C14,TeamsBB2020!D:M,6,0)+AO78+AG78),0)</f>
        <v>0</v>
      </c>
      <c r="V78" s="2"/>
      <c r="W78" s="2">
        <f>IFERROR((VLOOKUP($BO$1&amp;C14,TeamsBB2020!D:M,2,0)),0)</f>
        <v>0</v>
      </c>
      <c r="X78" s="2">
        <f>IFERROR((VLOOKUP($BO$1&amp;C14,TeamsBB2020!D:M,3,0)),0)</f>
        <v>0</v>
      </c>
      <c r="Y78" s="2">
        <f>IFERROR((VLOOKUP($BO$1&amp;C14,TeamsBB2020!D:M,4,0)),0)</f>
        <v>0</v>
      </c>
      <c r="Z78" s="2">
        <f>IFERROR((VLOOKUP($BO$1&amp;C14,TeamsBB2020!D:M,5,0)),0)</f>
        <v>0</v>
      </c>
      <c r="AA78" s="2">
        <f>IFERROR((VLOOKUP($BO$1&amp;C14,TeamsBB2020!D:M,6,0)),0)</f>
        <v>0</v>
      </c>
      <c r="AB78" s="2"/>
      <c r="AC78" s="2">
        <f t="shared" si="109"/>
        <v>0</v>
      </c>
      <c r="AD78" s="2">
        <f t="shared" si="110"/>
        <v>0</v>
      </c>
      <c r="AE78" s="2">
        <f t="shared" si="111"/>
        <v>0</v>
      </c>
      <c r="AF78" s="2">
        <f t="shared" si="112"/>
        <v>0</v>
      </c>
      <c r="AG78" s="2">
        <f t="shared" si="113"/>
        <v>0</v>
      </c>
      <c r="AH78" s="2"/>
      <c r="AI78" s="2">
        <v>-1</v>
      </c>
      <c r="AJ78" s="2"/>
      <c r="AK78" s="1">
        <f t="shared" si="114"/>
        <v>0</v>
      </c>
      <c r="AL78" s="1">
        <f t="shared" si="115"/>
        <v>0</v>
      </c>
      <c r="AM78" s="1">
        <f t="shared" si="116"/>
        <v>0</v>
      </c>
      <c r="AN78" s="1">
        <f t="shared" si="117"/>
        <v>0</v>
      </c>
      <c r="AO78" s="1">
        <f t="shared" si="118"/>
        <v>0</v>
      </c>
      <c r="AP78" s="2"/>
      <c r="AQ78" s="12">
        <v>13</v>
      </c>
      <c r="AR78" s="12">
        <v>660000</v>
      </c>
      <c r="AS78" s="12">
        <v>130000</v>
      </c>
      <c r="AT78" s="1"/>
      <c r="AU78" s="1"/>
      <c r="AV78" s="1"/>
      <c r="AW78" s="1"/>
      <c r="AX78" s="78">
        <v>10</v>
      </c>
      <c r="AY78" s="78">
        <v>11</v>
      </c>
      <c r="AZ78" s="1">
        <v>50000</v>
      </c>
      <c r="BA78" s="5" t="s">
        <v>221</v>
      </c>
      <c r="BB78" s="2"/>
      <c r="BC78" s="2"/>
      <c r="BD78" s="2"/>
      <c r="BE78" s="2"/>
      <c r="BI78" s="2"/>
      <c r="BK78" s="2"/>
      <c r="BM78" s="2"/>
      <c r="BN78" s="2"/>
      <c r="BO78" s="74" t="s">
        <v>1521</v>
      </c>
      <c r="BP78" s="73">
        <v>150000</v>
      </c>
      <c r="BS78" s="81" t="str">
        <f>IF($J$24="Español","Perseguir",(IF($J$24="Deutsch","Manndeckung",(IF($J$24="Français","Lutte","Pro")))))</f>
        <v>Perseguir</v>
      </c>
      <c r="BT78" s="21" t="s">
        <v>167</v>
      </c>
      <c r="BU78" s="81" t="str">
        <f>IF($J$24="Español","Perseguir",(IF($J$24="Deutsch","Manndeckung",(IF($J$24="Français","Lutte","Pro")))))</f>
        <v>Perseguir</v>
      </c>
      <c r="BV78" s="21" t="s">
        <v>167</v>
      </c>
      <c r="BW78" s="81" t="str">
        <f>IF($J$24="Español","Perseguir",(IF($J$24="Deutsch","Manndeckung",(IF($J$24="Français","Lutte","Pro")))))</f>
        <v>Perseguir</v>
      </c>
      <c r="BX78" s="21" t="s">
        <v>167</v>
      </c>
      <c r="BY78" s="75" t="str">
        <f>IF($J$24="Español","Perseguir",(IF($J$24="Deutsch","Manndeckung",(IF($J$24="Français","Lutte","Pro")))))</f>
        <v>Perseguir</v>
      </c>
      <c r="BZ78" s="21" t="s">
        <v>167</v>
      </c>
      <c r="CA78" s="75" t="str">
        <f>IF($J$24="Español","Esprintar",(IF($J$24="Deutsch","Fliegender Tackle",(IF($J$24="Français","Glissade contrôlée","Dodge")))))</f>
        <v>Esprintar</v>
      </c>
      <c r="CB78" s="21" t="s">
        <v>168</v>
      </c>
      <c r="CC78" s="75" t="str">
        <f>IF($J$24="Español","Placar",(IF($J$24="Deutsch","Rasend",(IF($J$24="Français","Poursuite","Strip Ball")))))</f>
        <v>Placar</v>
      </c>
      <c r="CD78" s="2" t="s">
        <v>167</v>
      </c>
      <c r="CE78" s="80"/>
      <c r="CF78" s="2"/>
      <c r="CG78" s="2" t="str">
        <f t="shared" si="120"/>
        <v/>
      </c>
      <c r="CH78" s="2" t="str">
        <f t="shared" si="121"/>
        <v/>
      </c>
      <c r="CI78" s="2" t="str">
        <f t="shared" si="122"/>
        <v/>
      </c>
      <c r="CJ78" s="2" t="str">
        <f t="shared" si="123"/>
        <v/>
      </c>
      <c r="CK78" s="2" t="str">
        <f t="shared" si="124"/>
        <v/>
      </c>
      <c r="CL78" s="2" t="str">
        <f t="shared" si="125"/>
        <v/>
      </c>
      <c r="CM78" s="2" t="str">
        <f t="shared" si="126"/>
        <v/>
      </c>
      <c r="CN78" s="2" t="str">
        <f t="shared" si="127"/>
        <v/>
      </c>
      <c r="CO78" s="2" t="str">
        <f t="shared" si="128"/>
        <v/>
      </c>
      <c r="CP78" s="2" t="str">
        <f t="shared" si="129"/>
        <v/>
      </c>
      <c r="CQ78" s="2" t="str">
        <f t="shared" si="130"/>
        <v/>
      </c>
      <c r="CR78" s="2" t="str">
        <f t="shared" si="131"/>
        <v/>
      </c>
      <c r="CS78" s="2" t="str">
        <f t="shared" si="132"/>
        <v/>
      </c>
      <c r="CT78" s="2" t="str">
        <f t="shared" si="133"/>
        <v/>
      </c>
      <c r="CU78" s="2" t="str">
        <f t="shared" si="134"/>
        <v/>
      </c>
      <c r="CV78" s="2" t="str">
        <f t="shared" si="135"/>
        <v/>
      </c>
      <c r="CW78" s="2"/>
      <c r="CX78" s="2"/>
      <c r="CY78" s="2"/>
      <c r="CZ78" s="2"/>
    </row>
    <row r="79" spans="2:104" ht="15" hidden="1" customHeight="1" x14ac:dyDescent="0.2">
      <c r="B79" s="2"/>
      <c r="C79" s="2"/>
      <c r="D79" s="2"/>
      <c r="E79" s="2"/>
      <c r="F79" s="2"/>
      <c r="G79" s="2"/>
      <c r="H79" s="2"/>
      <c r="I79" s="2"/>
      <c r="J79" s="2"/>
      <c r="K79" s="2">
        <f t="shared" si="105"/>
        <v>0</v>
      </c>
      <c r="L79" s="2">
        <f t="shared" si="106"/>
        <v>0</v>
      </c>
      <c r="M79" s="2">
        <f t="shared" ref="M79:N79" si="148">IF(S79=0,0,(IF(S79&gt;6,6,(IF(S79&lt;1,1,S79)))))</f>
        <v>0</v>
      </c>
      <c r="N79" s="2">
        <f t="shared" si="148"/>
        <v>0</v>
      </c>
      <c r="O79" s="2">
        <f t="shared" si="108"/>
        <v>0</v>
      </c>
      <c r="P79" s="2"/>
      <c r="Q79" s="1">
        <f>IFERROR((VLOOKUP($BO$1&amp;C15,TeamsBB2020!D:M,2,0)+AK79+AC79),0)</f>
        <v>0</v>
      </c>
      <c r="R79" s="1">
        <f>IFERROR((VLOOKUP($BO$1&amp;C15,TeamsBB2020!D:M,3,0)+AL79+AD79),0)</f>
        <v>0</v>
      </c>
      <c r="S79" s="1">
        <f>IFERROR((VLOOKUP($BO$1&amp;C15,TeamsBB2020!D:M,4,0)+AM79-AE79),0)</f>
        <v>0</v>
      </c>
      <c r="T79" s="1">
        <f>IFERROR((VLOOKUP($BO$1&amp;C15,TeamsBB2020!D:M,5,0)+AN79-AF79),0)</f>
        <v>0</v>
      </c>
      <c r="U79" s="1">
        <f>IFERROR((VLOOKUP($BO$1&amp;C15,TeamsBB2020!D:M,6,0)+AO79+AG79),0)</f>
        <v>0</v>
      </c>
      <c r="V79" s="2"/>
      <c r="W79" s="2">
        <f>IFERROR((VLOOKUP($BO$1&amp;C15,TeamsBB2020!D:M,2,0)),0)</f>
        <v>0</v>
      </c>
      <c r="X79" s="2">
        <f>IFERROR((VLOOKUP($BO$1&amp;C15,TeamsBB2020!D:M,3,0)),0)</f>
        <v>0</v>
      </c>
      <c r="Y79" s="2">
        <f>IFERROR((VLOOKUP($BO$1&amp;C15,TeamsBB2020!D:M,4,0)),0)</f>
        <v>0</v>
      </c>
      <c r="Z79" s="2">
        <f>IFERROR((VLOOKUP($BO$1&amp;C15,TeamsBB2020!D:M,5,0)),0)</f>
        <v>0</v>
      </c>
      <c r="AA79" s="2">
        <f>IFERROR((VLOOKUP($BO$1&amp;C15,TeamsBB2020!D:M,6,0)),0)</f>
        <v>0</v>
      </c>
      <c r="AB79" s="2"/>
      <c r="AC79" s="2">
        <f t="shared" si="109"/>
        <v>0</v>
      </c>
      <c r="AD79" s="2">
        <f t="shared" si="110"/>
        <v>0</v>
      </c>
      <c r="AE79" s="2">
        <f t="shared" si="111"/>
        <v>0</v>
      </c>
      <c r="AF79" s="2">
        <f t="shared" si="112"/>
        <v>0</v>
      </c>
      <c r="AG79" s="2">
        <f t="shared" si="113"/>
        <v>0</v>
      </c>
      <c r="AH79" s="2"/>
      <c r="AI79" s="2"/>
      <c r="AJ79" s="2"/>
      <c r="AK79" s="1">
        <f t="shared" si="114"/>
        <v>0</v>
      </c>
      <c r="AL79" s="1">
        <f t="shared" si="115"/>
        <v>0</v>
      </c>
      <c r="AM79" s="1">
        <f t="shared" si="116"/>
        <v>0</v>
      </c>
      <c r="AN79" s="1">
        <f t="shared" si="117"/>
        <v>0</v>
      </c>
      <c r="AO79" s="1">
        <f t="shared" si="118"/>
        <v>0</v>
      </c>
      <c r="AP79" s="2"/>
      <c r="AQ79" s="13">
        <v>14</v>
      </c>
      <c r="AR79" s="12">
        <v>665000</v>
      </c>
      <c r="AS79" s="12">
        <v>140000</v>
      </c>
      <c r="AT79" s="1"/>
      <c r="AU79" s="1"/>
      <c r="AV79" s="1"/>
      <c r="AW79" s="1"/>
      <c r="AX79" s="78">
        <v>11</v>
      </c>
      <c r="AY79" s="78">
        <v>12</v>
      </c>
      <c r="AZ79" s="1">
        <v>60000</v>
      </c>
      <c r="BA79" s="2">
        <f>VLOOKUP(BO1,BL:BR,7,FALSE)</f>
        <v>1</v>
      </c>
      <c r="BB79" s="2"/>
      <c r="BC79" s="2"/>
      <c r="BD79" s="2"/>
      <c r="BE79" s="2"/>
      <c r="BI79" s="2"/>
      <c r="BK79" s="2"/>
      <c r="BM79" s="2"/>
      <c r="BN79" s="2"/>
      <c r="BO79" s="2"/>
      <c r="BS79" s="81" t="str">
        <f>IF($J$24="Español","Placaje Defensivo",(IF($J$24="Deutsch","Profi",(IF($J$24="Français","Parade","Shadowing")))))</f>
        <v>Placaje Defensivo</v>
      </c>
      <c r="BT79" s="21" t="s">
        <v>167</v>
      </c>
      <c r="BU79" s="81" t="str">
        <f>IF($J$24="Español","Placaje Defensivo",(IF($J$24="Deutsch","Profi",(IF($J$24="Français","Parade","Shadowing")))))</f>
        <v>Placaje Defensivo</v>
      </c>
      <c r="BV79" s="21" t="s">
        <v>167</v>
      </c>
      <c r="BW79" s="81" t="str">
        <f>IF($J$24="Español","Placaje Defensivo",(IF($J$24="Deutsch","Profi",(IF($J$24="Français","Parade","Shadowing")))))</f>
        <v>Placaje Defensivo</v>
      </c>
      <c r="BX79" s="21" t="s">
        <v>167</v>
      </c>
      <c r="BY79" s="75" t="str">
        <f>IF($J$24="Español","Placaje Defensivo",(IF($J$24="Deutsch","Profi",(IF($J$24="Français","Parade","Shadowing")))))</f>
        <v>Placaje Defensivo</v>
      </c>
      <c r="BZ79" s="21" t="s">
        <v>167</v>
      </c>
      <c r="CA79" s="75" t="str">
        <f>IF($J$24="Español","Esquivar",(IF($J$24="Deutsch","Gewandt",(IF($J$24="Français","Libération contrôlée","Defensive")))))</f>
        <v>Esquivar</v>
      </c>
      <c r="CB79" s="21" t="s">
        <v>168</v>
      </c>
      <c r="CC79" s="75" t="str">
        <f>IF($J$24="Español","Profesional",(IF($J$24="Deutsch","Tackle",(IF($J$24="Français","Prise sûre","Sure Hands")))))</f>
        <v>Profesional</v>
      </c>
      <c r="CD79" s="2" t="s">
        <v>167</v>
      </c>
      <c r="CE79" s="80"/>
      <c r="CF79" s="2"/>
      <c r="CG79" s="2" t="str">
        <f t="shared" si="120"/>
        <v/>
      </c>
      <c r="CH79" s="2" t="str">
        <f t="shared" si="121"/>
        <v/>
      </c>
      <c r="CI79" s="2" t="str">
        <f t="shared" si="122"/>
        <v/>
      </c>
      <c r="CJ79" s="2" t="str">
        <f t="shared" si="123"/>
        <v/>
      </c>
      <c r="CK79" s="2" t="str">
        <f t="shared" si="124"/>
        <v/>
      </c>
      <c r="CL79" s="2" t="str">
        <f t="shared" si="125"/>
        <v/>
      </c>
      <c r="CM79" s="2" t="str">
        <f t="shared" si="126"/>
        <v/>
      </c>
      <c r="CN79" s="2" t="str">
        <f t="shared" si="127"/>
        <v/>
      </c>
      <c r="CO79" s="2" t="str">
        <f t="shared" si="128"/>
        <v/>
      </c>
      <c r="CP79" s="2" t="str">
        <f t="shared" si="129"/>
        <v/>
      </c>
      <c r="CQ79" s="2" t="str">
        <f t="shared" si="130"/>
        <v/>
      </c>
      <c r="CR79" s="2" t="str">
        <f t="shared" si="131"/>
        <v/>
      </c>
      <c r="CS79" s="2" t="str">
        <f t="shared" si="132"/>
        <v/>
      </c>
      <c r="CT79" s="2" t="str">
        <f t="shared" si="133"/>
        <v/>
      </c>
      <c r="CU79" s="2" t="str">
        <f t="shared" si="134"/>
        <v/>
      </c>
      <c r="CV79" s="2" t="str">
        <f t="shared" si="135"/>
        <v/>
      </c>
      <c r="CW79" s="2"/>
      <c r="CX79" s="2"/>
      <c r="CY79" s="2"/>
      <c r="CZ79" s="2"/>
    </row>
    <row r="80" spans="2:104" ht="15" hidden="1" customHeight="1" x14ac:dyDescent="0.2">
      <c r="B80" s="2"/>
      <c r="C80" s="2"/>
      <c r="D80" s="2"/>
      <c r="E80" s="2"/>
      <c r="F80" s="2"/>
      <c r="G80" s="2"/>
      <c r="H80" s="2"/>
      <c r="I80" s="2"/>
      <c r="J80" s="2"/>
      <c r="K80" s="2">
        <f t="shared" si="105"/>
        <v>0</v>
      </c>
      <c r="L80" s="2">
        <f t="shared" si="106"/>
        <v>0</v>
      </c>
      <c r="M80" s="2">
        <f t="shared" ref="M80:N80" si="149">IF(S80=0,0,(IF(S80&gt;6,6,(IF(S80&lt;1,1,S80)))))</f>
        <v>0</v>
      </c>
      <c r="N80" s="2">
        <f t="shared" si="149"/>
        <v>0</v>
      </c>
      <c r="O80" s="2">
        <f t="shared" si="108"/>
        <v>0</v>
      </c>
      <c r="P80" s="2"/>
      <c r="Q80" s="1">
        <f>IFERROR((VLOOKUP($BO$1&amp;C16,TeamsBB2020!D:M,2,0)+AK80+AC80),0)</f>
        <v>0</v>
      </c>
      <c r="R80" s="1">
        <f>IFERROR((VLOOKUP($BO$1&amp;C16,TeamsBB2020!D:M,3,0)+AL80+AD80),0)</f>
        <v>0</v>
      </c>
      <c r="S80" s="1">
        <f>IFERROR((VLOOKUP($BO$1&amp;C16,TeamsBB2020!D:M,4,0)+AM80-AE80),0)</f>
        <v>0</v>
      </c>
      <c r="T80" s="1">
        <f>IFERROR((VLOOKUP($BO$1&amp;C16,TeamsBB2020!D:M,5,0)+AN80-AF80),0)</f>
        <v>0</v>
      </c>
      <c r="U80" s="1">
        <f>IFERROR((VLOOKUP($BO$1&amp;C16,TeamsBB2020!D:M,6,0)+AO80+AG80),0)</f>
        <v>0</v>
      </c>
      <c r="V80" s="2"/>
      <c r="W80" s="2">
        <f>IFERROR((VLOOKUP($BO$1&amp;C16,TeamsBB2020!D:M,2,0)),0)</f>
        <v>0</v>
      </c>
      <c r="X80" s="2">
        <f>IFERROR((VLOOKUP($BO$1&amp;C16,TeamsBB2020!D:M,3,0)),0)</f>
        <v>0</v>
      </c>
      <c r="Y80" s="2">
        <f>IFERROR((VLOOKUP($BO$1&amp;C16,TeamsBB2020!D:M,4,0)),0)</f>
        <v>0</v>
      </c>
      <c r="Z80" s="2">
        <f>IFERROR((VLOOKUP($BO$1&amp;C16,TeamsBB2020!D:M,5,0)),0)</f>
        <v>0</v>
      </c>
      <c r="AA80" s="2">
        <f>IFERROR((VLOOKUP($BO$1&amp;C16,TeamsBB2020!D:M,6,0)),0)</f>
        <v>0</v>
      </c>
      <c r="AB80" s="2"/>
      <c r="AC80" s="2">
        <f t="shared" si="109"/>
        <v>0</v>
      </c>
      <c r="AD80" s="2">
        <f t="shared" si="110"/>
        <v>0</v>
      </c>
      <c r="AE80" s="2">
        <f t="shared" si="111"/>
        <v>0</v>
      </c>
      <c r="AF80" s="2">
        <f t="shared" si="112"/>
        <v>0</v>
      </c>
      <c r="AG80" s="2">
        <f t="shared" si="113"/>
        <v>0</v>
      </c>
      <c r="AH80" s="2"/>
      <c r="AI80" s="2"/>
      <c r="AJ80" s="2"/>
      <c r="AK80" s="1">
        <f t="shared" si="114"/>
        <v>0</v>
      </c>
      <c r="AL80" s="1">
        <f t="shared" si="115"/>
        <v>0</v>
      </c>
      <c r="AM80" s="1">
        <f t="shared" si="116"/>
        <v>0</v>
      </c>
      <c r="AN80" s="1">
        <f t="shared" si="117"/>
        <v>0</v>
      </c>
      <c r="AO80" s="1">
        <f t="shared" si="118"/>
        <v>0</v>
      </c>
      <c r="AP80" s="2"/>
      <c r="AQ80" s="13">
        <v>15</v>
      </c>
      <c r="AR80" s="12">
        <v>670000</v>
      </c>
      <c r="AS80" s="12">
        <v>150000</v>
      </c>
      <c r="AT80" s="1"/>
      <c r="AU80" s="1"/>
      <c r="AV80" s="1"/>
      <c r="AW80" s="1"/>
      <c r="AX80" s="78">
        <v>12</v>
      </c>
      <c r="AY80" s="78">
        <v>13</v>
      </c>
      <c r="AZ80" s="1">
        <v>70000</v>
      </c>
      <c r="BA80" s="5" t="s">
        <v>222</v>
      </c>
      <c r="BB80" s="2"/>
      <c r="BC80" s="2"/>
      <c r="BD80" s="2"/>
      <c r="BE80" s="2"/>
      <c r="BI80" s="2"/>
      <c r="BK80" s="2"/>
      <c r="BM80" s="2"/>
      <c r="BN80" s="2"/>
      <c r="BO80" s="2"/>
      <c r="BS80" s="81" t="str">
        <f>IF($J$24="Español","Placar",(IF($J$24="Deutsch","Rasend",(IF($J$24="Français","Poursuite","Strip Ball")))))</f>
        <v>Placar</v>
      </c>
      <c r="BT80" s="21" t="s">
        <v>167</v>
      </c>
      <c r="BU80" s="81" t="str">
        <f>IF($J$24="Español","Placar",(IF($J$24="Deutsch","Rasend",(IF($J$24="Français","Poursuite","Strip Ball")))))</f>
        <v>Placar</v>
      </c>
      <c r="BV80" s="21" t="s">
        <v>167</v>
      </c>
      <c r="BW80" s="81" t="str">
        <f>IF($J$24="Español","Placar",(IF($J$24="Deutsch","Rasend",(IF($J$24="Français","Poursuite","Strip Ball")))))</f>
        <v>Placar</v>
      </c>
      <c r="BX80" s="21" t="s">
        <v>167</v>
      </c>
      <c r="BY80" s="75" t="str">
        <f>IF($J$24="Español","Placar",(IF($J$24="Deutsch","Rasend",(IF($J$24="Français","Poursuite","Strip Ball")))))</f>
        <v>Placar</v>
      </c>
      <c r="BZ80" s="21" t="s">
        <v>167</v>
      </c>
      <c r="CA80" s="75" t="str">
        <f>IF($J$24="Español","Furtivo",(IF($J$24="Deutsch","Hechtsprung",(IF($J$24="Français","Réception ","Jump Up")))))</f>
        <v>Furtivo</v>
      </c>
      <c r="CB80" s="21" t="s">
        <v>168</v>
      </c>
      <c r="CC80" s="75" t="str">
        <f>IF($J$24="Español","Robar Balón",(IF($J$24="Deutsch","Unerschrocken",(IF($J$24="Français","Pro","Tackle")))))</f>
        <v>Robar Balón</v>
      </c>
      <c r="CD80" s="2" t="s">
        <v>167</v>
      </c>
      <c r="CE80" s="80"/>
      <c r="CF80" s="2"/>
      <c r="CG80" s="2" t="str">
        <f t="shared" si="120"/>
        <v/>
      </c>
      <c r="CH80" s="2" t="str">
        <f t="shared" si="121"/>
        <v/>
      </c>
      <c r="CI80" s="2" t="str">
        <f t="shared" si="122"/>
        <v/>
      </c>
      <c r="CJ80" s="2" t="str">
        <f t="shared" si="123"/>
        <v/>
      </c>
      <c r="CK80" s="2" t="str">
        <f t="shared" si="124"/>
        <v/>
      </c>
      <c r="CL80" s="2" t="str">
        <f t="shared" si="125"/>
        <v/>
      </c>
      <c r="CM80" s="2" t="str">
        <f t="shared" si="126"/>
        <v/>
      </c>
      <c r="CN80" s="2" t="str">
        <f t="shared" si="127"/>
        <v/>
      </c>
      <c r="CO80" s="2" t="str">
        <f t="shared" si="128"/>
        <v/>
      </c>
      <c r="CP80" s="2" t="str">
        <f t="shared" si="129"/>
        <v/>
      </c>
      <c r="CQ80" s="2" t="str">
        <f t="shared" si="130"/>
        <v/>
      </c>
      <c r="CR80" s="2" t="str">
        <f t="shared" si="131"/>
        <v/>
      </c>
      <c r="CS80" s="2" t="str">
        <f t="shared" si="132"/>
        <v/>
      </c>
      <c r="CT80" s="2" t="str">
        <f t="shared" si="133"/>
        <v/>
      </c>
      <c r="CU80" s="2" t="str">
        <f t="shared" si="134"/>
        <v/>
      </c>
      <c r="CV80" s="2" t="str">
        <f t="shared" si="135"/>
        <v/>
      </c>
      <c r="CW80" s="2"/>
      <c r="CX80" s="2"/>
      <c r="CY80" s="2"/>
      <c r="CZ80" s="2"/>
    </row>
    <row r="81" spans="2:104" ht="15" hidden="1" customHeight="1" x14ac:dyDescent="0.2">
      <c r="B81" s="2"/>
      <c r="C81" s="2"/>
      <c r="D81" s="2"/>
      <c r="E81" s="2"/>
      <c r="F81" s="2"/>
      <c r="G81" s="2"/>
      <c r="H81" s="2"/>
      <c r="I81" s="2"/>
      <c r="J81" s="2"/>
      <c r="K81" s="2">
        <f t="shared" si="105"/>
        <v>0</v>
      </c>
      <c r="L81" s="2">
        <f t="shared" si="106"/>
        <v>0</v>
      </c>
      <c r="M81" s="2">
        <f t="shared" ref="M81:N81" si="150">IF(S81=0,0,(IF(S81&gt;6,6,(IF(S81&lt;1,1,S81)))))</f>
        <v>0</v>
      </c>
      <c r="N81" s="2">
        <f t="shared" si="150"/>
        <v>0</v>
      </c>
      <c r="O81" s="2">
        <f t="shared" si="108"/>
        <v>0</v>
      </c>
      <c r="P81" s="2"/>
      <c r="Q81" s="1">
        <f>IFERROR((VLOOKUP($BO$1&amp;C17,TeamsBB2020!D:M,2,0)+AK81+AC81),0)</f>
        <v>0</v>
      </c>
      <c r="R81" s="1">
        <f>IFERROR((VLOOKUP($BO$1&amp;C17,TeamsBB2020!D:M,3,0)+AL81+AD81),0)</f>
        <v>0</v>
      </c>
      <c r="S81" s="1">
        <f>IFERROR((VLOOKUP($BO$1&amp;C17,TeamsBB2020!D:M,4,0)+AM81-AE81),0)</f>
        <v>0</v>
      </c>
      <c r="T81" s="1">
        <f>IFERROR((VLOOKUP($BO$1&amp;C17,TeamsBB2020!D:M,5,0)+AN81-AF81),0)</f>
        <v>0</v>
      </c>
      <c r="U81" s="1">
        <f>IFERROR((VLOOKUP($BO$1&amp;C17,TeamsBB2020!D:M,6,0)+AO81+AG81),0)</f>
        <v>0</v>
      </c>
      <c r="V81" s="2"/>
      <c r="W81" s="2">
        <f>IFERROR((VLOOKUP($BO$1&amp;C17,TeamsBB2020!D:M,2,0)),0)</f>
        <v>0</v>
      </c>
      <c r="X81" s="2">
        <f>IFERROR((VLOOKUP($BO$1&amp;C17,TeamsBB2020!D:M,3,0)),0)</f>
        <v>0</v>
      </c>
      <c r="Y81" s="2">
        <f>IFERROR((VLOOKUP($BO$1&amp;C17,TeamsBB2020!D:M,4,0)),0)</f>
        <v>0</v>
      </c>
      <c r="Z81" s="2">
        <f>IFERROR((VLOOKUP($BO$1&amp;C17,TeamsBB2020!D:M,5,0)),0)</f>
        <v>0</v>
      </c>
      <c r="AA81" s="2">
        <f>IFERROR((VLOOKUP($BO$1&amp;C17,TeamsBB2020!D:M,6,0)),0)</f>
        <v>0</v>
      </c>
      <c r="AB81" s="2"/>
      <c r="AC81" s="2">
        <f t="shared" si="109"/>
        <v>0</v>
      </c>
      <c r="AD81" s="2">
        <f t="shared" si="110"/>
        <v>0</v>
      </c>
      <c r="AE81" s="2">
        <f t="shared" si="111"/>
        <v>0</v>
      </c>
      <c r="AF81" s="2">
        <f t="shared" si="112"/>
        <v>0</v>
      </c>
      <c r="AG81" s="2">
        <f t="shared" si="113"/>
        <v>0</v>
      </c>
      <c r="AH81" s="2"/>
      <c r="AI81" s="2"/>
      <c r="AJ81" s="2"/>
      <c r="AK81" s="1">
        <f t="shared" si="114"/>
        <v>0</v>
      </c>
      <c r="AL81" s="1">
        <f t="shared" si="115"/>
        <v>0</v>
      </c>
      <c r="AM81" s="1">
        <f t="shared" si="116"/>
        <v>0</v>
      </c>
      <c r="AN81" s="1">
        <f t="shared" si="117"/>
        <v>0</v>
      </c>
      <c r="AO81" s="1">
        <f t="shared" si="118"/>
        <v>0</v>
      </c>
      <c r="AP81" s="2"/>
      <c r="AQ81" s="12">
        <v>16</v>
      </c>
      <c r="AR81" s="12">
        <v>675000</v>
      </c>
      <c r="AS81" s="12">
        <v>160000</v>
      </c>
      <c r="AT81" s="1"/>
      <c r="AU81" s="1"/>
      <c r="AV81" s="1"/>
      <c r="AW81" s="1"/>
      <c r="AX81" s="78">
        <v>13</v>
      </c>
      <c r="AY81" s="78">
        <v>14</v>
      </c>
      <c r="AZ81" s="1">
        <v>80000</v>
      </c>
      <c r="BA81" s="2" t="str">
        <f>IFERROR((IF(BU2="Favouredof",(IF($J$24="Italiano","(sceglierne uno)",(IF($J$24="Español","(elegir uno)",(IF($J$24="Deutsch","(wähle)",(IF(J25="Français","(choisir soit)","(choose either)")))))))),(IF(BU2="OldWorldClassicFavouredof",(IF($J$24="Español","(elegir uno)",(IF($J$24="Deutsch","(wähle)",(IF(J25="Français","(choisir soit)","(choose either)")))))),"")))),"")</f>
        <v>(elegir uno)</v>
      </c>
      <c r="BB81" s="2"/>
      <c r="BC81" s="2"/>
      <c r="BD81" s="2"/>
      <c r="BE81" s="2" t="s">
        <v>1182</v>
      </c>
      <c r="BI81" s="2"/>
      <c r="BJ81" s="2"/>
      <c r="BL81" s="13"/>
      <c r="BN81" s="2"/>
      <c r="BO81" s="2"/>
      <c r="BP81" s="13"/>
      <c r="BS81" s="81" t="str">
        <f>IF($J$24="Español","Profesional",(IF($J$24="Deutsch","Tackle",(IF($J$24="Français","Prise sûre","Sure Hands")))))</f>
        <v>Profesional</v>
      </c>
      <c r="BT81" s="21" t="s">
        <v>167</v>
      </c>
      <c r="BU81" s="81" t="str">
        <f>IF($J$24="Español","Profesional",(IF($J$24="Deutsch","Tackle",(IF($J$24="Français","Prise sûre","Sure Hands")))))</f>
        <v>Profesional</v>
      </c>
      <c r="BV81" s="21" t="s">
        <v>167</v>
      </c>
      <c r="BW81" s="81" t="str">
        <f>IF($J$24="Español","Profesional",(IF($J$24="Deutsch","Tackle",(IF($J$24="Français","Prise sûre","Sure Hands")))))</f>
        <v>Profesional</v>
      </c>
      <c r="BX81" s="21" t="s">
        <v>167</v>
      </c>
      <c r="BY81" s="75" t="str">
        <f>IF($J$24="Español","Profesional",(IF($J$24="Deutsch","Tackle",(IF($J$24="Français","Prise sûre","Sure Hands")))))</f>
        <v>Profesional</v>
      </c>
      <c r="BZ81" s="21" t="s">
        <v>167</v>
      </c>
      <c r="CA81" s="75" t="str">
        <f>IF($J$24="Español","Pies Firmes",(IF($J$24="Deutsch","Heimtückisch",(IF($J$24="Français","Réception plongeante ","Leap")))))</f>
        <v>Pies Firmes</v>
      </c>
      <c r="CB81" s="21" t="s">
        <v>168</v>
      </c>
      <c r="CC81" s="75" t="str">
        <f>IF($J$24="Español","Zafarse",(IF($J$24="Deutsch","Wrestling",(IF($J$24="Français","Tacle","Wrestle")))))</f>
        <v>Zafarse</v>
      </c>
      <c r="CD81" s="2" t="s">
        <v>167</v>
      </c>
      <c r="CE81" s="2"/>
      <c r="CF81" s="2"/>
      <c r="CG81" s="2" t="str">
        <f t="shared" si="120"/>
        <v/>
      </c>
      <c r="CH81" s="2" t="str">
        <f t="shared" si="121"/>
        <v/>
      </c>
      <c r="CI81" s="2" t="str">
        <f t="shared" si="122"/>
        <v/>
      </c>
      <c r="CJ81" s="2" t="str">
        <f t="shared" si="123"/>
        <v/>
      </c>
      <c r="CK81" s="2" t="str">
        <f t="shared" si="124"/>
        <v/>
      </c>
      <c r="CL81" s="2" t="str">
        <f t="shared" si="125"/>
        <v/>
      </c>
      <c r="CM81" s="2" t="str">
        <f t="shared" si="126"/>
        <v/>
      </c>
      <c r="CN81" s="2" t="str">
        <f t="shared" si="127"/>
        <v/>
      </c>
      <c r="CO81" s="2" t="str">
        <f t="shared" si="128"/>
        <v/>
      </c>
      <c r="CP81" s="2" t="str">
        <f t="shared" si="129"/>
        <v/>
      </c>
      <c r="CQ81" s="2" t="str">
        <f t="shared" si="130"/>
        <v/>
      </c>
      <c r="CR81" s="2" t="str">
        <f t="shared" si="131"/>
        <v/>
      </c>
      <c r="CS81" s="2" t="str">
        <f t="shared" si="132"/>
        <v/>
      </c>
      <c r="CT81" s="2" t="str">
        <f t="shared" si="133"/>
        <v/>
      </c>
      <c r="CU81" s="2" t="str">
        <f t="shared" si="134"/>
        <v/>
      </c>
      <c r="CV81" s="2" t="str">
        <f t="shared" si="135"/>
        <v/>
      </c>
      <c r="CW81" s="2"/>
      <c r="CX81" s="2"/>
      <c r="CY81" s="2"/>
      <c r="CZ81" s="2"/>
    </row>
    <row r="82" spans="2:104" ht="15" hidden="1" customHeight="1" x14ac:dyDescent="0.2">
      <c r="B82" s="1"/>
      <c r="C82" s="1"/>
      <c r="D82" s="1"/>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13">
        <v>17</v>
      </c>
      <c r="AR82" s="12">
        <v>680000</v>
      </c>
      <c r="AS82" s="12">
        <v>170000</v>
      </c>
      <c r="AT82" s="1"/>
      <c r="AU82" s="1"/>
      <c r="AV82" s="1"/>
      <c r="AW82" s="1"/>
      <c r="AX82" s="78">
        <v>14</v>
      </c>
      <c r="AY82" s="78">
        <v>15</v>
      </c>
      <c r="AZ82" s="1">
        <v>90000</v>
      </c>
      <c r="BA82" s="2" t="str">
        <f>IF(OR(BU2="Favouredof",BU2="FavouredofWorldsEdgeSuperleagueBadlandsBrawl",BU2="FavouredofWorldsEdgeSuperleagueBadlandsBrawl"),(IF(BO2="Nurgle","",(IF(BO2="DaemonsofKhorne","","Chaos Undivided")))),"")</f>
        <v/>
      </c>
      <c r="BB82" s="2"/>
      <c r="BC82" s="2"/>
      <c r="BD82" s="2"/>
      <c r="BE82" s="2"/>
      <c r="BI82" s="2"/>
      <c r="BJ82" s="13"/>
      <c r="BL82" s="13"/>
      <c r="BN82" s="13"/>
      <c r="BO82" s="2"/>
      <c r="BP82" s="13"/>
      <c r="BS82" s="81" t="str">
        <f>IF($J$24="Español","Robar Balón",(IF($J$24="Deutsch","Unerschrocken",(IF($J$24="Français","Pro","Tackle")))))</f>
        <v>Robar Balón</v>
      </c>
      <c r="BT82" s="21" t="s">
        <v>167</v>
      </c>
      <c r="BU82" s="81" t="str">
        <f>IF($J$24="Español","Robar Balón",(IF($J$24="Deutsch","Unerschrocken",(IF($J$24="Français","Pro","Tackle")))))</f>
        <v>Robar Balón</v>
      </c>
      <c r="BV82" s="21" t="s">
        <v>167</v>
      </c>
      <c r="BW82" s="81" t="str">
        <f>IF($J$24="Español","Robar Balón",(IF($J$24="Deutsch","Unerschrocken",(IF($J$24="Français","Pro","Tackle")))))</f>
        <v>Robar Balón</v>
      </c>
      <c r="BX82" s="21" t="s">
        <v>167</v>
      </c>
      <c r="BY82" s="75" t="str">
        <f>IF($J$24="Español","Robar Balón",(IF($J$24="Deutsch","Unerschrocken",(IF($J$24="Français","Pro","Tackle")))))</f>
        <v>Robar Balón</v>
      </c>
      <c r="BZ82" s="21" t="s">
        <v>167</v>
      </c>
      <c r="CA82" s="75" t="str">
        <f>IF($J$24="Español","Placaje Heroico",(IF($J$24="Deutsch","Sichere Hände",(IF($J$24="Français","Rétablissement","Safe Pair of Hands")))))</f>
        <v>Placaje Heroico</v>
      </c>
      <c r="CB82" s="21" t="s">
        <v>168</v>
      </c>
      <c r="CC82" s="75" t="str">
        <f>IF($J$24="Español","Atrapar",(IF($J$24="Deutsch","Aufspringen",(IF($J$24="Français","Défenseur ","Catch")))))</f>
        <v>Atrapar</v>
      </c>
      <c r="CD82" s="2" t="s">
        <v>168</v>
      </c>
      <c r="CE82" s="80"/>
      <c r="CF82" s="2"/>
      <c r="CG82" s="2" t="str">
        <f t="shared" si="120"/>
        <v/>
      </c>
      <c r="CH82" s="2" t="str">
        <f t="shared" si="121"/>
        <v/>
      </c>
      <c r="CI82" s="2" t="str">
        <f t="shared" si="122"/>
        <v/>
      </c>
      <c r="CJ82" s="2" t="str">
        <f t="shared" si="123"/>
        <v/>
      </c>
      <c r="CK82" s="2" t="str">
        <f t="shared" si="124"/>
        <v/>
      </c>
      <c r="CL82" s="2" t="str">
        <f t="shared" si="125"/>
        <v/>
      </c>
      <c r="CM82" s="2" t="str">
        <f t="shared" si="126"/>
        <v/>
      </c>
      <c r="CN82" s="2" t="str">
        <f t="shared" si="127"/>
        <v/>
      </c>
      <c r="CO82" s="2" t="str">
        <f t="shared" si="128"/>
        <v/>
      </c>
      <c r="CP82" s="2" t="str">
        <f t="shared" si="129"/>
        <v/>
      </c>
      <c r="CQ82" s="2" t="str">
        <f t="shared" si="130"/>
        <v/>
      </c>
      <c r="CR82" s="2" t="str">
        <f t="shared" si="131"/>
        <v/>
      </c>
      <c r="CS82" s="2" t="str">
        <f t="shared" si="132"/>
        <v/>
      </c>
      <c r="CT82" s="2" t="str">
        <f t="shared" si="133"/>
        <v/>
      </c>
      <c r="CU82" s="2" t="str">
        <f t="shared" si="134"/>
        <v/>
      </c>
      <c r="CV82" s="2" t="str">
        <f t="shared" si="135"/>
        <v/>
      </c>
      <c r="CW82" s="2"/>
      <c r="CX82" s="2"/>
      <c r="CY82" s="2"/>
      <c r="CZ82" s="2"/>
    </row>
    <row r="83" spans="2:104" ht="14.25" hidden="1" customHeight="1" x14ac:dyDescent="0.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83">
        <f>SUM(AM2:AM17)</f>
        <v>0</v>
      </c>
      <c r="AJ83" s="2"/>
      <c r="AK83" s="2"/>
      <c r="AL83" s="2"/>
      <c r="AM83" s="2"/>
      <c r="AN83" s="2"/>
      <c r="AO83" s="2"/>
      <c r="AP83" s="2"/>
      <c r="AQ83" s="13">
        <v>18</v>
      </c>
      <c r="AR83" s="12">
        <v>685000</v>
      </c>
      <c r="AS83" s="12">
        <v>180000</v>
      </c>
      <c r="AT83" s="1"/>
      <c r="AU83" s="1"/>
      <c r="AV83" s="1"/>
      <c r="AW83" s="1"/>
      <c r="AX83" s="78">
        <v>15</v>
      </c>
      <c r="AY83" s="78">
        <v>16</v>
      </c>
      <c r="AZ83" s="1">
        <v>100000</v>
      </c>
      <c r="BA83" s="2" t="str">
        <f>IF(OR(BU2="Favouredof",BU2="FavouredofWorldsEdgeSuperleagueBadlandsBrawl"),(IF(BO2="Nurgle","",(IF(BO2="DaemonsofKhorne","","Khorne")))),"")</f>
        <v/>
      </c>
      <c r="BB83" s="2"/>
      <c r="BC83" s="2"/>
      <c r="BD83" s="2"/>
      <c r="BE83" s="2"/>
      <c r="BI83" s="2"/>
      <c r="BJ83" s="13"/>
      <c r="BL83" s="13"/>
      <c r="BN83" s="13"/>
      <c r="BO83" s="2"/>
      <c r="BP83" s="13"/>
      <c r="BS83" s="81" t="str">
        <f>IF($J$24="Español","Zafarse",(IF($J$24="Deutsch","Wrestling",(IF($J$24="Français","Tacle","Wrestle")))))</f>
        <v>Zafarse</v>
      </c>
      <c r="BT83" s="21" t="s">
        <v>167</v>
      </c>
      <c r="BU83" s="81" t="str">
        <f>IF($J$24="Español","Zafarse",(IF($J$24="Deutsch","Wrestling",(IF($J$24="Français","Tacle","Wrestle")))))</f>
        <v>Zafarse</v>
      </c>
      <c r="BV83" s="21" t="s">
        <v>167</v>
      </c>
      <c r="BW83" s="81" t="str">
        <f>IF($J$24="Español","Zafarse",(IF($J$24="Deutsch","Wrestling",(IF($J$24="Français","Tacle","Wrestle")))))</f>
        <v>Zafarse</v>
      </c>
      <c r="BX83" s="21" t="s">
        <v>167</v>
      </c>
      <c r="BY83" s="75" t="str">
        <f>IF($J$24="Español","Zafarse",(IF($J$24="Deutsch","Wrestling",(IF($J$24="Français","Tacle","Wrestle")))))</f>
        <v>Zafarse</v>
      </c>
      <c r="BZ83" s="21" t="s">
        <v>167</v>
      </c>
      <c r="CA83" s="75" t="str">
        <f>IF($J$24="Español","Proteger el Cuero",(IF($J$24="Deutsch","Springen",(IF($J$24="Français","Saut","Sidestep")))))</f>
        <v>Proteger el Cuero</v>
      </c>
      <c r="CB83" s="21" t="s">
        <v>168</v>
      </c>
      <c r="CC83" s="75" t="str">
        <f>IF($J$24="Español","Echarse a un Lado",(IF($J$24="Deutsch","Ausweichen",(IF($J$24="Français","Équilibre","Diving Catch")))))</f>
        <v>Echarse a un Lado</v>
      </c>
      <c r="CD83" s="2" t="s">
        <v>168</v>
      </c>
      <c r="CE83" s="80"/>
      <c r="CF83" s="2"/>
      <c r="CG83" s="2" t="str">
        <f t="shared" si="120"/>
        <v/>
      </c>
      <c r="CH83" s="2" t="str">
        <f t="shared" si="121"/>
        <v/>
      </c>
      <c r="CI83" s="2" t="str">
        <f t="shared" si="122"/>
        <v/>
      </c>
      <c r="CJ83" s="2" t="str">
        <f t="shared" si="123"/>
        <v/>
      </c>
      <c r="CK83" s="2" t="str">
        <f t="shared" si="124"/>
        <v/>
      </c>
      <c r="CL83" s="2" t="str">
        <f t="shared" si="125"/>
        <v/>
      </c>
      <c r="CM83" s="2" t="str">
        <f t="shared" si="126"/>
        <v/>
      </c>
      <c r="CN83" s="2" t="str">
        <f t="shared" si="127"/>
        <v/>
      </c>
      <c r="CO83" s="2" t="str">
        <f t="shared" si="128"/>
        <v/>
      </c>
      <c r="CP83" s="2" t="str">
        <f t="shared" si="129"/>
        <v/>
      </c>
      <c r="CQ83" s="2" t="str">
        <f t="shared" si="130"/>
        <v/>
      </c>
      <c r="CR83" s="2" t="str">
        <f t="shared" si="131"/>
        <v/>
      </c>
      <c r="CS83" s="2" t="str">
        <f t="shared" si="132"/>
        <v/>
      </c>
      <c r="CT83" s="2" t="str">
        <f t="shared" si="133"/>
        <v/>
      </c>
      <c r="CU83" s="2" t="str">
        <f t="shared" si="134"/>
        <v/>
      </c>
      <c r="CV83" s="2" t="str">
        <f t="shared" si="135"/>
        <v/>
      </c>
      <c r="CW83" s="2"/>
      <c r="CX83" s="2"/>
      <c r="CY83" s="2"/>
      <c r="CZ83" s="2"/>
    </row>
    <row r="84" spans="2:104" ht="15" hidden="1" customHeight="1" x14ac:dyDescent="0.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12">
        <v>19</v>
      </c>
      <c r="AR84" s="12">
        <v>690000</v>
      </c>
      <c r="AS84" s="12">
        <v>190000</v>
      </c>
      <c r="AT84" s="1"/>
      <c r="AU84" s="1"/>
      <c r="AV84" s="1"/>
      <c r="AW84" s="1"/>
      <c r="AX84" s="78">
        <v>16</v>
      </c>
      <c r="AY84" s="78">
        <v>17</v>
      </c>
      <c r="AZ84" s="1">
        <v>110000</v>
      </c>
      <c r="BA84" s="2" t="str">
        <f>IF(OR(BU2="Favouredof",BU2="FavouredofWorldsEdgeSuperleagueBadlandsBrawl"),(IF(BO2="Nurgle","",(IF(BO2="DaemonsofKhorne","","Nurgle")))),"")</f>
        <v/>
      </c>
      <c r="BB84" s="2"/>
      <c r="BC84" s="2"/>
      <c r="BD84" s="2"/>
      <c r="BE84" s="2"/>
      <c r="BJ84" s="13"/>
      <c r="BL84" s="13"/>
      <c r="BN84" s="13"/>
      <c r="BO84" s="2"/>
      <c r="BP84" s="13"/>
      <c r="BS84" s="81" t="str">
        <f>IF($J$24="Español","Atrapar",(IF($J$24="Deutsch","Aufspringen",(IF($J$24="Français","Défenseur ","Catch")))))</f>
        <v>Atrapar</v>
      </c>
      <c r="BT84" s="21" t="s">
        <v>168</v>
      </c>
      <c r="BU84" s="81" t="str">
        <f>IF($J$24="Español","Atrapar",(IF($J$24="Deutsch","Aufspringen",(IF($J$24="Français","Défenseur ","Catch")))))</f>
        <v>Atrapar</v>
      </c>
      <c r="BV84" s="21" t="s">
        <v>168</v>
      </c>
      <c r="BW84" s="81" t="str">
        <f>IF($J$24="Español","Atrapar",(IF($J$24="Deutsch","Aufspringen",(IF($J$24="Français","Défenseur ","Catch")))))</f>
        <v>Atrapar</v>
      </c>
      <c r="BX84" s="21" t="s">
        <v>168</v>
      </c>
      <c r="BY84" s="75" t="str">
        <f>IF($J$24="Español","Atrapar",(IF($J$24="Deutsch","Aufspringen",(IF($J$24="Français","Défenseur ","Catch")))))</f>
        <v>Atrapar</v>
      </c>
      <c r="BZ84" s="21" t="s">
        <v>168</v>
      </c>
      <c r="CA84" s="75" t="str">
        <f>IF($J$24="Español","Recepción Heroica",(IF($J$24="Deutsch","Sprinten",(IF($J$24="Français","Sprint","Sneaky Git")))))</f>
        <v>Recepción Heroica</v>
      </c>
      <c r="CB84" s="21" t="s">
        <v>168</v>
      </c>
      <c r="CC84" s="75" t="str">
        <f>IF($J$24="Español","En Pie de un Salto",(IF($J$24="Deutsch","Fangsicher",(IF($J$24="Français","Esquive","Diving Tackle")))))</f>
        <v>En Pie de un Salto</v>
      </c>
      <c r="CD84" s="2" t="s">
        <v>168</v>
      </c>
      <c r="CE84" s="80"/>
      <c r="CF84" s="2"/>
      <c r="CG84" s="2" t="str">
        <f t="shared" si="120"/>
        <v/>
      </c>
      <c r="CH84" s="2" t="str">
        <f t="shared" si="121"/>
        <v/>
      </c>
      <c r="CI84" s="2" t="str">
        <f t="shared" si="122"/>
        <v/>
      </c>
      <c r="CJ84" s="2" t="str">
        <f t="shared" si="123"/>
        <v/>
      </c>
      <c r="CK84" s="2" t="str">
        <f t="shared" si="124"/>
        <v/>
      </c>
      <c r="CL84" s="2" t="str">
        <f t="shared" si="125"/>
        <v/>
      </c>
      <c r="CM84" s="2" t="str">
        <f t="shared" si="126"/>
        <v/>
      </c>
      <c r="CN84" s="2" t="str">
        <f t="shared" si="127"/>
        <v/>
      </c>
      <c r="CO84" s="2" t="str">
        <f t="shared" si="128"/>
        <v/>
      </c>
      <c r="CP84" s="2" t="str">
        <f t="shared" si="129"/>
        <v/>
      </c>
      <c r="CQ84" s="2" t="str">
        <f t="shared" si="130"/>
        <v/>
      </c>
      <c r="CR84" s="2" t="str">
        <f t="shared" si="131"/>
        <v/>
      </c>
      <c r="CS84" s="2" t="str">
        <f t="shared" si="132"/>
        <v/>
      </c>
      <c r="CT84" s="2" t="str">
        <f t="shared" si="133"/>
        <v/>
      </c>
      <c r="CU84" s="2" t="str">
        <f t="shared" si="134"/>
        <v/>
      </c>
      <c r="CV84" s="2" t="str">
        <f t="shared" si="135"/>
        <v/>
      </c>
      <c r="CW84" s="2"/>
      <c r="CX84" s="2"/>
      <c r="CY84" s="2"/>
      <c r="CZ84" s="2"/>
    </row>
    <row r="85" spans="2:104" ht="15" hidden="1" customHeight="1" x14ac:dyDescent="0.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13">
        <v>20</v>
      </c>
      <c r="AR85" s="12">
        <v>695000</v>
      </c>
      <c r="AS85" s="12">
        <v>200000</v>
      </c>
      <c r="AT85" s="1"/>
      <c r="AU85" s="1"/>
      <c r="AV85" s="1"/>
      <c r="AW85" s="1"/>
      <c r="AX85" s="78">
        <v>17</v>
      </c>
      <c r="AY85" s="78">
        <v>18</v>
      </c>
      <c r="AZ85" s="1">
        <v>120000</v>
      </c>
      <c r="BA85" s="2" t="str">
        <f>IF(OR(BU2="Favouredof",BU2="FavouredofWorldsEdgeSuperleagueBadlandsBrawl"),(IF(BO2="Nurgle","",(IF(BO2="DaemonsofKhorne","","Slaanesh")))),"")</f>
        <v/>
      </c>
      <c r="BB85" s="2"/>
      <c r="BC85" s="2"/>
      <c r="BD85" s="2"/>
      <c r="BE85" s="2"/>
      <c r="BJ85" s="13"/>
      <c r="BL85" s="13"/>
      <c r="BN85" s="13"/>
      <c r="BO85" s="2"/>
      <c r="BP85" s="13"/>
      <c r="BS85" s="81" t="str">
        <f>IF($J$24="Español","Echarse a un Lado",(IF($J$24="Deutsch","Ausweichen",(IF($J$24="Français","Équilibre","Diving Catch")))))</f>
        <v>Echarse a un Lado</v>
      </c>
      <c r="BT85" s="21" t="s">
        <v>168</v>
      </c>
      <c r="BU85" s="81" t="str">
        <f>IF($J$24="Español","Echarse a un Lado",(IF($J$24="Deutsch","Ausweichen",(IF($J$24="Français","Équilibre","Diving Catch")))))</f>
        <v>Echarse a un Lado</v>
      </c>
      <c r="BV85" s="21" t="s">
        <v>168</v>
      </c>
      <c r="BW85" s="81" t="str">
        <f>IF($J$24="Español","Echarse a un Lado",(IF($J$24="Deutsch","Ausweichen",(IF($J$24="Français","Équilibre","Diving Catch")))))</f>
        <v>Echarse a un Lado</v>
      </c>
      <c r="BX85" s="21" t="s">
        <v>168</v>
      </c>
      <c r="BY85" s="75" t="str">
        <f>IF($J$24="Español","Echarse a un Lado",(IF($J$24="Deutsch","Ausweichen",(IF($J$24="Français","Équilibre","Diving Catch")))))</f>
        <v>Echarse a un Lado</v>
      </c>
      <c r="BZ85" s="21" t="s">
        <v>168</v>
      </c>
      <c r="CA85" s="75" t="str">
        <f>IF($J$24="Español","Romper Defensas",(IF($J$24="Deutsch","Sprintensicher",(IF($J$24="Français","Sournois","Sprint")))))</f>
        <v>Romper Defensas</v>
      </c>
      <c r="CB85" s="21" t="s">
        <v>168</v>
      </c>
      <c r="CC85" s="75" t="str">
        <f>IF($J$24="Español","Esprintar",(IF($J$24="Deutsch","Fliegender Tackle",(IF($J$24="Français","Glissade contrôlée","Dodge")))))</f>
        <v>Esprintar</v>
      </c>
      <c r="CD85" s="2" t="s">
        <v>168</v>
      </c>
      <c r="CE85" s="80"/>
      <c r="CF85" s="2"/>
      <c r="CG85" s="2" t="str">
        <f t="shared" si="120"/>
        <v/>
      </c>
      <c r="CH85" s="2" t="str">
        <f t="shared" si="121"/>
        <v/>
      </c>
      <c r="CI85" s="2" t="str">
        <f t="shared" si="122"/>
        <v/>
      </c>
      <c r="CJ85" s="2" t="str">
        <f t="shared" si="123"/>
        <v/>
      </c>
      <c r="CK85" s="2" t="str">
        <f t="shared" si="124"/>
        <v/>
      </c>
      <c r="CL85" s="2" t="str">
        <f t="shared" si="125"/>
        <v/>
      </c>
      <c r="CM85" s="2" t="str">
        <f t="shared" si="126"/>
        <v/>
      </c>
      <c r="CN85" s="2" t="str">
        <f t="shared" si="127"/>
        <v/>
      </c>
      <c r="CO85" s="2" t="str">
        <f t="shared" si="128"/>
        <v/>
      </c>
      <c r="CP85" s="2" t="str">
        <f t="shared" si="129"/>
        <v/>
      </c>
      <c r="CQ85" s="2" t="str">
        <f t="shared" si="130"/>
        <v/>
      </c>
      <c r="CR85" s="2" t="str">
        <f t="shared" si="131"/>
        <v/>
      </c>
      <c r="CS85" s="2" t="str">
        <f t="shared" si="132"/>
        <v/>
      </c>
      <c r="CT85" s="2" t="str">
        <f t="shared" si="133"/>
        <v/>
      </c>
      <c r="CU85" s="2" t="str">
        <f t="shared" si="134"/>
        <v/>
      </c>
      <c r="CV85" s="2" t="str">
        <f t="shared" si="135"/>
        <v/>
      </c>
      <c r="CW85" s="2"/>
      <c r="CX85" s="2"/>
      <c r="CY85" s="2"/>
      <c r="CZ85" s="2"/>
    </row>
    <row r="86" spans="2:104" ht="15" hidden="1" customHeight="1" x14ac:dyDescent="0.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13">
        <v>21</v>
      </c>
      <c r="AR86" s="12">
        <v>700000</v>
      </c>
      <c r="AS86" s="12">
        <v>210000</v>
      </c>
      <c r="AT86" s="1"/>
      <c r="AU86" s="1"/>
      <c r="AV86" s="1"/>
      <c r="AW86" s="1"/>
      <c r="AX86" s="78">
        <v>18</v>
      </c>
      <c r="AY86" s="78">
        <v>19</v>
      </c>
      <c r="AZ86" s="1">
        <v>130000</v>
      </c>
      <c r="BA86" s="2" t="str">
        <f>IF(OR(BU2="Favouredof",BU2="FavouredofWorldsEdgeSuperleagueBadlandsBrawl"),(IF(BO2="Nurgle","",(IF(BO2="DaemonsofKhorne","","Tzeentch")))),"")</f>
        <v/>
      </c>
      <c r="BB86" s="2"/>
      <c r="BC86" s="2"/>
      <c r="BD86" s="2"/>
      <c r="BE86" s="2"/>
      <c r="BJ86" s="13"/>
      <c r="BL86" s="13"/>
      <c r="BN86" s="13"/>
      <c r="BO86" s="2"/>
      <c r="BP86" s="13"/>
      <c r="BS86" s="81" t="str">
        <f>IF($J$24="Español","En Pie de un Salto",(IF($J$24="Deutsch","Fangsicher",(IF($J$24="Français","Esquive","Diving Tackle")))))</f>
        <v>En Pie de un Salto</v>
      </c>
      <c r="BT86" s="21" t="s">
        <v>168</v>
      </c>
      <c r="BU86" s="81" t="str">
        <f>IF($J$24="Español","En Pie de un Salto",(IF($J$24="Deutsch","Fangsicher",(IF($J$24="Français","Esquive","Diving Tackle")))))</f>
        <v>En Pie de un Salto</v>
      </c>
      <c r="BV86" s="21" t="s">
        <v>168</v>
      </c>
      <c r="BW86" s="81" t="str">
        <f>IF($J$24="Español","En Pie de un Salto",(IF($J$24="Deutsch","Fangsicher",(IF($J$24="Français","Esquive","Diving Tackle")))))</f>
        <v>En Pie de un Salto</v>
      </c>
      <c r="BX86" s="21" t="s">
        <v>168</v>
      </c>
      <c r="BY86" s="75" t="str">
        <f>IF($J$24="Español","En Pie de un Salto",(IF($J$24="Deutsch","Fangsicher",(IF($J$24="Français","Esquive","Diving Tackle")))))</f>
        <v>En Pie de un Salto</v>
      </c>
      <c r="BZ86" s="21" t="s">
        <v>168</v>
      </c>
      <c r="CA86" s="75" t="str">
        <f>IF($J$24="Español","Saltar",(IF($J$24="Deutsch","Wehrhaft",(IF($J$24="Français","Tacle plongeant ","Sure Feet")))))</f>
        <v>Saltar</v>
      </c>
      <c r="CB86" s="21" t="s">
        <v>168</v>
      </c>
      <c r="CC86" s="75" t="str">
        <f>IF($J$24="Español","Esquivar",(IF($J$24="Deutsch","Gewandt",(IF($J$24="Français","Libération contrôlée","Defensive")))))</f>
        <v>Esquivar</v>
      </c>
      <c r="CD86" s="2" t="s">
        <v>168</v>
      </c>
      <c r="CE86" s="80"/>
      <c r="CF86" s="2"/>
      <c r="CG86" s="2" t="str">
        <f t="shared" si="120"/>
        <v/>
      </c>
      <c r="CH86" s="2" t="str">
        <f t="shared" si="121"/>
        <v/>
      </c>
      <c r="CI86" s="2" t="str">
        <f t="shared" si="122"/>
        <v/>
      </c>
      <c r="CJ86" s="2" t="str">
        <f t="shared" si="123"/>
        <v/>
      </c>
      <c r="CK86" s="2" t="str">
        <f t="shared" si="124"/>
        <v/>
      </c>
      <c r="CL86" s="2" t="str">
        <f t="shared" si="125"/>
        <v/>
      </c>
      <c r="CM86" s="2" t="str">
        <f t="shared" si="126"/>
        <v/>
      </c>
      <c r="CN86" s="2" t="str">
        <f t="shared" si="127"/>
        <v/>
      </c>
      <c r="CO86" s="2" t="str">
        <f t="shared" si="128"/>
        <v/>
      </c>
      <c r="CP86" s="2" t="str">
        <f t="shared" si="129"/>
        <v/>
      </c>
      <c r="CQ86" s="2" t="str">
        <f t="shared" si="130"/>
        <v/>
      </c>
      <c r="CR86" s="2" t="str">
        <f t="shared" si="131"/>
        <v/>
      </c>
      <c r="CS86" s="2" t="str">
        <f t="shared" si="132"/>
        <v/>
      </c>
      <c r="CT86" s="2" t="str">
        <f t="shared" si="133"/>
        <v/>
      </c>
      <c r="CU86" s="2" t="str">
        <f t="shared" si="134"/>
        <v/>
      </c>
      <c r="CV86" s="2" t="str">
        <f t="shared" si="135"/>
        <v/>
      </c>
      <c r="CW86" s="2"/>
      <c r="CX86" s="2"/>
      <c r="CY86" s="2"/>
      <c r="CZ86" s="2"/>
    </row>
    <row r="87" spans="2:104" ht="15" hidden="1" customHeight="1" x14ac:dyDescent="0.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12">
        <v>22</v>
      </c>
      <c r="AR87" s="12">
        <v>705000</v>
      </c>
      <c r="AS87" s="12">
        <v>220000</v>
      </c>
      <c r="AT87" s="1"/>
      <c r="AU87" s="1"/>
      <c r="AV87" s="1"/>
      <c r="AW87" s="1"/>
      <c r="AX87" s="78">
        <v>19</v>
      </c>
      <c r="AY87" s="78">
        <v>20</v>
      </c>
      <c r="AZ87" s="1">
        <v>140000</v>
      </c>
      <c r="BA87" s="2" t="str">
        <f>IF(BU2="OldWorldClassicFavouredof","Old World Classic","")</f>
        <v>Old World Classic</v>
      </c>
      <c r="BB87" s="2"/>
      <c r="BC87" s="2"/>
      <c r="BD87" s="2"/>
      <c r="BE87" s="2"/>
      <c r="BJ87" s="13"/>
      <c r="BL87" s="13"/>
      <c r="BN87" s="13"/>
      <c r="BO87" s="2"/>
      <c r="BP87" s="13"/>
      <c r="BS87" s="81" t="str">
        <f>IF($J$24="Español","Esprintar",(IF($J$24="Deutsch","Fliegender Tackle",(IF($J$24="Français","Glissade contrôlée","Dodge")))))</f>
        <v>Esprintar</v>
      </c>
      <c r="BT87" s="21" t="s">
        <v>168</v>
      </c>
      <c r="BU87" s="81" t="str">
        <f>IF($J$24="Español","Esprintar",(IF($J$24="Deutsch","Fliegender Tackle",(IF($J$24="Français","Glissade contrôlée","Dodge")))))</f>
        <v>Esprintar</v>
      </c>
      <c r="BV87" s="21" t="s">
        <v>168</v>
      </c>
      <c r="BW87" s="81" t="str">
        <f>IF($J$24="Español","Esprintar",(IF($J$24="Deutsch","Fliegender Tackle",(IF($J$24="Français","Glissade contrôlée","Dodge")))))</f>
        <v>Esprintar</v>
      </c>
      <c r="BX87" s="21" t="s">
        <v>168</v>
      </c>
      <c r="BY87" s="75" t="str">
        <f>IF($J$24="Español","Esprintar",(IF($J$24="Deutsch","Fliegender Tackle",(IF($J$24="Français","Glissade contrôlée","Dodge")))))</f>
        <v>Esprintar</v>
      </c>
      <c r="BZ87" s="21" t="s">
        <v>168</v>
      </c>
      <c r="CA87" s="21" t="str">
        <f t="shared" ref="CA87:CB144" si="151">""</f>
        <v/>
      </c>
      <c r="CB87" s="21" t="str">
        <f t="shared" si="151"/>
        <v/>
      </c>
      <c r="CC87" s="75" t="str">
        <f>IF($J$24="Español","Furtivo",(IF($J$24="Deutsch","Hechtsprung",(IF($J$24="Français","Réception ","Jump Up")))))</f>
        <v>Furtivo</v>
      </c>
      <c r="CD87" s="2" t="s">
        <v>168</v>
      </c>
      <c r="CE87" s="80"/>
      <c r="CF87" s="2"/>
      <c r="CG87" s="2" t="str">
        <f t="shared" si="120"/>
        <v/>
      </c>
      <c r="CH87" s="2" t="str">
        <f t="shared" si="121"/>
        <v/>
      </c>
      <c r="CI87" s="2" t="str">
        <f t="shared" si="122"/>
        <v/>
      </c>
      <c r="CJ87" s="2" t="str">
        <f t="shared" si="123"/>
        <v/>
      </c>
      <c r="CK87" s="2" t="str">
        <f t="shared" si="124"/>
        <v/>
      </c>
      <c r="CL87" s="2" t="str">
        <f t="shared" si="125"/>
        <v/>
      </c>
      <c r="CM87" s="2" t="str">
        <f t="shared" si="126"/>
        <v/>
      </c>
      <c r="CN87" s="2" t="str">
        <f t="shared" si="127"/>
        <v/>
      </c>
      <c r="CO87" s="2" t="str">
        <f t="shared" si="128"/>
        <v/>
      </c>
      <c r="CP87" s="2" t="str">
        <f t="shared" si="129"/>
        <v/>
      </c>
      <c r="CQ87" s="2" t="str">
        <f t="shared" si="130"/>
        <v/>
      </c>
      <c r="CR87" s="2" t="str">
        <f t="shared" si="131"/>
        <v/>
      </c>
      <c r="CS87" s="2" t="str">
        <f t="shared" si="132"/>
        <v/>
      </c>
      <c r="CT87" s="2" t="str">
        <f t="shared" si="133"/>
        <v/>
      </c>
      <c r="CU87" s="2" t="str">
        <f t="shared" si="134"/>
        <v/>
      </c>
      <c r="CV87" s="2" t="str">
        <f t="shared" si="135"/>
        <v/>
      </c>
      <c r="CW87" s="2"/>
      <c r="CX87" s="2"/>
      <c r="CY87" s="2"/>
      <c r="CZ87" s="2"/>
    </row>
    <row r="88" spans="2:104" ht="15" hidden="1" customHeight="1" x14ac:dyDescent="0.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13">
        <v>23</v>
      </c>
      <c r="AR88" s="12">
        <v>710000</v>
      </c>
      <c r="AS88" s="12">
        <v>230000</v>
      </c>
      <c r="AT88" s="1"/>
      <c r="AU88" s="1"/>
      <c r="AV88" s="1"/>
      <c r="AW88" s="1"/>
      <c r="AX88" s="78">
        <v>20</v>
      </c>
      <c r="AY88" s="2"/>
      <c r="AZ88" s="1">
        <v>150000</v>
      </c>
      <c r="BA88" s="2" t="str">
        <f>IF(BU2="OldWorldClassicFavouredof","Favoured of","")</f>
        <v>Favoured of</v>
      </c>
      <c r="BB88" s="2"/>
      <c r="BC88" s="2"/>
      <c r="BD88" s="2"/>
      <c r="BE88" s="2"/>
      <c r="BJ88" s="2"/>
      <c r="BL88" s="2"/>
      <c r="BN88" s="2"/>
      <c r="BO88" s="2"/>
      <c r="BP88" s="2"/>
      <c r="BS88" s="81" t="str">
        <f>IF($J$24="Español","Esquivar",(IF($J$24="Deutsch","Gewandt",(IF($J$24="Français","Libération contrôlée","Defensive")))))</f>
        <v>Esquivar</v>
      </c>
      <c r="BT88" s="21" t="s">
        <v>168</v>
      </c>
      <c r="BU88" s="81" t="str">
        <f>IF($J$24="Español","Esquivar",(IF($J$24="Deutsch","Gewandt",(IF($J$24="Français","Libération contrôlée","Defensive")))))</f>
        <v>Esquivar</v>
      </c>
      <c r="BV88" s="21" t="s">
        <v>168</v>
      </c>
      <c r="BW88" s="81" t="str">
        <f>IF($J$24="Español","Esquivar",(IF($J$24="Deutsch","Gewandt",(IF($J$24="Français","Libération contrôlée","Defensive")))))</f>
        <v>Esquivar</v>
      </c>
      <c r="BX88" s="21" t="s">
        <v>168</v>
      </c>
      <c r="BY88" s="75" t="str">
        <f>IF($J$24="Español","Esquivar",(IF($J$24="Deutsch","Gewandt",(IF($J$24="Français","Libération contrôlée","Defensive")))))</f>
        <v>Esquivar</v>
      </c>
      <c r="BZ88" s="21" t="s">
        <v>168</v>
      </c>
      <c r="CA88" s="21" t="str">
        <f t="shared" si="151"/>
        <v/>
      </c>
      <c r="CB88" s="21" t="str">
        <f t="shared" si="151"/>
        <v/>
      </c>
      <c r="CC88" s="75" t="str">
        <f>IF($J$24="Español","Pies Firmes",(IF($J$24="Deutsch","Heimtückisch",(IF($J$24="Français","Réception plongeante ","Leap")))))</f>
        <v>Pies Firmes</v>
      </c>
      <c r="CD88" s="2" t="s">
        <v>168</v>
      </c>
      <c r="CE88" s="80"/>
      <c r="CF88" s="2"/>
      <c r="CG88" s="2" t="str">
        <f t="shared" si="120"/>
        <v/>
      </c>
      <c r="CH88" s="2" t="str">
        <f t="shared" si="121"/>
        <v/>
      </c>
      <c r="CI88" s="2" t="str">
        <f t="shared" si="122"/>
        <v/>
      </c>
      <c r="CJ88" s="2" t="str">
        <f t="shared" si="123"/>
        <v/>
      </c>
      <c r="CK88" s="2" t="str">
        <f t="shared" si="124"/>
        <v/>
      </c>
      <c r="CL88" s="2" t="str">
        <f t="shared" si="125"/>
        <v/>
      </c>
      <c r="CM88" s="2" t="str">
        <f t="shared" si="126"/>
        <v/>
      </c>
      <c r="CN88" s="2" t="str">
        <f t="shared" si="127"/>
        <v/>
      </c>
      <c r="CO88" s="2" t="str">
        <f t="shared" si="128"/>
        <v/>
      </c>
      <c r="CP88" s="2" t="str">
        <f t="shared" si="129"/>
        <v/>
      </c>
      <c r="CQ88" s="2" t="str">
        <f t="shared" si="130"/>
        <v/>
      </c>
      <c r="CR88" s="2" t="str">
        <f t="shared" si="131"/>
        <v/>
      </c>
      <c r="CS88" s="2" t="str">
        <f t="shared" si="132"/>
        <v/>
      </c>
      <c r="CT88" s="2" t="str">
        <f t="shared" si="133"/>
        <v/>
      </c>
      <c r="CU88" s="2" t="str">
        <f t="shared" si="134"/>
        <v/>
      </c>
      <c r="CV88" s="2" t="str">
        <f t="shared" si="135"/>
        <v/>
      </c>
      <c r="CW88" s="2"/>
      <c r="CX88" s="2"/>
      <c r="CY88" s="2"/>
      <c r="CZ88" s="2"/>
    </row>
    <row r="89" spans="2:104" ht="15" hidden="1" customHeight="1" x14ac:dyDescent="0.2">
      <c r="B89" s="122"/>
      <c r="C89" s="123"/>
      <c r="D89" s="123"/>
      <c r="E89" s="123"/>
      <c r="F89" s="123"/>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13">
        <v>24</v>
      </c>
      <c r="AR89" s="12">
        <v>715000</v>
      </c>
      <c r="AS89" s="12">
        <v>240000</v>
      </c>
      <c r="AT89" s="1"/>
      <c r="AU89" s="1"/>
      <c r="AV89" s="1"/>
      <c r="AW89" s="1"/>
      <c r="AX89" s="2"/>
      <c r="AY89" s="2"/>
      <c r="AZ89" s="1">
        <v>160000</v>
      </c>
      <c r="BA89" s="2"/>
      <c r="BB89" s="2"/>
      <c r="BC89" s="2"/>
      <c r="BD89" s="2"/>
      <c r="BE89" s="2"/>
      <c r="BJ89" s="13"/>
      <c r="BL89" s="13"/>
      <c r="BN89" s="13"/>
      <c r="BO89" s="2"/>
      <c r="BP89" s="13"/>
      <c r="BS89" s="81" t="str">
        <f>IF($J$24="Español","Furtivo",(IF($J$24="Deutsch","Hechtsprung",(IF($J$24="Français","Réception ","Jump Up")))))</f>
        <v>Furtivo</v>
      </c>
      <c r="BT89" s="21" t="s">
        <v>168</v>
      </c>
      <c r="BU89" s="81" t="str">
        <f>IF($J$24="Español","Furtivo",(IF($J$24="Deutsch","Hechtsprung",(IF($J$24="Français","Réception ","Jump Up")))))</f>
        <v>Furtivo</v>
      </c>
      <c r="BV89" s="21" t="s">
        <v>168</v>
      </c>
      <c r="BW89" s="81" t="str">
        <f>IF($J$24="Español","Furtivo",(IF($J$24="Deutsch","Hechtsprung",(IF($J$24="Français","Réception ","Jump Up")))))</f>
        <v>Furtivo</v>
      </c>
      <c r="BX89" s="21" t="s">
        <v>168</v>
      </c>
      <c r="BY89" s="75" t="str">
        <f>IF($J$24="Español","Furtivo",(IF($J$24="Deutsch","Hechtsprung",(IF($J$24="Français","Réception ","Jump Up")))))</f>
        <v>Furtivo</v>
      </c>
      <c r="BZ89" s="21" t="s">
        <v>168</v>
      </c>
      <c r="CA89" s="21" t="str">
        <f t="shared" si="151"/>
        <v/>
      </c>
      <c r="CB89" s="21" t="str">
        <f t="shared" si="151"/>
        <v/>
      </c>
      <c r="CC89" s="75" t="str">
        <f>IF($J$24="Español","Placaje Heroico",(IF($J$24="Deutsch","Sichere Hände",(IF($J$24="Français","Rétablissement","Safe Pair of Hands")))))</f>
        <v>Placaje Heroico</v>
      </c>
      <c r="CD89" s="2" t="s">
        <v>168</v>
      </c>
      <c r="CE89" s="80" t="s">
        <v>216</v>
      </c>
      <c r="CF89" s="2"/>
      <c r="CG89" s="2" t="str">
        <f t="shared" si="120"/>
        <v/>
      </c>
      <c r="CH89" s="2" t="str">
        <f t="shared" si="121"/>
        <v/>
      </c>
      <c r="CI89" s="2" t="str">
        <f t="shared" si="122"/>
        <v/>
      </c>
      <c r="CJ89" s="2" t="str">
        <f t="shared" si="123"/>
        <v/>
      </c>
      <c r="CK89" s="2" t="str">
        <f t="shared" si="124"/>
        <v/>
      </c>
      <c r="CL89" s="2" t="str">
        <f t="shared" si="125"/>
        <v/>
      </c>
      <c r="CM89" s="2" t="str">
        <f t="shared" si="126"/>
        <v/>
      </c>
      <c r="CN89" s="2" t="str">
        <f t="shared" si="127"/>
        <v/>
      </c>
      <c r="CO89" s="2" t="str">
        <f t="shared" si="128"/>
        <v/>
      </c>
      <c r="CP89" s="2" t="str">
        <f t="shared" si="129"/>
        <v/>
      </c>
      <c r="CQ89" s="2" t="str">
        <f t="shared" si="130"/>
        <v/>
      </c>
      <c r="CR89" s="2" t="str">
        <f t="shared" si="131"/>
        <v/>
      </c>
      <c r="CS89" s="2" t="str">
        <f t="shared" si="132"/>
        <v/>
      </c>
      <c r="CT89" s="2" t="str">
        <f t="shared" si="133"/>
        <v/>
      </c>
      <c r="CU89" s="2" t="str">
        <f t="shared" si="134"/>
        <v/>
      </c>
      <c r="CV89" s="2" t="str">
        <f t="shared" si="135"/>
        <v/>
      </c>
      <c r="CW89" s="2"/>
      <c r="CX89" s="2"/>
      <c r="CY89" s="2"/>
      <c r="CZ89" s="2"/>
    </row>
    <row r="90" spans="2:104" ht="15" hidden="1" customHeight="1" x14ac:dyDescent="0.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12">
        <v>25</v>
      </c>
      <c r="AR90" s="12">
        <v>720000</v>
      </c>
      <c r="AS90" s="12">
        <v>250000</v>
      </c>
      <c r="AT90" s="1"/>
      <c r="AU90" s="1"/>
      <c r="AV90" s="1"/>
      <c r="AW90" s="1"/>
      <c r="AX90" s="2"/>
      <c r="AY90" s="2"/>
      <c r="AZ90" s="1">
        <v>170000</v>
      </c>
      <c r="BA90" s="2"/>
      <c r="BB90" s="2"/>
      <c r="BC90" s="2"/>
      <c r="BD90" s="2"/>
      <c r="BE90" s="2"/>
      <c r="BJ90" s="13"/>
      <c r="BL90" s="13"/>
      <c r="BN90" s="13"/>
      <c r="BO90" s="2"/>
      <c r="BP90" s="13"/>
      <c r="BS90" s="81" t="str">
        <f>IF($J$24="Español","Pies Firmes",(IF($J$24="Deutsch","Heimtückisch",(IF($J$24="Français","Réception plongeante ","Leap")))))</f>
        <v>Pies Firmes</v>
      </c>
      <c r="BT90" s="21" t="s">
        <v>168</v>
      </c>
      <c r="BU90" s="81" t="str">
        <f>IF($J$24="Español","Pies Firmes",(IF($J$24="Deutsch","Heimtückisch",(IF($J$24="Français","Réception plongeante ","Leap")))))</f>
        <v>Pies Firmes</v>
      </c>
      <c r="BV90" s="21" t="s">
        <v>168</v>
      </c>
      <c r="BW90" s="81" t="str">
        <f>IF($J$24="Español","Pies Firmes",(IF($J$24="Deutsch","Heimtückisch",(IF($J$24="Français","Réception plongeante ","Leap")))))</f>
        <v>Pies Firmes</v>
      </c>
      <c r="BX90" s="21" t="s">
        <v>168</v>
      </c>
      <c r="BY90" s="75" t="str">
        <f>IF($J$24="Español","Pies Firmes",(IF($J$24="Deutsch","Heimtückisch",(IF($J$24="Français","Réception plongeante ","Leap")))))</f>
        <v>Pies Firmes</v>
      </c>
      <c r="BZ90" s="21" t="s">
        <v>168</v>
      </c>
      <c r="CA90" s="21" t="str">
        <f t="shared" si="151"/>
        <v/>
      </c>
      <c r="CB90" s="21" t="str">
        <f t="shared" si="151"/>
        <v/>
      </c>
      <c r="CC90" s="75" t="str">
        <f>IF($J$24="Español","Proteger el Cuero",(IF($J$24="Deutsch","Springen",(IF($J$24="Français","Saut","Sidestep")))))</f>
        <v>Proteger el Cuero</v>
      </c>
      <c r="CD90" s="2" t="s">
        <v>168</v>
      </c>
      <c r="CE90" s="80"/>
      <c r="CF90" s="2"/>
      <c r="CG90" s="2" t="str">
        <f t="shared" si="120"/>
        <v/>
      </c>
      <c r="CH90" s="2" t="str">
        <f t="shared" si="121"/>
        <v/>
      </c>
      <c r="CI90" s="2" t="str">
        <f t="shared" si="122"/>
        <v/>
      </c>
      <c r="CJ90" s="2" t="str">
        <f t="shared" si="123"/>
        <v/>
      </c>
      <c r="CK90" s="2" t="str">
        <f t="shared" si="124"/>
        <v/>
      </c>
      <c r="CL90" s="2" t="str">
        <f t="shared" si="125"/>
        <v/>
      </c>
      <c r="CM90" s="2" t="str">
        <f t="shared" si="126"/>
        <v/>
      </c>
      <c r="CN90" s="2" t="str">
        <f t="shared" si="127"/>
        <v/>
      </c>
      <c r="CO90" s="2" t="str">
        <f t="shared" si="128"/>
        <v/>
      </c>
      <c r="CP90" s="2" t="str">
        <f t="shared" si="129"/>
        <v/>
      </c>
      <c r="CQ90" s="2" t="str">
        <f t="shared" si="130"/>
        <v/>
      </c>
      <c r="CR90" s="2" t="str">
        <f t="shared" si="131"/>
        <v/>
      </c>
      <c r="CS90" s="2" t="str">
        <f t="shared" si="132"/>
        <v/>
      </c>
      <c r="CT90" s="2" t="str">
        <f t="shared" si="133"/>
        <v/>
      </c>
      <c r="CU90" s="2" t="str">
        <f t="shared" si="134"/>
        <v/>
      </c>
      <c r="CV90" s="2" t="str">
        <f t="shared" si="135"/>
        <v/>
      </c>
      <c r="CW90" s="2"/>
      <c r="CX90" s="2"/>
      <c r="CY90" s="2"/>
      <c r="CZ90" s="2"/>
    </row>
    <row r="91" spans="2:104" ht="15" hidden="1" customHeight="1" x14ac:dyDescent="0.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13">
        <v>26</v>
      </c>
      <c r="AR91" s="12">
        <v>725000</v>
      </c>
      <c r="AS91" s="12">
        <v>260000</v>
      </c>
      <c r="AT91" s="1"/>
      <c r="AU91" s="1"/>
      <c r="AV91" s="1"/>
      <c r="AW91" s="1"/>
      <c r="AX91" s="2"/>
      <c r="AY91" s="2"/>
      <c r="AZ91" s="1">
        <v>180000</v>
      </c>
      <c r="BA91" s="2"/>
      <c r="BB91" s="2"/>
      <c r="BC91" s="2"/>
      <c r="BD91" s="2"/>
      <c r="BE91" s="2"/>
      <c r="BJ91" s="13"/>
      <c r="BL91" s="13"/>
      <c r="BN91" s="13"/>
      <c r="BO91" s="2"/>
      <c r="BP91" s="13"/>
      <c r="BS91" s="81" t="str">
        <f>IF($J$24="Español","Placaje Heroico",(IF($J$24="Deutsch","Sichere Hände",(IF($J$24="Français","Rétablissement","Safe Pair of Hands")))))</f>
        <v>Placaje Heroico</v>
      </c>
      <c r="BT91" s="21" t="s">
        <v>168</v>
      </c>
      <c r="BU91" s="81" t="str">
        <f>IF($J$24="Español","Placaje Heroico",(IF($J$24="Deutsch","Sichere Hände",(IF($J$24="Français","Rétablissement","Safe Pair of Hands")))))</f>
        <v>Placaje Heroico</v>
      </c>
      <c r="BV91" s="21" t="s">
        <v>168</v>
      </c>
      <c r="BW91" s="81" t="str">
        <f>IF($J$24="Español","Placaje Heroico",(IF($J$24="Deutsch","Sichere Hände",(IF($J$24="Français","Rétablissement","Safe Pair of Hands")))))</f>
        <v>Placaje Heroico</v>
      </c>
      <c r="BX91" s="21" t="s">
        <v>168</v>
      </c>
      <c r="BY91" s="75" t="str">
        <f>IF($J$24="Español","Placaje Heroico",(IF($J$24="Deutsch","Sichere Hände",(IF($J$24="Français","Rétablissement","Safe Pair of Hands")))))</f>
        <v>Placaje Heroico</v>
      </c>
      <c r="BZ91" s="21" t="s">
        <v>168</v>
      </c>
      <c r="CA91" s="21" t="str">
        <f t="shared" si="151"/>
        <v/>
      </c>
      <c r="CB91" s="21" t="str">
        <f t="shared" si="151"/>
        <v/>
      </c>
      <c r="CC91" s="75" t="str">
        <f>IF($J$24="Español","Recepción Heroica",(IF($J$24="Deutsch","Sprinten",(IF($J$24="Français","Sprint","Sneaky Git")))))</f>
        <v>Recepción Heroica</v>
      </c>
      <c r="CD91" s="2" t="s">
        <v>168</v>
      </c>
      <c r="CE91" s="80"/>
      <c r="CF91" s="2"/>
      <c r="CG91" s="2" t="str">
        <f t="shared" si="120"/>
        <v/>
      </c>
      <c r="CH91" s="2" t="str">
        <f t="shared" si="121"/>
        <v/>
      </c>
      <c r="CI91" s="2" t="str">
        <f t="shared" si="122"/>
        <v/>
      </c>
      <c r="CJ91" s="2" t="str">
        <f t="shared" si="123"/>
        <v/>
      </c>
      <c r="CK91" s="2" t="str">
        <f t="shared" si="124"/>
        <v/>
      </c>
      <c r="CL91" s="2" t="str">
        <f t="shared" si="125"/>
        <v/>
      </c>
      <c r="CM91" s="2" t="str">
        <f t="shared" si="126"/>
        <v/>
      </c>
      <c r="CN91" s="2" t="str">
        <f t="shared" si="127"/>
        <v/>
      </c>
      <c r="CO91" s="2" t="str">
        <f t="shared" si="128"/>
        <v/>
      </c>
      <c r="CP91" s="2" t="str">
        <f t="shared" si="129"/>
        <v/>
      </c>
      <c r="CQ91" s="2" t="str">
        <f t="shared" si="130"/>
        <v/>
      </c>
      <c r="CR91" s="2" t="str">
        <f t="shared" si="131"/>
        <v/>
      </c>
      <c r="CS91" s="2" t="str">
        <f t="shared" si="132"/>
        <v/>
      </c>
      <c r="CT91" s="2" t="str">
        <f t="shared" si="133"/>
        <v/>
      </c>
      <c r="CU91" s="2" t="str">
        <f t="shared" si="134"/>
        <v/>
      </c>
      <c r="CV91" s="2" t="str">
        <f t="shared" si="135"/>
        <v/>
      </c>
      <c r="CW91" s="2"/>
      <c r="CX91" s="2"/>
      <c r="CY91" s="2"/>
      <c r="CZ91" s="2"/>
    </row>
    <row r="92" spans="2:104" ht="15" hidden="1" customHeight="1" x14ac:dyDescent="0.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13">
        <v>27</v>
      </c>
      <c r="AR92" s="12">
        <v>730000</v>
      </c>
      <c r="AS92" s="12">
        <v>270000</v>
      </c>
      <c r="AT92" s="1"/>
      <c r="AU92" s="1"/>
      <c r="AV92" s="1"/>
      <c r="AW92" s="1"/>
      <c r="AX92" s="2"/>
      <c r="AY92" s="2"/>
      <c r="AZ92" s="1">
        <v>190000</v>
      </c>
      <c r="BA92" s="2"/>
      <c r="BB92" s="2"/>
      <c r="BC92" s="2"/>
      <c r="BD92" s="2"/>
      <c r="BE92" s="2"/>
      <c r="BJ92" s="13"/>
      <c r="BL92" s="13"/>
      <c r="BN92" s="13"/>
      <c r="BO92" s="2"/>
      <c r="BP92" s="13"/>
      <c r="BS92" s="81" t="str">
        <f>IF($J$24="Español","Proteger el Cuero",(IF($J$24="Deutsch","Springen",(IF($J$24="Français","Saut","Sidestep")))))</f>
        <v>Proteger el Cuero</v>
      </c>
      <c r="BT92" s="21" t="s">
        <v>168</v>
      </c>
      <c r="BU92" s="81" t="str">
        <f>IF($J$24="Español","Proteger el Cuero",(IF($J$24="Deutsch","Springen",(IF($J$24="Français","Saut","Sidestep")))))</f>
        <v>Proteger el Cuero</v>
      </c>
      <c r="BV92" s="21" t="s">
        <v>168</v>
      </c>
      <c r="BW92" s="81" t="str">
        <f>IF($J$24="Español","Proteger el Cuero",(IF($J$24="Deutsch","Springen",(IF($J$24="Français","Saut","Sidestep")))))</f>
        <v>Proteger el Cuero</v>
      </c>
      <c r="BX92" s="21" t="s">
        <v>168</v>
      </c>
      <c r="BY92" s="75" t="str">
        <f>IF($J$24="Español","Proteger el Cuero",(IF($J$24="Deutsch","Springen",(IF($J$24="Français","Saut","Sidestep")))))</f>
        <v>Proteger el Cuero</v>
      </c>
      <c r="BZ92" s="21" t="s">
        <v>168</v>
      </c>
      <c r="CA92" s="21" t="str">
        <f t="shared" si="151"/>
        <v/>
      </c>
      <c r="CB92" s="21" t="str">
        <f t="shared" si="151"/>
        <v/>
      </c>
      <c r="CC92" s="75" t="str">
        <f>IF($J$24="Español","Romper Defensas",(IF($J$24="Deutsch","Sprintensicher",(IF($J$24="Français","Sournois","Sprint")))))</f>
        <v>Romper Defensas</v>
      </c>
      <c r="CD92" s="2" t="s">
        <v>168</v>
      </c>
      <c r="CE92" s="80"/>
      <c r="CF92" s="2"/>
      <c r="CG92" s="2" t="str">
        <f t="shared" si="120"/>
        <v/>
      </c>
      <c r="CH92" s="2" t="str">
        <f t="shared" si="121"/>
        <v/>
      </c>
      <c r="CI92" s="2" t="str">
        <f t="shared" si="122"/>
        <v/>
      </c>
      <c r="CJ92" s="2" t="str">
        <f t="shared" si="123"/>
        <v/>
      </c>
      <c r="CK92" s="2" t="str">
        <f t="shared" si="124"/>
        <v/>
      </c>
      <c r="CL92" s="2" t="str">
        <f t="shared" si="125"/>
        <v/>
      </c>
      <c r="CM92" s="2" t="str">
        <f t="shared" si="126"/>
        <v/>
      </c>
      <c r="CN92" s="2" t="str">
        <f t="shared" si="127"/>
        <v/>
      </c>
      <c r="CO92" s="2" t="str">
        <f t="shared" si="128"/>
        <v/>
      </c>
      <c r="CP92" s="2" t="str">
        <f t="shared" si="129"/>
        <v/>
      </c>
      <c r="CQ92" s="2" t="str">
        <f t="shared" si="130"/>
        <v/>
      </c>
      <c r="CR92" s="2" t="str">
        <f t="shared" si="131"/>
        <v/>
      </c>
      <c r="CS92" s="2" t="str">
        <f t="shared" si="132"/>
        <v/>
      </c>
      <c r="CT92" s="2" t="str">
        <f t="shared" si="133"/>
        <v/>
      </c>
      <c r="CU92" s="2" t="str">
        <f t="shared" si="134"/>
        <v/>
      </c>
      <c r="CV92" s="2" t="str">
        <f t="shared" si="135"/>
        <v/>
      </c>
      <c r="CW92" s="2"/>
      <c r="CX92" s="2"/>
      <c r="CY92" s="2"/>
      <c r="CZ92" s="2"/>
    </row>
    <row r="93" spans="2:104" ht="15" hidden="1" customHeight="1" x14ac:dyDescent="0.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12">
        <v>28</v>
      </c>
      <c r="AR93" s="12">
        <v>735000</v>
      </c>
      <c r="AS93" s="12">
        <v>280000</v>
      </c>
      <c r="AT93" s="1"/>
      <c r="AU93" s="1"/>
      <c r="AV93" s="1"/>
      <c r="AW93" s="1"/>
      <c r="AX93" s="2"/>
      <c r="AY93" s="2"/>
      <c r="AZ93" s="1">
        <v>200000</v>
      </c>
      <c r="BA93" s="2"/>
      <c r="BB93" s="2"/>
      <c r="BC93" s="2"/>
      <c r="BD93" s="2"/>
      <c r="BE93" s="2"/>
      <c r="BJ93" s="13"/>
      <c r="BL93" s="13"/>
      <c r="BN93" s="13"/>
      <c r="BO93" s="2"/>
      <c r="BP93" s="13"/>
      <c r="BS93" s="81" t="str">
        <f>IF($J$24="Español","Recepción Heroica",(IF($J$24="Deutsch","Sprinten",(IF($J$24="Français","Sprint","Sneaky Git")))))</f>
        <v>Recepción Heroica</v>
      </c>
      <c r="BT93" s="21" t="s">
        <v>168</v>
      </c>
      <c r="BU93" s="81" t="str">
        <f>IF($J$24="Español","Recepción Heroica",(IF($J$24="Deutsch","Sprinten",(IF($J$24="Français","Sprint","Sneaky Git")))))</f>
        <v>Recepción Heroica</v>
      </c>
      <c r="BV93" s="21" t="s">
        <v>168</v>
      </c>
      <c r="BW93" s="81" t="str">
        <f>IF($J$24="Español","Recepción Heroica",(IF($J$24="Deutsch","Sprinten",(IF($J$24="Français","Sprint","Sneaky Git")))))</f>
        <v>Recepción Heroica</v>
      </c>
      <c r="BX93" s="21" t="s">
        <v>168</v>
      </c>
      <c r="BY93" s="75" t="str">
        <f>IF($J$24="Español","Recepción Heroica",(IF($J$24="Deutsch","Sprinten",(IF($J$24="Français","Sprint","Sneaky Git")))))</f>
        <v>Recepción Heroica</v>
      </c>
      <c r="BZ93" s="21" t="s">
        <v>168</v>
      </c>
      <c r="CA93" s="21" t="str">
        <f t="shared" si="151"/>
        <v/>
      </c>
      <c r="CB93" s="21" t="str">
        <f t="shared" si="151"/>
        <v/>
      </c>
      <c r="CC93" s="75" t="str">
        <f>IF($J$24="Español","Saltar",(IF($J$24="Deutsch","Wehrhaft",(IF($J$24="Français","Tacle plongeant ","Sure Feet")))))</f>
        <v>Saltar</v>
      </c>
      <c r="CD93" s="2" t="s">
        <v>168</v>
      </c>
      <c r="CE93" s="80"/>
      <c r="CF93" s="2"/>
      <c r="CG93" s="2" t="str">
        <f t="shared" si="120"/>
        <v/>
      </c>
      <c r="CH93" s="2" t="str">
        <f t="shared" si="121"/>
        <v/>
      </c>
      <c r="CI93" s="2" t="str">
        <f t="shared" si="122"/>
        <v/>
      </c>
      <c r="CJ93" s="2" t="str">
        <f t="shared" si="123"/>
        <v/>
      </c>
      <c r="CK93" s="2" t="str">
        <f t="shared" si="124"/>
        <v/>
      </c>
      <c r="CL93" s="2" t="str">
        <f t="shared" si="125"/>
        <v/>
      </c>
      <c r="CM93" s="2" t="str">
        <f t="shared" si="126"/>
        <v/>
      </c>
      <c r="CN93" s="2" t="str">
        <f t="shared" si="127"/>
        <v/>
      </c>
      <c r="CO93" s="2" t="str">
        <f t="shared" si="128"/>
        <v/>
      </c>
      <c r="CP93" s="2" t="str">
        <f t="shared" si="129"/>
        <v/>
      </c>
      <c r="CQ93" s="2" t="str">
        <f t="shared" si="130"/>
        <v/>
      </c>
      <c r="CR93" s="2" t="str">
        <f t="shared" si="131"/>
        <v/>
      </c>
      <c r="CS93" s="2" t="str">
        <f t="shared" si="132"/>
        <v/>
      </c>
      <c r="CT93" s="2" t="str">
        <f t="shared" si="133"/>
        <v/>
      </c>
      <c r="CU93" s="2" t="str">
        <f t="shared" si="134"/>
        <v/>
      </c>
      <c r="CV93" s="2" t="str">
        <f t="shared" si="135"/>
        <v/>
      </c>
      <c r="CW93" s="2"/>
      <c r="CX93" s="2"/>
      <c r="CY93" s="2"/>
      <c r="CZ93" s="2"/>
    </row>
    <row r="94" spans="2:104" ht="15" hidden="1" customHeight="1" x14ac:dyDescent="0.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13">
        <v>29</v>
      </c>
      <c r="AR94" s="12">
        <v>740000</v>
      </c>
      <c r="AS94" s="12">
        <v>290000</v>
      </c>
      <c r="AT94" s="1"/>
      <c r="AU94" s="1"/>
      <c r="AV94" s="1"/>
      <c r="AW94" s="1"/>
      <c r="AX94" s="2"/>
      <c r="AY94" s="2"/>
      <c r="AZ94" s="1">
        <v>210000</v>
      </c>
      <c r="BA94" s="2"/>
      <c r="BB94" s="2"/>
      <c r="BC94" s="2"/>
      <c r="BD94" s="2"/>
      <c r="BE94" s="2"/>
      <c r="BJ94" s="13"/>
      <c r="BL94" s="13"/>
      <c r="BN94" s="13"/>
      <c r="BO94" s="2"/>
      <c r="BP94" s="13"/>
      <c r="BS94" s="81" t="str">
        <f>IF($J$24="Español","Romper Defensas",(IF($J$24="Deutsch","Sprintensicher",(IF($J$24="Français","Sournois","Sprint")))))</f>
        <v>Romper Defensas</v>
      </c>
      <c r="BT94" s="21" t="s">
        <v>168</v>
      </c>
      <c r="BU94" s="81" t="str">
        <f>IF($J$24="Español","Romper Defensas",(IF($J$24="Deutsch","Sprintensicher",(IF($J$24="Français","Sournois","Sprint")))))</f>
        <v>Romper Defensas</v>
      </c>
      <c r="BV94" s="21" t="s">
        <v>168</v>
      </c>
      <c r="BW94" s="81" t="str">
        <f>IF($J$24="Español","Romper Defensas",(IF($J$24="Deutsch","Sprintensicher",(IF($J$24="Français","Sournois","Sprint")))))</f>
        <v>Romper Defensas</v>
      </c>
      <c r="BX94" s="21" t="s">
        <v>168</v>
      </c>
      <c r="BY94" s="75" t="str">
        <f>IF($J$24="Español","Romper Defensas",(IF($J$24="Deutsch","Sprintensicher",(IF($J$24="Français","Sournois","Sprint")))))</f>
        <v>Romper Defensas</v>
      </c>
      <c r="BZ94" s="21" t="s">
        <v>168</v>
      </c>
      <c r="CA94" s="21" t="str">
        <f t="shared" si="151"/>
        <v/>
      </c>
      <c r="CB94" s="21" t="str">
        <f t="shared" si="151"/>
        <v/>
      </c>
      <c r="CC94" s="21" t="str">
        <f>IF($J$24="Español","Atento al Balón",(IF($J$24="Deutsch","Abspiel",(IF($J$24="Français","Canonnier","Accurate")))))</f>
        <v>Atento al Balón</v>
      </c>
      <c r="CD94" s="2" t="s">
        <v>170</v>
      </c>
      <c r="CE94" s="80"/>
      <c r="CG94" s="2" t="str">
        <f t="shared" si="120"/>
        <v/>
      </c>
      <c r="CH94" s="2" t="str">
        <f t="shared" si="121"/>
        <v/>
      </c>
      <c r="CI94" s="2" t="str">
        <f t="shared" si="122"/>
        <v/>
      </c>
      <c r="CJ94" s="2" t="str">
        <f t="shared" si="123"/>
        <v/>
      </c>
      <c r="CK94" s="2" t="str">
        <f t="shared" si="124"/>
        <v/>
      </c>
      <c r="CL94" s="2" t="str">
        <f t="shared" si="125"/>
        <v/>
      </c>
      <c r="CM94" s="2" t="str">
        <f t="shared" si="126"/>
        <v/>
      </c>
      <c r="CN94" s="2" t="str">
        <f t="shared" si="127"/>
        <v/>
      </c>
      <c r="CO94" s="2" t="str">
        <f t="shared" si="128"/>
        <v/>
      </c>
      <c r="CP94" s="2" t="str">
        <f t="shared" si="129"/>
        <v/>
      </c>
      <c r="CQ94" s="2" t="str">
        <f t="shared" si="130"/>
        <v/>
      </c>
      <c r="CR94" s="2" t="str">
        <f t="shared" si="131"/>
        <v/>
      </c>
      <c r="CS94" s="2" t="str">
        <f t="shared" si="132"/>
        <v/>
      </c>
      <c r="CT94" s="2" t="str">
        <f t="shared" si="133"/>
        <v/>
      </c>
      <c r="CU94" s="2" t="str">
        <f t="shared" si="134"/>
        <v/>
      </c>
      <c r="CV94" s="2" t="str">
        <f t="shared" si="135"/>
        <v/>
      </c>
      <c r="CW94" s="2"/>
      <c r="CX94" s="2"/>
      <c r="CY94" s="2"/>
      <c r="CZ94" s="2"/>
    </row>
    <row r="95" spans="2:104" ht="15" hidden="1" customHeight="1" x14ac:dyDescent="0.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13">
        <v>30</v>
      </c>
      <c r="AR95" s="12">
        <v>745000</v>
      </c>
      <c r="AS95" s="12">
        <v>300000</v>
      </c>
      <c r="AT95" s="1"/>
      <c r="AU95" s="1"/>
      <c r="AV95" s="1"/>
      <c r="AW95" s="1"/>
      <c r="AX95" s="2"/>
      <c r="AY95" s="2"/>
      <c r="AZ95" s="1">
        <v>220000</v>
      </c>
      <c r="BA95" s="2"/>
      <c r="BB95" s="2"/>
      <c r="BC95" s="2"/>
      <c r="BD95" s="2"/>
      <c r="BE95" s="2"/>
      <c r="BJ95" s="13"/>
      <c r="BL95" s="13"/>
      <c r="BN95" s="13"/>
      <c r="BO95" s="2"/>
      <c r="BP95" s="13"/>
      <c r="BS95" s="81" t="str">
        <f>IF($J$24="Español","Saltar",(IF($J$24="Deutsch","Wehrhaft",(IF($J$24="Français","Tacle plongeant ","Sure Feet")))))</f>
        <v>Saltar</v>
      </c>
      <c r="BT95" s="21" t="s">
        <v>168</v>
      </c>
      <c r="BU95" s="81" t="str">
        <f>IF($J$24="Español","Saltar",(IF($J$24="Deutsch","Wehrhaft",(IF($J$24="Français","Tacle plongeant ","Sure Feet")))))</f>
        <v>Saltar</v>
      </c>
      <c r="BV95" s="21" t="s">
        <v>168</v>
      </c>
      <c r="BW95" s="81" t="str">
        <f>IF($J$24="Español","Saltar",(IF($J$24="Deutsch","Wehrhaft",(IF($J$24="Français","Tacle plongeant ","Sure Feet")))))</f>
        <v>Saltar</v>
      </c>
      <c r="BX95" s="21" t="s">
        <v>168</v>
      </c>
      <c r="BY95" s="75" t="str">
        <f>IF($J$24="Español","Saltar",(IF($J$24="Deutsch","Wehrhaft",(IF($J$24="Français","Tacle plongeant ","Sure Feet")))))</f>
        <v>Saltar</v>
      </c>
      <c r="BZ95" s="21" t="s">
        <v>168</v>
      </c>
      <c r="CA95" s="21" t="str">
        <f t="shared" si="151"/>
        <v/>
      </c>
      <c r="CB95" s="21" t="str">
        <f t="shared" si="151"/>
        <v/>
      </c>
      <c r="CC95" s="21" t="str">
        <f>IF($J$24="Español","Cañonero",(IF($J$24="Deutsch","Hau wech das Leder",(IF($J$24="Français","Chef","Cannoneer")))))</f>
        <v>Cañonero</v>
      </c>
      <c r="CD95" s="2" t="s">
        <v>170</v>
      </c>
      <c r="CE95" s="80"/>
      <c r="CG95" s="2" t="str">
        <f t="shared" si="120"/>
        <v/>
      </c>
      <c r="CH95" s="2" t="str">
        <f t="shared" si="121"/>
        <v/>
      </c>
      <c r="CI95" s="2" t="str">
        <f t="shared" si="122"/>
        <v/>
      </c>
      <c r="CJ95" s="2" t="str">
        <f t="shared" si="123"/>
        <v/>
      </c>
      <c r="CK95" s="2" t="str">
        <f t="shared" si="124"/>
        <v/>
      </c>
      <c r="CL95" s="2" t="str">
        <f t="shared" si="125"/>
        <v/>
      </c>
      <c r="CM95" s="2" t="str">
        <f t="shared" si="126"/>
        <v/>
      </c>
      <c r="CN95" s="2" t="str">
        <f t="shared" si="127"/>
        <v/>
      </c>
      <c r="CO95" s="2" t="str">
        <f t="shared" si="128"/>
        <v/>
      </c>
      <c r="CP95" s="2" t="str">
        <f t="shared" si="129"/>
        <v/>
      </c>
      <c r="CQ95" s="2" t="str">
        <f t="shared" si="130"/>
        <v/>
      </c>
      <c r="CR95" s="2" t="str">
        <f t="shared" si="131"/>
        <v/>
      </c>
      <c r="CS95" s="2" t="str">
        <f t="shared" si="132"/>
        <v/>
      </c>
      <c r="CT95" s="2" t="str">
        <f t="shared" si="133"/>
        <v/>
      </c>
      <c r="CU95" s="2" t="str">
        <f t="shared" si="134"/>
        <v/>
      </c>
      <c r="CV95" s="2" t="str">
        <f t="shared" si="135"/>
        <v/>
      </c>
      <c r="CW95" s="2"/>
      <c r="CX95" s="2"/>
      <c r="CY95" s="2"/>
      <c r="CZ95" s="2"/>
    </row>
    <row r="96" spans="2:104" ht="15" hidden="1" customHeight="1" x14ac:dyDescent="0.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12">
        <v>31</v>
      </c>
      <c r="AR96" s="12">
        <v>750000</v>
      </c>
      <c r="AS96" s="12">
        <v>310000</v>
      </c>
      <c r="AT96" s="1"/>
      <c r="AU96" s="1"/>
      <c r="AV96" s="1"/>
      <c r="AW96" s="1"/>
      <c r="AX96" s="2"/>
      <c r="AY96" s="2"/>
      <c r="AZ96" s="1">
        <v>230000</v>
      </c>
      <c r="BA96" s="2"/>
      <c r="BB96" s="2"/>
      <c r="BC96" s="2"/>
      <c r="BD96" s="2"/>
      <c r="BE96" s="2"/>
      <c r="BJ96" s="13"/>
      <c r="BL96" s="13"/>
      <c r="BN96" s="13"/>
      <c r="BO96" s="2"/>
      <c r="BP96" s="13"/>
      <c r="BS96" s="21" t="str">
        <f>IF($J$24="Español","Atento al Balón",(IF($J$24="Deutsch","Abspiel",(IF($J$24="Français","Canonnier","Accurate")))))</f>
        <v>Atento al Balón</v>
      </c>
      <c r="BT96" s="21" t="s">
        <v>170</v>
      </c>
      <c r="BU96" s="81" t="str">
        <f>IF($J$24="Español","Abrirse Paso",(IF($J$24="Deutsch","Armhebel",(IF($J$24="Français","Bagarre","Arm Bar")))))</f>
        <v>Abrirse Paso</v>
      </c>
      <c r="BV96" s="21" t="s">
        <v>169</v>
      </c>
      <c r="BW96" s="21" t="str">
        <f>IF($J$24="Español","Atento al Balón",(IF($J$24="Deutsch","Abspiel",(IF($J$24="Français","Canonnier","Accurate")))))</f>
        <v>Atento al Balón</v>
      </c>
      <c r="BX96" s="21" t="s">
        <v>170</v>
      </c>
      <c r="BY96" s="75" t="str">
        <f>IF($J$24="Español","Abrirse Paso",(IF($J$24="Deutsch","Armhebel",(IF($J$24="Français","Bagarre","Arm Bar")))))</f>
        <v>Abrirse Paso</v>
      </c>
      <c r="BZ96" s="21" t="s">
        <v>169</v>
      </c>
      <c r="CA96" s="21" t="str">
        <f t="shared" si="151"/>
        <v/>
      </c>
      <c r="CB96" s="21" t="str">
        <f t="shared" si="151"/>
        <v/>
      </c>
      <c r="CC96" s="75" t="str">
        <f>IF($J$24="Español","Dejada",(IF($J$24="Deutsch","Im Laufen passen",(IF($J$24="Français","Délestage","Cloud Burster")))))</f>
        <v>Dejada</v>
      </c>
      <c r="CD96" s="2" t="s">
        <v>170</v>
      </c>
      <c r="CE96" s="80"/>
      <c r="CG96" s="2" t="str">
        <f t="shared" si="120"/>
        <v/>
      </c>
      <c r="CH96" s="2" t="str">
        <f t="shared" si="121"/>
        <v/>
      </c>
      <c r="CI96" s="2" t="str">
        <f t="shared" si="122"/>
        <v/>
      </c>
      <c r="CJ96" s="2" t="str">
        <f t="shared" si="123"/>
        <v/>
      </c>
      <c r="CK96" s="2" t="str">
        <f t="shared" si="124"/>
        <v/>
      </c>
      <c r="CL96" s="2" t="str">
        <f t="shared" si="125"/>
        <v/>
      </c>
      <c r="CM96" s="2" t="str">
        <f t="shared" si="126"/>
        <v/>
      </c>
      <c r="CN96" s="2" t="str">
        <f t="shared" si="127"/>
        <v/>
      </c>
      <c r="CO96" s="2" t="str">
        <f t="shared" si="128"/>
        <v/>
      </c>
      <c r="CP96" s="2" t="str">
        <f t="shared" si="129"/>
        <v/>
      </c>
      <c r="CQ96" s="2" t="str">
        <f t="shared" si="130"/>
        <v/>
      </c>
      <c r="CR96" s="2" t="str">
        <f t="shared" si="131"/>
        <v/>
      </c>
      <c r="CS96" s="2" t="str">
        <f t="shared" si="132"/>
        <v/>
      </c>
      <c r="CT96" s="2" t="str">
        <f t="shared" si="133"/>
        <v/>
      </c>
      <c r="CU96" s="2" t="str">
        <f t="shared" si="134"/>
        <v/>
      </c>
      <c r="CV96" s="2" t="str">
        <f t="shared" si="135"/>
        <v/>
      </c>
      <c r="CW96" s="2"/>
      <c r="CX96" s="2"/>
      <c r="CY96" s="2"/>
      <c r="CZ96" s="2"/>
    </row>
    <row r="97" spans="43:104" ht="15" hidden="1" customHeight="1" x14ac:dyDescent="0.2">
      <c r="AQ97" s="13">
        <v>32</v>
      </c>
      <c r="AR97" s="12">
        <v>755000</v>
      </c>
      <c r="AS97" s="12">
        <v>320000</v>
      </c>
      <c r="AT97" s="1"/>
      <c r="AU97" s="1"/>
      <c r="AV97" s="1"/>
      <c r="AW97" s="1"/>
      <c r="AX97" s="2"/>
      <c r="AY97" s="2"/>
      <c r="AZ97" s="1">
        <v>240000</v>
      </c>
      <c r="BA97" s="2"/>
      <c r="BB97" s="2"/>
      <c r="BC97" s="2"/>
      <c r="BD97" s="2"/>
      <c r="BE97" s="2"/>
      <c r="BJ97" s="13"/>
      <c r="BL97" s="13"/>
      <c r="BN97" s="13"/>
      <c r="BO97" s="2"/>
      <c r="BP97" s="13"/>
      <c r="BS97" s="21" t="str">
        <f>IF($J$24="Español","Cañonero",(IF($J$24="Deutsch","Hau wech das Leder",(IF($J$24="Français","Chef","Cannoneer")))))</f>
        <v>Cañonero</v>
      </c>
      <c r="BT97" s="21" t="s">
        <v>170</v>
      </c>
      <c r="BU97" s="81" t="str">
        <f>IF($J$24="Español","Apartar",(IF($J$24="Deutsch","Greifer",(IF($J$24="Français","Blocage multiple","Brawler")))))</f>
        <v>Apartar</v>
      </c>
      <c r="BV97" s="21" t="s">
        <v>169</v>
      </c>
      <c r="BW97" s="21" t="str">
        <f>IF($J$24="Español","Cañonero",(IF($J$24="Deutsch","Hau wech das Leder",(IF($J$24="Français","Chef","Cannoneer")))))</f>
        <v>Cañonero</v>
      </c>
      <c r="BX97" s="21" t="s">
        <v>170</v>
      </c>
      <c r="BY97" s="75" t="str">
        <f>IF($J$24="Español","Apartar",(IF($J$24="Deutsch","Greifer",(IF($J$24="Français","Blocage multiple","Brawler")))))</f>
        <v>Apartar</v>
      </c>
      <c r="BZ97" s="21" t="s">
        <v>169</v>
      </c>
      <c r="CA97" s="21" t="str">
        <f t="shared" si="151"/>
        <v/>
      </c>
      <c r="CB97" s="21" t="str">
        <f t="shared" si="151"/>
        <v/>
      </c>
      <c r="CC97" s="75" t="str">
        <f>IF($J$24="Español","Líder",(IF($J$24="Deutsch","In die Wolken",(IF($J$24="Français","Fumblerooskie","Dump-Off")))))</f>
        <v>Líder</v>
      </c>
      <c r="CD97" s="2" t="s">
        <v>170</v>
      </c>
      <c r="CE97" s="80"/>
      <c r="CG97" s="2" t="str">
        <f t="shared" si="120"/>
        <v/>
      </c>
      <c r="CH97" s="2" t="str">
        <f t="shared" si="121"/>
        <v/>
      </c>
      <c r="CI97" s="2" t="str">
        <f t="shared" si="122"/>
        <v/>
      </c>
      <c r="CJ97" s="2" t="str">
        <f t="shared" si="123"/>
        <v/>
      </c>
      <c r="CK97" s="2" t="str">
        <f t="shared" si="124"/>
        <v/>
      </c>
      <c r="CL97" s="2" t="str">
        <f t="shared" si="125"/>
        <v/>
      </c>
      <c r="CM97" s="2" t="str">
        <f t="shared" si="126"/>
        <v/>
      </c>
      <c r="CN97" s="2" t="str">
        <f t="shared" si="127"/>
        <v/>
      </c>
      <c r="CO97" s="2" t="str">
        <f t="shared" si="128"/>
        <v/>
      </c>
      <c r="CP97" s="2" t="str">
        <f t="shared" si="129"/>
        <v/>
      </c>
      <c r="CQ97" s="2" t="str">
        <f t="shared" si="130"/>
        <v/>
      </c>
      <c r="CR97" s="2" t="str">
        <f t="shared" si="131"/>
        <v/>
      </c>
      <c r="CS97" s="2" t="str">
        <f t="shared" si="132"/>
        <v/>
      </c>
      <c r="CT97" s="2" t="str">
        <f t="shared" si="133"/>
        <v/>
      </c>
      <c r="CU97" s="2" t="str">
        <f t="shared" si="134"/>
        <v/>
      </c>
      <c r="CV97" s="2" t="str">
        <f t="shared" si="135"/>
        <v/>
      </c>
      <c r="CW97" s="2"/>
      <c r="CX97" s="2"/>
      <c r="CY97" s="2"/>
      <c r="CZ97" s="2"/>
    </row>
    <row r="98" spans="43:104" ht="15" hidden="1" customHeight="1" x14ac:dyDescent="0.2">
      <c r="AQ98" s="13">
        <v>33</v>
      </c>
      <c r="AR98" s="12">
        <v>760000</v>
      </c>
      <c r="AS98" s="12">
        <v>330000</v>
      </c>
      <c r="AT98" s="1"/>
      <c r="AU98" s="1"/>
      <c r="AV98" s="1"/>
      <c r="AW98" s="1"/>
      <c r="AX98" s="2"/>
      <c r="AY98" s="2"/>
      <c r="AZ98" s="1">
        <v>250000</v>
      </c>
      <c r="BA98" s="2"/>
      <c r="BB98" s="2"/>
      <c r="BC98" s="2"/>
      <c r="BD98" s="2"/>
      <c r="BE98" s="2"/>
      <c r="BJ98" s="13"/>
      <c r="BL98" s="13"/>
      <c r="BN98" s="13"/>
      <c r="BO98" s="2"/>
      <c r="BP98" s="13"/>
      <c r="BS98" s="81" t="str">
        <f>IF($J$24="Español","Dejada",(IF($J$24="Deutsch","Im Laufen passen",(IF($J$24="Français","Délestage","Cloud Burster")))))</f>
        <v>Dejada</v>
      </c>
      <c r="BT98" s="21" t="s">
        <v>170</v>
      </c>
      <c r="BU98" s="81" t="str">
        <f>IF($J$24="Español","Brazo Fuerte",(IF($J$24="Deutsch","Knochenbrecher (+1)",(IF($J$24="Français","Bras musclé","Break Tackle")))))</f>
        <v>Brazo Fuerte</v>
      </c>
      <c r="BV98" s="21" t="s">
        <v>169</v>
      </c>
      <c r="BW98" s="81" t="str">
        <f>IF($J$24="Español","Dejada",(IF($J$24="Deutsch","Im Laufen passen",(IF($J$24="Français","Délestage","Cloud Burster")))))</f>
        <v>Dejada</v>
      </c>
      <c r="BX98" s="21" t="s">
        <v>170</v>
      </c>
      <c r="BY98" s="75" t="str">
        <f>IF($J$24="Español","Brazo Fuerte",(IF($J$24="Deutsch","Knochenbrecher (+1)",(IF($J$24="Français","Bras musclé","Break Tackle")))))</f>
        <v>Brazo Fuerte</v>
      </c>
      <c r="BZ98" s="21" t="s">
        <v>169</v>
      </c>
      <c r="CA98" s="21" t="str">
        <f t="shared" si="151"/>
        <v/>
      </c>
      <c r="CB98" s="21" t="str">
        <f t="shared" si="151"/>
        <v/>
      </c>
      <c r="CC98" s="75" t="str">
        <f>IF($J$24="Español","Nervios de Acero",(IF($J$24="Deutsch","Immer am Ball",(IF($J$24="Français","Nerfs d’acier","Fumblerooskie")))))</f>
        <v>Nervios de Acero</v>
      </c>
      <c r="CD98" s="2" t="s">
        <v>170</v>
      </c>
      <c r="CE98" s="80"/>
      <c r="CF98" s="2"/>
      <c r="CG98" s="2" t="str">
        <f t="shared" si="120"/>
        <v/>
      </c>
      <c r="CH98" s="2" t="str">
        <f t="shared" si="121"/>
        <v/>
      </c>
      <c r="CI98" s="2" t="str">
        <f t="shared" si="122"/>
        <v/>
      </c>
      <c r="CJ98" s="2" t="str">
        <f t="shared" si="123"/>
        <v/>
      </c>
      <c r="CK98" s="2" t="str">
        <f t="shared" si="124"/>
        <v/>
      </c>
      <c r="CL98" s="2" t="str">
        <f t="shared" si="125"/>
        <v/>
      </c>
      <c r="CM98" s="2" t="str">
        <f t="shared" si="126"/>
        <v/>
      </c>
      <c r="CN98" s="2" t="str">
        <f t="shared" si="127"/>
        <v/>
      </c>
      <c r="CO98" s="2" t="str">
        <f t="shared" si="128"/>
        <v/>
      </c>
      <c r="CP98" s="2" t="str">
        <f t="shared" si="129"/>
        <v/>
      </c>
      <c r="CQ98" s="2" t="str">
        <f t="shared" si="130"/>
        <v/>
      </c>
      <c r="CR98" s="2" t="str">
        <f t="shared" si="131"/>
        <v/>
      </c>
      <c r="CS98" s="2" t="str">
        <f t="shared" si="132"/>
        <v/>
      </c>
      <c r="CT98" s="2" t="str">
        <f t="shared" si="133"/>
        <v/>
      </c>
      <c r="CU98" s="2" t="str">
        <f t="shared" si="134"/>
        <v/>
      </c>
      <c r="CV98" s="2" t="str">
        <f t="shared" si="135"/>
        <v/>
      </c>
      <c r="CW98" s="2"/>
      <c r="CX98" s="2"/>
      <c r="CY98" s="2"/>
      <c r="CZ98" s="2"/>
    </row>
    <row r="99" spans="43:104" ht="15" hidden="1" customHeight="1" x14ac:dyDescent="0.2">
      <c r="AQ99" s="12">
        <v>34</v>
      </c>
      <c r="AR99" s="12">
        <v>765000</v>
      </c>
      <c r="AS99" s="12">
        <v>340000</v>
      </c>
      <c r="AT99" s="1"/>
      <c r="AU99" s="1"/>
      <c r="AV99" s="1"/>
      <c r="AW99" s="1"/>
      <c r="AX99" s="2"/>
      <c r="AY99" s="2"/>
      <c r="AZ99" s="1">
        <v>260000</v>
      </c>
      <c r="BA99" s="2"/>
      <c r="BB99" s="2"/>
      <c r="BC99" s="2"/>
      <c r="BD99" s="2"/>
      <c r="BE99" s="2"/>
      <c r="BJ99" s="13"/>
      <c r="BL99" s="13"/>
      <c r="BN99" s="13"/>
      <c r="BO99" s="2"/>
      <c r="BP99" s="13"/>
      <c r="BS99" s="81" t="str">
        <f>IF($J$24="Español","Líder",(IF($J$24="Deutsch","In die Wolken",(IF($J$24="Français","Fumblerooskie","Dump-Off")))))</f>
        <v>Líder</v>
      </c>
      <c r="BT99" s="21" t="s">
        <v>170</v>
      </c>
      <c r="BU99" s="81" t="str">
        <f>IF($J$24="Español","Cabeza Dura",(IF($J$24="Deutsch","Mehrfachblock",(IF($J$24="Français","Châtaigne (+1)","Grab")))))</f>
        <v>Cabeza Dura</v>
      </c>
      <c r="BV99" s="21" t="s">
        <v>169</v>
      </c>
      <c r="BW99" s="81" t="str">
        <f>IF($J$24="Español","Líder",(IF($J$24="Deutsch","In die Wolken",(IF($J$24="Français","Fumblerooskie","Dump-Off")))))</f>
        <v>Líder</v>
      </c>
      <c r="BX99" s="21" t="s">
        <v>170</v>
      </c>
      <c r="BY99" s="75" t="str">
        <f>IF($J$24="Español","Cabeza Dura",(IF($J$24="Deutsch","Mehrfachblock",(IF($J$24="Français","Châtaigne (+1)","Grab")))))</f>
        <v>Cabeza Dura</v>
      </c>
      <c r="BZ99" s="21" t="s">
        <v>169</v>
      </c>
      <c r="CA99" s="21" t="str">
        <f t="shared" si="151"/>
        <v/>
      </c>
      <c r="CB99" s="21" t="str">
        <f t="shared" si="151"/>
        <v/>
      </c>
      <c r="CC99" s="75" t="str">
        <f>IF($J$24="Español","Partenubes",(IF($J$24="Deutsch","Kanonier",(IF($J$24="Français","Passe","Hail Mary Pass")))))</f>
        <v>Partenubes</v>
      </c>
      <c r="CD99" s="2" t="s">
        <v>170</v>
      </c>
      <c r="CE99" s="80"/>
      <c r="CF99" s="2"/>
      <c r="CG99" s="2" t="str">
        <f t="shared" si="120"/>
        <v/>
      </c>
      <c r="CH99" s="2" t="str">
        <f t="shared" si="121"/>
        <v/>
      </c>
      <c r="CI99" s="2" t="str">
        <f t="shared" si="122"/>
        <v/>
      </c>
      <c r="CJ99" s="2" t="str">
        <f t="shared" si="123"/>
        <v/>
      </c>
      <c r="CK99" s="2" t="str">
        <f t="shared" si="124"/>
        <v/>
      </c>
      <c r="CL99" s="2" t="str">
        <f t="shared" si="125"/>
        <v/>
      </c>
      <c r="CM99" s="2" t="str">
        <f t="shared" si="126"/>
        <v/>
      </c>
      <c r="CN99" s="2" t="str">
        <f t="shared" si="127"/>
        <v/>
      </c>
      <c r="CO99" s="2" t="str">
        <f t="shared" si="128"/>
        <v/>
      </c>
      <c r="CP99" s="2" t="str">
        <f t="shared" si="129"/>
        <v/>
      </c>
      <c r="CQ99" s="2" t="str">
        <f t="shared" si="130"/>
        <v/>
      </c>
      <c r="CR99" s="2" t="str">
        <f t="shared" si="131"/>
        <v/>
      </c>
      <c r="CS99" s="2" t="str">
        <f t="shared" si="132"/>
        <v/>
      </c>
      <c r="CT99" s="2" t="str">
        <f t="shared" si="133"/>
        <v/>
      </c>
      <c r="CU99" s="2" t="str">
        <f t="shared" si="134"/>
        <v/>
      </c>
      <c r="CV99" s="2" t="str">
        <f t="shared" si="135"/>
        <v/>
      </c>
      <c r="CW99" s="2"/>
      <c r="CX99" s="2"/>
      <c r="CY99" s="2"/>
      <c r="CZ99" s="2"/>
    </row>
    <row r="100" spans="43:104" ht="15" hidden="1" customHeight="1" x14ac:dyDescent="0.2">
      <c r="AQ100" s="13">
        <v>35</v>
      </c>
      <c r="AR100" s="12">
        <v>770000</v>
      </c>
      <c r="AS100" s="12">
        <v>350000</v>
      </c>
      <c r="AT100" s="1"/>
      <c r="AU100" s="1"/>
      <c r="AV100" s="1"/>
      <c r="AW100" s="1"/>
      <c r="AX100" s="2"/>
      <c r="AY100" s="2"/>
      <c r="AZ100" s="1">
        <v>270000</v>
      </c>
      <c r="BA100" s="2"/>
      <c r="BB100" s="2"/>
      <c r="BC100" s="2"/>
      <c r="BD100" s="2"/>
      <c r="BE100" s="2"/>
      <c r="BJ100" s="13"/>
      <c r="BL100" s="13"/>
      <c r="BN100" s="13"/>
      <c r="BO100" s="2"/>
      <c r="BP100" s="13"/>
      <c r="BS100" s="81" t="str">
        <f>IF($J$24="Español","Nervios de Acero",(IF($J$24="Deutsch","Immer am Ball",(IF($J$24="Français","Nerfs d’acier","Fumblerooskie")))))</f>
        <v>Nervios de Acero</v>
      </c>
      <c r="BT100" s="21" t="s">
        <v>170</v>
      </c>
      <c r="BU100" s="81" t="str">
        <f>IF($J$24="Español","Crujir",(IF($J$24="Deutsch","Ramme",(IF($J$24="Français","Clé de bras","Guard")))))</f>
        <v>Crujir</v>
      </c>
      <c r="BV100" s="21" t="s">
        <v>169</v>
      </c>
      <c r="BW100" s="81" t="str">
        <f>IF($J$24="Español","Nervios de Acero",(IF($J$24="Deutsch","Immer am Ball",(IF($J$24="Français","Nerfs d’acier","Fumblerooskie")))))</f>
        <v>Nervios de Acero</v>
      </c>
      <c r="BX100" s="21" t="s">
        <v>170</v>
      </c>
      <c r="BY100" s="75" t="str">
        <f>IF($J$24="Español","Crujir",(IF($J$24="Deutsch","Ramme",(IF($J$24="Français","Clé de bras","Guard")))))</f>
        <v>Crujir</v>
      </c>
      <c r="BZ100" s="21" t="s">
        <v>169</v>
      </c>
      <c r="CA100" s="21" t="str">
        <f t="shared" si="151"/>
        <v/>
      </c>
      <c r="CB100" s="21" t="str">
        <f t="shared" si="151"/>
        <v/>
      </c>
      <c r="CC100" s="75" t="str">
        <f>IF($J$24="Español","Pasar",(IF($J$24="Deutsch","Nerven aus Stahl",(IF($J$24="Français","Passe assurée","Leader")))))</f>
        <v>Pasar</v>
      </c>
      <c r="CD100" s="2" t="s">
        <v>170</v>
      </c>
      <c r="CE100" s="80"/>
      <c r="CF100" s="2"/>
      <c r="CG100" s="2" t="str">
        <f t="shared" si="120"/>
        <v/>
      </c>
      <c r="CH100" s="2" t="str">
        <f t="shared" si="121"/>
        <v/>
      </c>
      <c r="CI100" s="2" t="str">
        <f t="shared" si="122"/>
        <v/>
      </c>
      <c r="CJ100" s="2" t="str">
        <f t="shared" si="123"/>
        <v/>
      </c>
      <c r="CK100" s="2" t="str">
        <f t="shared" si="124"/>
        <v/>
      </c>
      <c r="CL100" s="2" t="str">
        <f t="shared" si="125"/>
        <v/>
      </c>
      <c r="CM100" s="2" t="str">
        <f t="shared" si="126"/>
        <v/>
      </c>
      <c r="CN100" s="2" t="str">
        <f t="shared" si="127"/>
        <v/>
      </c>
      <c r="CO100" s="2" t="str">
        <f t="shared" si="128"/>
        <v/>
      </c>
      <c r="CP100" s="2" t="str">
        <f t="shared" si="129"/>
        <v/>
      </c>
      <c r="CQ100" s="2" t="str">
        <f t="shared" si="130"/>
        <v/>
      </c>
      <c r="CR100" s="2" t="str">
        <f t="shared" si="131"/>
        <v/>
      </c>
      <c r="CS100" s="2" t="str">
        <f t="shared" si="132"/>
        <v/>
      </c>
      <c r="CT100" s="2" t="str">
        <f t="shared" si="133"/>
        <v/>
      </c>
      <c r="CU100" s="2" t="str">
        <f t="shared" si="134"/>
        <v/>
      </c>
      <c r="CV100" s="2" t="str">
        <f t="shared" si="135"/>
        <v/>
      </c>
      <c r="CW100" s="2"/>
      <c r="CX100" s="2"/>
      <c r="CY100" s="2"/>
      <c r="CZ100" s="2"/>
    </row>
    <row r="101" spans="43:104" ht="15" hidden="1" customHeight="1" x14ac:dyDescent="0.2">
      <c r="AQ101" s="13">
        <v>36</v>
      </c>
      <c r="AR101" s="12">
        <v>775000</v>
      </c>
      <c r="AS101" s="12">
        <v>360000</v>
      </c>
      <c r="AT101" s="1"/>
      <c r="AU101" s="1"/>
      <c r="AV101" s="1"/>
      <c r="AW101" s="1"/>
      <c r="AX101" s="2"/>
      <c r="AY101" s="2"/>
      <c r="AZ101" s="1">
        <v>280000</v>
      </c>
      <c r="BA101" s="2"/>
      <c r="BB101" s="2"/>
      <c r="BC101" s="2"/>
      <c r="BD101" s="2"/>
      <c r="BE101" s="2"/>
      <c r="BJ101" s="13"/>
      <c r="BL101" s="13"/>
      <c r="BN101" s="13"/>
      <c r="BO101" s="2"/>
      <c r="BP101" s="13"/>
      <c r="BS101" s="81" t="str">
        <f>IF($J$24="Español","Partenubes",(IF($J$24="Deutsch","Kanonier",(IF($J$24="Français","Passe","Hail Mary Pass")))))</f>
        <v>Partenubes</v>
      </c>
      <c r="BT101" s="21" t="s">
        <v>170</v>
      </c>
      <c r="BU101" s="21" t="str">
        <f>IF($J$24="Español","Defensa",(IF($J$24="Deutsch","Raufbold",(IF($J$24="Français","Crâne épais","Juggernaut")))))</f>
        <v>Defensa</v>
      </c>
      <c r="BV101" s="21" t="s">
        <v>169</v>
      </c>
      <c r="BW101" s="81" t="str">
        <f>IF($J$24="Español","Partenubes",(IF($J$24="Deutsch","Kanonier",(IF($J$24="Français","Passe","Hail Mary Pass")))))</f>
        <v>Partenubes</v>
      </c>
      <c r="BX101" s="21" t="s">
        <v>170</v>
      </c>
      <c r="BY101" s="21" t="str">
        <f>IF($J$24="Español","Defensa",(IF($J$24="Deutsch","Raufbold",(IF($J$24="Français","Crâne épais","Juggernaut")))))</f>
        <v>Defensa</v>
      </c>
      <c r="BZ101" s="21" t="s">
        <v>169</v>
      </c>
      <c r="CA101" s="21" t="str">
        <f t="shared" si="151"/>
        <v/>
      </c>
      <c r="CB101" s="21" t="str">
        <f t="shared" si="151"/>
        <v/>
      </c>
      <c r="CC101" s="75" t="str">
        <f>IF($J$24="Español","Pase a la Carrera",(IF($J$24="Deutsch","Scheinpatzer",(IF($J$24="Français","Passe dans la course","Nerves of Steel")))))</f>
        <v>Pase a la Carrera</v>
      </c>
      <c r="CD101" s="2" t="s">
        <v>170</v>
      </c>
      <c r="CE101" s="80"/>
      <c r="CF101" s="2"/>
      <c r="CG101" s="2" t="str">
        <f t="shared" si="120"/>
        <v/>
      </c>
      <c r="CH101" s="2" t="str">
        <f t="shared" si="121"/>
        <v/>
      </c>
      <c r="CI101" s="2" t="str">
        <f t="shared" si="122"/>
        <v/>
      </c>
      <c r="CJ101" s="2" t="str">
        <f t="shared" si="123"/>
        <v/>
      </c>
      <c r="CK101" s="2" t="str">
        <f t="shared" si="124"/>
        <v/>
      </c>
      <c r="CL101" s="2" t="str">
        <f t="shared" si="125"/>
        <v/>
      </c>
      <c r="CM101" s="2" t="str">
        <f t="shared" si="126"/>
        <v/>
      </c>
      <c r="CN101" s="2" t="str">
        <f t="shared" si="127"/>
        <v/>
      </c>
      <c r="CO101" s="2" t="str">
        <f t="shared" si="128"/>
        <v/>
      </c>
      <c r="CP101" s="2" t="str">
        <f t="shared" si="129"/>
        <v/>
      </c>
      <c r="CQ101" s="2" t="str">
        <f t="shared" si="130"/>
        <v/>
      </c>
      <c r="CR101" s="2" t="str">
        <f t="shared" si="131"/>
        <v/>
      </c>
      <c r="CS101" s="2" t="str">
        <f t="shared" si="132"/>
        <v/>
      </c>
      <c r="CT101" s="2" t="str">
        <f t="shared" si="133"/>
        <v/>
      </c>
      <c r="CU101" s="2" t="str">
        <f t="shared" si="134"/>
        <v/>
      </c>
      <c r="CV101" s="2" t="str">
        <f t="shared" si="135"/>
        <v/>
      </c>
      <c r="CW101" s="2"/>
      <c r="CX101" s="2"/>
      <c r="CY101" s="2"/>
      <c r="CZ101" s="2"/>
    </row>
    <row r="102" spans="43:104" ht="15" hidden="1" customHeight="1" x14ac:dyDescent="0.2">
      <c r="AQ102" s="12">
        <v>37</v>
      </c>
      <c r="AR102" s="12">
        <v>780000</v>
      </c>
      <c r="AS102" s="12">
        <v>370000</v>
      </c>
      <c r="AT102" s="1"/>
      <c r="AU102" s="1"/>
      <c r="AV102" s="1"/>
      <c r="AW102" s="1"/>
      <c r="AX102" s="2"/>
      <c r="AY102" s="71"/>
      <c r="AZ102" s="1">
        <v>290000</v>
      </c>
      <c r="BA102" s="71"/>
      <c r="BB102" s="71"/>
      <c r="BC102" s="2"/>
      <c r="BD102" s="71"/>
      <c r="BE102" s="2"/>
      <c r="BH102" s="5"/>
      <c r="BI102" s="5"/>
      <c r="BJ102" s="13"/>
      <c r="BL102" s="13"/>
      <c r="BN102" s="13"/>
      <c r="BO102" s="2"/>
      <c r="BP102" s="13"/>
      <c r="BS102" s="81" t="str">
        <f>IF($J$24="Español","Pasar",(IF($J$24="Deutsch","Nerven aus Stahl",(IF($J$24="Français","Passe assurée","Leader")))))</f>
        <v>Pasar</v>
      </c>
      <c r="BT102" s="21" t="s">
        <v>170</v>
      </c>
      <c r="BU102" s="21" t="str">
        <f>IF($J$24="Español","Golpe Mortífero (+1)",(IF($J$24="Deutsch","Schweres Gerät",(IF($J$24="Français","Esquive en force","Mighty Blow (+1)")))))</f>
        <v>Golpe Mortífero (+1)</v>
      </c>
      <c r="BV102" s="21" t="s">
        <v>169</v>
      </c>
      <c r="BW102" s="81" t="str">
        <f>IF($J$24="Español","Pasar",(IF($J$24="Deutsch","Nerven aus Stahl",(IF($J$24="Français","Passe assurée","Leader")))))</f>
        <v>Pasar</v>
      </c>
      <c r="BX102" s="21" t="s">
        <v>170</v>
      </c>
      <c r="BY102" s="21" t="str">
        <f>IF($J$24="Español","Golpe Mortífero (+1)",(IF($J$24="Deutsch","Schweres Gerät",(IF($J$24="Français","Esquive en force","Mighty Blow (+1)")))))</f>
        <v>Golpe Mortífero (+1)</v>
      </c>
      <c r="BZ102" s="21" t="s">
        <v>169</v>
      </c>
      <c r="CA102" s="21" t="str">
        <f t="shared" si="151"/>
        <v/>
      </c>
      <c r="CB102" s="21" t="str">
        <f t="shared" si="151"/>
        <v/>
      </c>
      <c r="CC102" s="75" t="str">
        <f>IF($J$24="Español","Pase a lo Loco",(IF($J$24="Deutsch","Sicherer Pass",(IF($J$24="Français","Passe désespérée","On the Ball")))))</f>
        <v>Pase a lo Loco</v>
      </c>
      <c r="CD102" s="2" t="s">
        <v>170</v>
      </c>
      <c r="CE102" s="80"/>
      <c r="CF102" s="2"/>
      <c r="CG102" s="2" t="str">
        <f t="shared" si="120"/>
        <v/>
      </c>
      <c r="CH102" s="2" t="str">
        <f t="shared" si="121"/>
        <v/>
      </c>
      <c r="CI102" s="2" t="str">
        <f t="shared" si="122"/>
        <v/>
      </c>
      <c r="CJ102" s="2" t="str">
        <f t="shared" si="123"/>
        <v/>
      </c>
      <c r="CK102" s="2" t="str">
        <f t="shared" si="124"/>
        <v/>
      </c>
      <c r="CL102" s="2" t="str">
        <f t="shared" si="125"/>
        <v/>
      </c>
      <c r="CM102" s="2" t="str">
        <f t="shared" si="126"/>
        <v/>
      </c>
      <c r="CN102" s="2" t="str">
        <f t="shared" si="127"/>
        <v/>
      </c>
      <c r="CO102" s="2" t="str">
        <f t="shared" si="128"/>
        <v/>
      </c>
      <c r="CP102" s="2" t="str">
        <f t="shared" si="129"/>
        <v/>
      </c>
      <c r="CQ102" s="2" t="str">
        <f t="shared" si="130"/>
        <v/>
      </c>
      <c r="CR102" s="2" t="str">
        <f t="shared" si="131"/>
        <v/>
      </c>
      <c r="CS102" s="2" t="str">
        <f t="shared" si="132"/>
        <v/>
      </c>
      <c r="CT102" s="2" t="str">
        <f t="shared" si="133"/>
        <v/>
      </c>
      <c r="CU102" s="2" t="str">
        <f t="shared" si="134"/>
        <v/>
      </c>
      <c r="CV102" s="2" t="str">
        <f t="shared" si="135"/>
        <v/>
      </c>
      <c r="CW102" s="2"/>
      <c r="CX102" s="2"/>
      <c r="CY102" s="2"/>
      <c r="CZ102" s="2"/>
    </row>
    <row r="103" spans="43:104" ht="15" hidden="1" customHeight="1" x14ac:dyDescent="0.2">
      <c r="AQ103" s="13">
        <v>38</v>
      </c>
      <c r="AR103" s="12">
        <v>785000</v>
      </c>
      <c r="AS103" s="12">
        <v>380000</v>
      </c>
      <c r="AT103" s="1"/>
      <c r="AU103" s="1"/>
      <c r="AV103" s="1"/>
      <c r="AW103" s="1"/>
      <c r="AX103" s="2"/>
      <c r="AY103" s="73"/>
      <c r="AZ103" s="1">
        <v>300000</v>
      </c>
      <c r="BA103" s="73"/>
      <c r="BB103" s="73"/>
      <c r="BC103" s="2"/>
      <c r="BD103" s="73"/>
      <c r="BE103" s="2"/>
      <c r="BG103" s="2"/>
      <c r="BH103" s="2"/>
      <c r="BI103" s="2"/>
      <c r="BJ103" s="13"/>
      <c r="BL103" s="13"/>
      <c r="BN103" s="13"/>
      <c r="BO103" s="2"/>
      <c r="BP103" s="13"/>
      <c r="BS103" s="81" t="str">
        <f>IF($J$24="Español","Pase a la Carrera",(IF($J$24="Deutsch","Scheinpatzer",(IF($J$24="Français","Passe dans la course","Nerves of Steel")))))</f>
        <v>Pase a la Carrera</v>
      </c>
      <c r="BT103" s="21" t="s">
        <v>170</v>
      </c>
      <c r="BU103" s="21" t="str">
        <f>IF($J$24="Español","Imparable",(IF($J$24="Deutsch","Standfest",(IF($J$24="Français","Garde","Multiple Blocks")))))</f>
        <v>Imparable</v>
      </c>
      <c r="BV103" s="21" t="s">
        <v>169</v>
      </c>
      <c r="BW103" s="81" t="str">
        <f>IF($J$24="Español","Pase a la Carrera",(IF($J$24="Deutsch","Scheinpatzer",(IF($J$24="Français","Passe dans la course","Nerves of Steel")))))</f>
        <v>Pase a la Carrera</v>
      </c>
      <c r="BX103" s="21" t="s">
        <v>170</v>
      </c>
      <c r="BY103" s="21" t="str">
        <f>IF($J$24="Español","Imparable",(IF($J$24="Deutsch","Standfest",(IF($J$24="Français","Garde","Multiple Blocks")))))</f>
        <v>Imparable</v>
      </c>
      <c r="BZ103" s="21" t="s">
        <v>169</v>
      </c>
      <c r="CA103" s="21" t="str">
        <f t="shared" si="151"/>
        <v/>
      </c>
      <c r="CB103" s="21" t="str">
        <f t="shared" si="151"/>
        <v/>
      </c>
      <c r="CC103" s="75" t="str">
        <f>IF($J$24="Español","Pase Precipitado",(IF($J$24="Deutsch","Teamkapitän",(IF($J$24="Français","Perce-nuage","Pass")))))</f>
        <v>Pase Precipitado</v>
      </c>
      <c r="CD103" s="2" t="s">
        <v>170</v>
      </c>
      <c r="CE103" s="80"/>
      <c r="CF103" s="2"/>
      <c r="CG103" s="2" t="str">
        <f t="shared" si="120"/>
        <v/>
      </c>
      <c r="CH103" s="2" t="str">
        <f t="shared" si="121"/>
        <v/>
      </c>
      <c r="CI103" s="2" t="str">
        <f t="shared" si="122"/>
        <v/>
      </c>
      <c r="CJ103" s="2" t="str">
        <f t="shared" si="123"/>
        <v/>
      </c>
      <c r="CK103" s="2" t="str">
        <f t="shared" si="124"/>
        <v/>
      </c>
      <c r="CL103" s="2" t="str">
        <f t="shared" si="125"/>
        <v/>
      </c>
      <c r="CM103" s="2" t="str">
        <f t="shared" si="126"/>
        <v/>
      </c>
      <c r="CN103" s="2" t="str">
        <f t="shared" si="127"/>
        <v/>
      </c>
      <c r="CO103" s="2" t="str">
        <f t="shared" si="128"/>
        <v/>
      </c>
      <c r="CP103" s="2" t="str">
        <f t="shared" si="129"/>
        <v/>
      </c>
      <c r="CQ103" s="2" t="str">
        <f t="shared" si="130"/>
        <v/>
      </c>
      <c r="CR103" s="2" t="str">
        <f t="shared" si="131"/>
        <v/>
      </c>
      <c r="CS103" s="2" t="str">
        <f t="shared" si="132"/>
        <v/>
      </c>
      <c r="CT103" s="2" t="str">
        <f t="shared" si="133"/>
        <v/>
      </c>
      <c r="CU103" s="2" t="str">
        <f t="shared" si="134"/>
        <v/>
      </c>
      <c r="CV103" s="2" t="str">
        <f t="shared" si="135"/>
        <v/>
      </c>
      <c r="CW103" s="2"/>
      <c r="CX103" s="2"/>
      <c r="CY103" s="2"/>
      <c r="CZ103" s="2"/>
    </row>
    <row r="104" spans="43:104" ht="15" hidden="1" customHeight="1" x14ac:dyDescent="0.2">
      <c r="AQ104" s="13">
        <v>39</v>
      </c>
      <c r="AR104" s="12">
        <v>790000</v>
      </c>
      <c r="AS104" s="12">
        <v>390000</v>
      </c>
      <c r="AT104" s="1"/>
      <c r="AU104" s="1"/>
      <c r="AV104" s="1"/>
      <c r="AW104" s="1"/>
      <c r="AX104" s="2"/>
      <c r="AY104" s="73"/>
      <c r="AZ104" s="1">
        <v>310000</v>
      </c>
      <c r="BA104" s="73"/>
      <c r="BB104" s="73"/>
      <c r="BC104" s="2"/>
      <c r="BD104" s="73"/>
      <c r="BE104" s="2"/>
      <c r="BG104" s="2"/>
      <c r="BI104" s="5"/>
      <c r="BJ104" s="13"/>
      <c r="BL104" s="13"/>
      <c r="BN104" s="13"/>
      <c r="BO104" s="2"/>
      <c r="BP104" s="13"/>
      <c r="BS104" s="81" t="str">
        <f>IF($J$24="Español","Pase a lo Loco",(IF($J$24="Deutsch","Sicherer Pass",(IF($J$24="Français","Passe désespérée","On the Ball")))))</f>
        <v>Pase a lo Loco</v>
      </c>
      <c r="BT104" s="21" t="s">
        <v>170</v>
      </c>
      <c r="BU104" s="21" t="str">
        <f>IF($J$24="Español","Llave de Brazo",(IF($J$24="Deutsch","Starker Wurfarm",(IF($J$24="Français","Juggernaut","Pile Diver")))))</f>
        <v>Llave de Brazo</v>
      </c>
      <c r="BV104" s="21" t="s">
        <v>169</v>
      </c>
      <c r="BW104" s="81" t="str">
        <f>IF($J$24="Español","Pase a lo Loco",(IF($J$24="Deutsch","Sicherer Pass",(IF($J$24="Français","Passe désespérée","On the Ball")))))</f>
        <v>Pase a lo Loco</v>
      </c>
      <c r="BX104" s="21" t="s">
        <v>170</v>
      </c>
      <c r="BY104" s="21" t="str">
        <f>IF($J$24="Español","Llave de Brazo",(IF($J$24="Deutsch","Starker Wurfarm",(IF($J$24="Français","Juggernaut","Pile Diver")))))</f>
        <v>Llave de Brazo</v>
      </c>
      <c r="BZ104" s="21" t="s">
        <v>169</v>
      </c>
      <c r="CA104" s="21" t="str">
        <f t="shared" si="151"/>
        <v/>
      </c>
      <c r="CB104" s="21" t="str">
        <f t="shared" si="151"/>
        <v/>
      </c>
      <c r="CC104" s="75" t="str">
        <f>IF($J$24="Español","Pase Seguro",(IF($J$24="Deutsch","Wurfsicher",(IF($J$24="Français","Précision","Running Pass")))))</f>
        <v>Pase Seguro</v>
      </c>
      <c r="CD104" s="2" t="s">
        <v>170</v>
      </c>
      <c r="CE104" s="80"/>
      <c r="CF104" s="2"/>
      <c r="CG104" s="2" t="str">
        <f t="shared" si="120"/>
        <v/>
      </c>
      <c r="CH104" s="2" t="str">
        <f t="shared" si="121"/>
        <v/>
      </c>
      <c r="CI104" s="2" t="str">
        <f t="shared" si="122"/>
        <v/>
      </c>
      <c r="CJ104" s="2" t="str">
        <f t="shared" si="123"/>
        <v/>
      </c>
      <c r="CK104" s="2" t="str">
        <f t="shared" si="124"/>
        <v/>
      </c>
      <c r="CL104" s="2" t="str">
        <f t="shared" si="125"/>
        <v/>
      </c>
      <c r="CM104" s="2" t="str">
        <f t="shared" si="126"/>
        <v/>
      </c>
      <c r="CN104" s="2" t="str">
        <f t="shared" si="127"/>
        <v/>
      </c>
      <c r="CO104" s="2" t="str">
        <f t="shared" si="128"/>
        <v/>
      </c>
      <c r="CP104" s="2" t="str">
        <f t="shared" si="129"/>
        <v/>
      </c>
      <c r="CQ104" s="2" t="str">
        <f t="shared" si="130"/>
        <v/>
      </c>
      <c r="CR104" s="2" t="str">
        <f t="shared" si="131"/>
        <v/>
      </c>
      <c r="CS104" s="2" t="str">
        <f t="shared" si="132"/>
        <v/>
      </c>
      <c r="CT104" s="2" t="str">
        <f t="shared" si="133"/>
        <v/>
      </c>
      <c r="CU104" s="2" t="str">
        <f t="shared" si="134"/>
        <v/>
      </c>
      <c r="CV104" s="2" t="str">
        <f t="shared" si="135"/>
        <v/>
      </c>
      <c r="CW104" s="2"/>
      <c r="CX104" s="2"/>
      <c r="CY104" s="2"/>
      <c r="CZ104" s="2"/>
    </row>
    <row r="105" spans="43:104" ht="15" hidden="1" customHeight="1" x14ac:dyDescent="0.2">
      <c r="AQ105" s="12">
        <v>40</v>
      </c>
      <c r="AR105" s="12">
        <v>795000</v>
      </c>
      <c r="AS105" s="12">
        <v>400000</v>
      </c>
      <c r="AT105" s="1"/>
      <c r="AU105" s="1"/>
      <c r="AV105" s="1"/>
      <c r="AW105" s="1"/>
      <c r="AX105" s="2"/>
      <c r="AY105" s="73"/>
      <c r="AZ105" s="1">
        <v>320000</v>
      </c>
      <c r="BA105" s="73"/>
      <c r="BB105" s="73"/>
      <c r="BC105" s="2"/>
      <c r="BD105" s="73"/>
      <c r="BE105" s="2"/>
      <c r="BF105" s="2"/>
      <c r="BG105" s="2"/>
      <c r="BI105" s="2"/>
      <c r="BJ105" s="13"/>
      <c r="BL105" s="13"/>
      <c r="BN105" s="13"/>
      <c r="BO105" s="2"/>
      <c r="BP105" s="13"/>
      <c r="BS105" s="81" t="str">
        <f>IF($J$24="Español","Pase Precipitado",(IF($J$24="Deutsch","Teamkapitän",(IF($J$24="Français","Perce-nuage","Pass")))))</f>
        <v>Pase Precipitado</v>
      </c>
      <c r="BT105" s="21" t="s">
        <v>170</v>
      </c>
      <c r="BU105" s="21" t="str">
        <f>IF($J$24="Español","Luchador",(IF($J$24="Deutsch","Tackle durchbrechen",(IF($J$24="Français","Mateau-pilon","Stand Firm")))))</f>
        <v>Luchador</v>
      </c>
      <c r="BV105" s="21" t="s">
        <v>169</v>
      </c>
      <c r="BW105" s="81" t="str">
        <f>IF($J$24="Español","Pase Precipitado",(IF($J$24="Deutsch","Teamkapitän",(IF($J$24="Français","Perce-nuage","Pass")))))</f>
        <v>Pase Precipitado</v>
      </c>
      <c r="BX105" s="21" t="s">
        <v>170</v>
      </c>
      <c r="BY105" s="21" t="str">
        <f>IF($J$24="Español","Luchador",(IF($J$24="Deutsch","Tackle durchbrechen",(IF($J$24="Français","Mateau-pilon","Stand Firm")))))</f>
        <v>Luchador</v>
      </c>
      <c r="BZ105" s="21" t="s">
        <v>169</v>
      </c>
      <c r="CA105" s="21" t="str">
        <f t="shared" si="151"/>
        <v/>
      </c>
      <c r="CB105" s="21" t="str">
        <f t="shared" si="151"/>
        <v/>
      </c>
      <c r="CC105" s="75" t="str">
        <f>IF($J$24="Español","Precisión",(IF($J$24="Deutsch","Zielsicher",(IF($J$24="Français","Sur le ballon","Safe Pass")))))</f>
        <v>Precisión</v>
      </c>
      <c r="CD105" s="2" t="s">
        <v>170</v>
      </c>
      <c r="CE105" s="80"/>
      <c r="CF105" s="2"/>
      <c r="CG105" s="2" t="str">
        <f t="shared" si="120"/>
        <v/>
      </c>
      <c r="CH105" s="2" t="str">
        <f t="shared" si="121"/>
        <v/>
      </c>
      <c r="CI105" s="2" t="str">
        <f t="shared" si="122"/>
        <v/>
      </c>
      <c r="CJ105" s="2" t="str">
        <f t="shared" si="123"/>
        <v/>
      </c>
      <c r="CK105" s="2" t="str">
        <f t="shared" si="124"/>
        <v/>
      </c>
      <c r="CL105" s="2" t="str">
        <f t="shared" si="125"/>
        <v/>
      </c>
      <c r="CM105" s="2" t="str">
        <f t="shared" si="126"/>
        <v/>
      </c>
      <c r="CN105" s="2" t="str">
        <f t="shared" si="127"/>
        <v/>
      </c>
      <c r="CO105" s="2" t="str">
        <f t="shared" si="128"/>
        <v/>
      </c>
      <c r="CP105" s="2" t="str">
        <f t="shared" si="129"/>
        <v/>
      </c>
      <c r="CQ105" s="2" t="str">
        <f t="shared" si="130"/>
        <v/>
      </c>
      <c r="CR105" s="2" t="str">
        <f t="shared" si="131"/>
        <v/>
      </c>
      <c r="CS105" s="2" t="str">
        <f t="shared" si="132"/>
        <v/>
      </c>
      <c r="CT105" s="2" t="str">
        <f t="shared" si="133"/>
        <v/>
      </c>
      <c r="CU105" s="2" t="str">
        <f t="shared" si="134"/>
        <v/>
      </c>
      <c r="CV105" s="2" t="str">
        <f t="shared" si="135"/>
        <v/>
      </c>
      <c r="CW105" s="2"/>
      <c r="CX105" s="2"/>
      <c r="CY105" s="2"/>
      <c r="CZ105" s="2"/>
    </row>
    <row r="106" spans="43:104" ht="15" hidden="1" customHeight="1" x14ac:dyDescent="0.2">
      <c r="AQ106" s="13">
        <v>41</v>
      </c>
      <c r="AR106" s="12">
        <v>800000</v>
      </c>
      <c r="AS106" s="12">
        <v>410000</v>
      </c>
      <c r="AT106" s="1"/>
      <c r="AU106" s="1"/>
      <c r="AV106" s="1"/>
      <c r="AW106" s="1"/>
      <c r="AX106" s="2"/>
      <c r="AY106" s="73"/>
      <c r="AZ106" s="1">
        <v>330000</v>
      </c>
      <c r="BA106" s="73"/>
      <c r="BB106" s="73"/>
      <c r="BC106" s="2"/>
      <c r="BD106" s="73"/>
      <c r="BE106" s="2"/>
      <c r="BF106" s="2"/>
      <c r="BG106" s="2"/>
      <c r="BJ106" s="13"/>
      <c r="BL106" s="13"/>
      <c r="BN106" s="13"/>
      <c r="BO106" s="2"/>
      <c r="BP106" s="13"/>
      <c r="BS106" s="81" t="str">
        <f>IF($J$24="Español","Pase Seguro",(IF($J$24="Deutsch","Wurfsicher",(IF($J$24="Français","Précision","Running Pass")))))</f>
        <v>Pase Seguro</v>
      </c>
      <c r="BT106" s="21" t="s">
        <v>170</v>
      </c>
      <c r="BU106" s="21" t="str">
        <f>IF($J$24="Español","Mantenerse Firme",(IF($J$24="Deutsch","Robust",(IF($J$24="Français","Projection","Strong Arm")))))</f>
        <v>Mantenerse Firme</v>
      </c>
      <c r="BV106" s="21" t="s">
        <v>169</v>
      </c>
      <c r="BW106" s="81" t="str">
        <f>IF($J$24="Español","Pase Seguro",(IF($J$24="Deutsch","Wurfsicher",(IF($J$24="Français","Précision","Running Pass")))))</f>
        <v>Pase Seguro</v>
      </c>
      <c r="BX106" s="21" t="s">
        <v>170</v>
      </c>
      <c r="BY106" s="21" t="str">
        <f>IF($J$24="Español","Mantenerse Firme",(IF($J$24="Deutsch","Robust",(IF($J$24="Français","Projection","Strong Arm")))))</f>
        <v>Mantenerse Firme</v>
      </c>
      <c r="BZ106" s="21" t="s">
        <v>169</v>
      </c>
      <c r="CA106" s="21" t="str">
        <f t="shared" si="151"/>
        <v/>
      </c>
      <c r="CB106" s="21" t="str">
        <f t="shared" si="151"/>
        <v/>
      </c>
      <c r="CC106" s="75" t="str">
        <f>IF($J$24="Español","Abrirse Paso",(IF($J$24="Deutsch","Armhebel",(IF($J$24="Français","Bagarre","Arm Bar")))))</f>
        <v>Abrirse Paso</v>
      </c>
      <c r="CD106" s="2" t="s">
        <v>169</v>
      </c>
      <c r="CE106" s="80"/>
      <c r="CF106" s="2"/>
      <c r="CG106" s="2" t="str">
        <f t="shared" si="120"/>
        <v/>
      </c>
      <c r="CH106" s="2" t="str">
        <f t="shared" si="121"/>
        <v/>
      </c>
      <c r="CI106" s="2" t="str">
        <f t="shared" si="122"/>
        <v/>
      </c>
      <c r="CJ106" s="2" t="str">
        <f t="shared" si="123"/>
        <v/>
      </c>
      <c r="CK106" s="2" t="str">
        <f t="shared" si="124"/>
        <v/>
      </c>
      <c r="CL106" s="2" t="str">
        <f t="shared" si="125"/>
        <v/>
      </c>
      <c r="CM106" s="2" t="str">
        <f t="shared" si="126"/>
        <v/>
      </c>
      <c r="CN106" s="2" t="str">
        <f t="shared" si="127"/>
        <v/>
      </c>
      <c r="CO106" s="2" t="str">
        <f t="shared" si="128"/>
        <v/>
      </c>
      <c r="CP106" s="2" t="str">
        <f t="shared" si="129"/>
        <v/>
      </c>
      <c r="CQ106" s="2" t="str">
        <f t="shared" si="130"/>
        <v/>
      </c>
      <c r="CR106" s="2" t="str">
        <f t="shared" si="131"/>
        <v/>
      </c>
      <c r="CS106" s="2" t="str">
        <f t="shared" si="132"/>
        <v/>
      </c>
      <c r="CT106" s="2" t="str">
        <f t="shared" si="133"/>
        <v/>
      </c>
      <c r="CU106" s="2" t="str">
        <f t="shared" si="134"/>
        <v/>
      </c>
      <c r="CV106" s="2" t="str">
        <f t="shared" si="135"/>
        <v/>
      </c>
      <c r="CW106" s="2"/>
      <c r="CX106" s="2"/>
      <c r="CY106" s="2"/>
      <c r="CZ106" s="2"/>
    </row>
    <row r="107" spans="43:104" ht="15" hidden="1" customHeight="1" x14ac:dyDescent="0.2">
      <c r="AQ107" s="13">
        <v>42</v>
      </c>
      <c r="AR107" s="12">
        <v>805000</v>
      </c>
      <c r="AS107" s="12">
        <v>420000</v>
      </c>
      <c r="AT107" s="1"/>
      <c r="AU107" s="1"/>
      <c r="AV107" s="1"/>
      <c r="AW107" s="1"/>
      <c r="AX107" s="2"/>
      <c r="AY107" s="73"/>
      <c r="AZ107" s="1">
        <v>340000</v>
      </c>
      <c r="BA107" s="73"/>
      <c r="BB107" s="73"/>
      <c r="BC107" s="2"/>
      <c r="BD107" s="73"/>
      <c r="BE107" s="2"/>
      <c r="BF107" s="2"/>
      <c r="BG107" s="2"/>
      <c r="BJ107" s="13"/>
      <c r="BL107" s="13"/>
      <c r="BN107" s="13"/>
      <c r="BO107" s="2"/>
      <c r="BP107" s="13"/>
      <c r="BS107" s="81" t="str">
        <f>IF($J$24="Español","Precisión",(IF($J$24="Deutsch","Zielsicher",(IF($J$24="Français","Sur le ballon","Safe Pass")))))</f>
        <v>Precisión</v>
      </c>
      <c r="BT107" s="21" t="s">
        <v>170</v>
      </c>
      <c r="BU107" s="21" t="str">
        <f>IF($J$24="Español","Placaje Múltiple",(IF($J$24="Deutsch","Unterstützen",(IF($J$24="Français","Stabilité","Thick Skull")))))</f>
        <v>Placaje Múltiple</v>
      </c>
      <c r="BV107" s="21" t="s">
        <v>169</v>
      </c>
      <c r="BW107" s="81" t="str">
        <f>IF($J$24="Español","Precisión",(IF($J$24="Deutsch","Zielsicher",(IF($J$24="Français","Sur le ballon","Safe Pass")))))</f>
        <v>Precisión</v>
      </c>
      <c r="BX107" s="21" t="s">
        <v>170</v>
      </c>
      <c r="BY107" s="21" t="str">
        <f>IF($J$24="Español","Placaje Múltiple",(IF($J$24="Deutsch","Unterstützen",(IF($J$24="Français","Stabilité","Thick Skull")))))</f>
        <v>Placaje Múltiple</v>
      </c>
      <c r="BZ107" s="21" t="s">
        <v>169</v>
      </c>
      <c r="CA107" s="21" t="str">
        <f t="shared" si="151"/>
        <v/>
      </c>
      <c r="CB107" s="21" t="str">
        <f t="shared" si="151"/>
        <v/>
      </c>
      <c r="CC107" s="75" t="str">
        <f>IF($J$24="Español","Apartar",(IF($J$24="Deutsch","Greifer",(IF($J$24="Français","Blocage multiple","Brawler")))))</f>
        <v>Apartar</v>
      </c>
      <c r="CD107" s="2" t="s">
        <v>169</v>
      </c>
      <c r="CE107" s="80"/>
      <c r="CF107" s="2"/>
      <c r="CG107" s="2" t="str">
        <f t="shared" si="120"/>
        <v/>
      </c>
      <c r="CH107" s="2" t="str">
        <f t="shared" si="121"/>
        <v/>
      </c>
      <c r="CI107" s="2" t="str">
        <f t="shared" si="122"/>
        <v/>
      </c>
      <c r="CJ107" s="2" t="str">
        <f t="shared" si="123"/>
        <v/>
      </c>
      <c r="CK107" s="2" t="str">
        <f t="shared" si="124"/>
        <v/>
      </c>
      <c r="CL107" s="2" t="str">
        <f t="shared" si="125"/>
        <v/>
      </c>
      <c r="CM107" s="2" t="str">
        <f t="shared" si="126"/>
        <v/>
      </c>
      <c r="CN107" s="2" t="str">
        <f t="shared" si="127"/>
        <v/>
      </c>
      <c r="CO107" s="2" t="str">
        <f t="shared" si="128"/>
        <v/>
      </c>
      <c r="CP107" s="2" t="str">
        <f t="shared" si="129"/>
        <v/>
      </c>
      <c r="CQ107" s="2" t="str">
        <f t="shared" si="130"/>
        <v/>
      </c>
      <c r="CR107" s="2" t="str">
        <f t="shared" si="131"/>
        <v/>
      </c>
      <c r="CS107" s="2" t="str">
        <f t="shared" si="132"/>
        <v/>
      </c>
      <c r="CT107" s="2" t="str">
        <f t="shared" si="133"/>
        <v/>
      </c>
      <c r="CU107" s="2" t="str">
        <f t="shared" si="134"/>
        <v/>
      </c>
      <c r="CV107" s="2" t="str">
        <f t="shared" si="135"/>
        <v/>
      </c>
      <c r="CW107" s="2"/>
      <c r="CX107" s="2"/>
      <c r="CY107" s="2"/>
      <c r="CZ107" s="2"/>
    </row>
    <row r="108" spans="43:104" ht="15" hidden="1" customHeight="1" x14ac:dyDescent="0.2">
      <c r="AQ108" s="12">
        <v>43</v>
      </c>
      <c r="AR108" s="12">
        <v>810000</v>
      </c>
      <c r="AS108" s="12">
        <v>430000</v>
      </c>
      <c r="AT108" s="1"/>
      <c r="AU108" s="1"/>
      <c r="AV108" s="1"/>
      <c r="AW108" s="1"/>
      <c r="AX108" s="2"/>
      <c r="AY108" s="73"/>
      <c r="AZ108" s="1">
        <v>350000</v>
      </c>
      <c r="BA108" s="73"/>
      <c r="BB108" s="73"/>
      <c r="BC108" s="2"/>
      <c r="BD108" s="73"/>
      <c r="BE108" s="2"/>
      <c r="BJ108" s="13"/>
      <c r="BL108" s="13"/>
      <c r="BN108" s="13"/>
      <c r="BO108" s="2"/>
      <c r="BP108" s="13"/>
      <c r="BS108" s="81" t="str">
        <f>IF($J$24="Español","Abrirse Paso",(IF($J$24="Deutsch","Armhebel",(IF($J$24="Français","Bagarre","Arm Bar")))))</f>
        <v>Abrirse Paso</v>
      </c>
      <c r="BT108" s="21" t="s">
        <v>169</v>
      </c>
      <c r="BU108" s="81" t="str">
        <f>IF($J$24="Español","Apariencia Asquerosa",(IF($J$24="Deutsch","Abstoßendes Aussehen",(IF($J$24="Français","Bras supplémentaire","Big Hand")))))</f>
        <v>Apariencia Asquerosa</v>
      </c>
      <c r="BV108" s="21" t="s">
        <v>171</v>
      </c>
      <c r="BW108" s="81" t="str">
        <f>IF($J$24="Español","Abrirse Paso",(IF($J$24="Deutsch","Armhebel",(IF($J$24="Français","Bagarre","Arm Bar")))))</f>
        <v>Abrirse Paso</v>
      </c>
      <c r="BX108" s="21" t="s">
        <v>169</v>
      </c>
      <c r="BY108" s="21" t="str">
        <f t="shared" ref="BY108:BZ119" si="152">""</f>
        <v/>
      </c>
      <c r="BZ108" s="21" t="str">
        <f t="shared" si="152"/>
        <v/>
      </c>
      <c r="CA108" s="21" t="str">
        <f t="shared" si="151"/>
        <v/>
      </c>
      <c r="CB108" s="21" t="str">
        <f t="shared" si="151"/>
        <v/>
      </c>
      <c r="CC108" s="75" t="str">
        <f>IF($J$24="Español","Brazo Fuerte",(IF($J$24="Deutsch","Knochenbrecher (+1)",(IF($J$24="Français","Bras musclé","Break Tackle")))))</f>
        <v>Brazo Fuerte</v>
      </c>
      <c r="CD108" s="2" t="s">
        <v>169</v>
      </c>
      <c r="CE108" s="80"/>
      <c r="CF108" s="2"/>
      <c r="CG108" s="2" t="str">
        <f t="shared" si="120"/>
        <v/>
      </c>
      <c r="CH108" s="2" t="str">
        <f t="shared" si="121"/>
        <v/>
      </c>
      <c r="CI108" s="2" t="str">
        <f t="shared" si="122"/>
        <v/>
      </c>
      <c r="CJ108" s="2" t="str">
        <f t="shared" si="123"/>
        <v/>
      </c>
      <c r="CK108" s="2" t="str">
        <f t="shared" si="124"/>
        <v/>
      </c>
      <c r="CL108" s="2" t="str">
        <f t="shared" si="125"/>
        <v/>
      </c>
      <c r="CM108" s="2" t="str">
        <f t="shared" si="126"/>
        <v/>
      </c>
      <c r="CN108" s="2" t="str">
        <f t="shared" si="127"/>
        <v/>
      </c>
      <c r="CO108" s="2" t="str">
        <f t="shared" si="128"/>
        <v/>
      </c>
      <c r="CP108" s="2" t="str">
        <f t="shared" si="129"/>
        <v/>
      </c>
      <c r="CQ108" s="2" t="str">
        <f t="shared" si="130"/>
        <v/>
      </c>
      <c r="CR108" s="2" t="str">
        <f t="shared" si="131"/>
        <v/>
      </c>
      <c r="CS108" s="2" t="str">
        <f t="shared" si="132"/>
        <v/>
      </c>
      <c r="CT108" s="2" t="str">
        <f t="shared" si="133"/>
        <v/>
      </c>
      <c r="CU108" s="2" t="str">
        <f t="shared" si="134"/>
        <v/>
      </c>
      <c r="CV108" s="2" t="str">
        <f t="shared" si="135"/>
        <v/>
      </c>
      <c r="CW108" s="2"/>
      <c r="CX108" s="2"/>
      <c r="CY108" s="2"/>
      <c r="CZ108" s="2"/>
    </row>
    <row r="109" spans="43:104" ht="15" hidden="1" customHeight="1" x14ac:dyDescent="0.2">
      <c r="AQ109" s="13">
        <v>44</v>
      </c>
      <c r="AR109" s="12">
        <v>815000</v>
      </c>
      <c r="AS109" s="12">
        <v>440000</v>
      </c>
      <c r="AT109" s="1"/>
      <c r="AU109" s="1"/>
      <c r="AV109" s="1"/>
      <c r="AW109" s="1"/>
      <c r="AX109" s="2"/>
      <c r="AY109" s="71"/>
      <c r="AZ109" s="1">
        <v>360000</v>
      </c>
      <c r="BA109" s="71"/>
      <c r="BB109" s="71"/>
      <c r="BC109" s="2"/>
      <c r="BD109" s="71"/>
      <c r="BE109" s="2"/>
      <c r="BJ109" s="13"/>
      <c r="BL109" s="13"/>
      <c r="BN109" s="13"/>
      <c r="BO109" s="2"/>
      <c r="BP109" s="13"/>
      <c r="BS109" s="81" t="str">
        <f>IF($J$24="Español","Apartar",(IF($J$24="Deutsch","Greifer",(IF($J$24="Français","Blocage multiple","Brawler")))))</f>
        <v>Apartar</v>
      </c>
      <c r="BT109" s="21" t="s">
        <v>169</v>
      </c>
      <c r="BU109" s="81" t="str">
        <f>IF($J$24="Español","Boca Monstruosa",(IF($J$24="Deutsch","Eisenharte Haut",(IF($J$24="Français","Cornes","Claw / Claws")))))</f>
        <v>Boca Monstruosa</v>
      </c>
      <c r="BV109" s="21" t="s">
        <v>171</v>
      </c>
      <c r="BW109" s="81" t="str">
        <f>IF($J$24="Español","Apartar",(IF($J$24="Deutsch","Greifer",(IF($J$24="Français","Blocage multiple","Brawler")))))</f>
        <v>Apartar</v>
      </c>
      <c r="BX109" s="21" t="s">
        <v>169</v>
      </c>
      <c r="BY109" s="21" t="str">
        <f t="shared" si="152"/>
        <v/>
      </c>
      <c r="BZ109" s="21" t="str">
        <f t="shared" si="152"/>
        <v/>
      </c>
      <c r="CA109" s="21" t="str">
        <f t="shared" si="151"/>
        <v/>
      </c>
      <c r="CB109" s="21" t="str">
        <f t="shared" si="151"/>
        <v/>
      </c>
      <c r="CC109" s="75" t="str">
        <f>IF($J$24="Español","Cabeza Dura",(IF($J$24="Deutsch","Mehrfachblock",(IF($J$24="Français","Châtaigne (+1)","Grab")))))</f>
        <v>Cabeza Dura</v>
      </c>
      <c r="CD109" s="2" t="s">
        <v>169</v>
      </c>
      <c r="CE109" s="80"/>
      <c r="CF109" s="2"/>
      <c r="CG109" s="2" t="str">
        <f t="shared" si="120"/>
        <v/>
      </c>
      <c r="CH109" s="2" t="str">
        <f t="shared" si="121"/>
        <v/>
      </c>
      <c r="CI109" s="2" t="str">
        <f t="shared" si="122"/>
        <v/>
      </c>
      <c r="CJ109" s="2" t="str">
        <f t="shared" si="123"/>
        <v/>
      </c>
      <c r="CK109" s="2" t="str">
        <f t="shared" si="124"/>
        <v/>
      </c>
      <c r="CL109" s="2" t="str">
        <f t="shared" si="125"/>
        <v/>
      </c>
      <c r="CM109" s="2" t="str">
        <f t="shared" si="126"/>
        <v/>
      </c>
      <c r="CN109" s="2" t="str">
        <f t="shared" si="127"/>
        <v/>
      </c>
      <c r="CO109" s="2" t="str">
        <f t="shared" si="128"/>
        <v/>
      </c>
      <c r="CP109" s="2" t="str">
        <f t="shared" si="129"/>
        <v/>
      </c>
      <c r="CQ109" s="2" t="str">
        <f t="shared" si="130"/>
        <v/>
      </c>
      <c r="CR109" s="2" t="str">
        <f t="shared" si="131"/>
        <v/>
      </c>
      <c r="CS109" s="2" t="str">
        <f t="shared" si="132"/>
        <v/>
      </c>
      <c r="CT109" s="2" t="str">
        <f t="shared" si="133"/>
        <v/>
      </c>
      <c r="CU109" s="2" t="str">
        <f t="shared" si="134"/>
        <v/>
      </c>
      <c r="CV109" s="2" t="str">
        <f t="shared" si="135"/>
        <v/>
      </c>
      <c r="CW109" s="2"/>
      <c r="CX109" s="2"/>
      <c r="CY109" s="2"/>
      <c r="CZ109" s="2"/>
    </row>
    <row r="110" spans="43:104" ht="15" hidden="1" customHeight="1" x14ac:dyDescent="0.2">
      <c r="AQ110" s="13">
        <v>45</v>
      </c>
      <c r="AR110" s="12">
        <v>820000</v>
      </c>
      <c r="AS110" s="12">
        <v>450000</v>
      </c>
      <c r="AT110" s="1"/>
      <c r="AU110" s="1"/>
      <c r="AV110" s="1"/>
      <c r="AW110" s="1"/>
      <c r="AX110" s="2"/>
      <c r="AY110" s="73"/>
      <c r="AZ110" s="1">
        <v>370000</v>
      </c>
      <c r="BA110" s="73"/>
      <c r="BB110" s="73"/>
      <c r="BC110" s="2"/>
      <c r="BD110" s="73"/>
      <c r="BE110" s="2"/>
      <c r="BK110" s="2"/>
      <c r="BM110" s="2"/>
      <c r="BN110" s="2"/>
      <c r="BO110" s="2"/>
      <c r="BS110" s="81" t="str">
        <f>IF($J$24="Español","Brazo Fuerte",(IF($J$24="Deutsch","Knochenbrecher (+1)",(IF($J$24="Français","Bras musclé","Break Tackle")))))</f>
        <v>Brazo Fuerte</v>
      </c>
      <c r="BT110" s="21" t="s">
        <v>169</v>
      </c>
      <c r="BU110" s="81" t="str">
        <f>IF($J$24="Español","Brazos Adicionales",(IF($J$24="Deutsch","Große Hand",(IF($J$24="Français","Deux tête","Disturbing Presence")))))</f>
        <v>Brazos Adicionales</v>
      </c>
      <c r="BV110" s="21" t="s">
        <v>171</v>
      </c>
      <c r="BW110" s="81" t="str">
        <f>IF($J$24="Español","Brazo Fuerte",(IF($J$24="Deutsch","Knochenbrecher (+1)",(IF($J$24="Français","Bras musclé","Break Tackle")))))</f>
        <v>Brazo Fuerte</v>
      </c>
      <c r="BX110" s="21" t="s">
        <v>169</v>
      </c>
      <c r="BY110" s="21" t="str">
        <f t="shared" si="152"/>
        <v/>
      </c>
      <c r="BZ110" s="21" t="str">
        <f t="shared" si="152"/>
        <v/>
      </c>
      <c r="CA110" s="21" t="str">
        <f t="shared" si="151"/>
        <v/>
      </c>
      <c r="CB110" s="21" t="str">
        <f t="shared" si="151"/>
        <v/>
      </c>
      <c r="CC110" s="75" t="str">
        <f>IF($J$24="Español","Crujir",(IF($J$24="Deutsch","Ramme",(IF($J$24="Français","Clé de bras","Guard")))))</f>
        <v>Crujir</v>
      </c>
      <c r="CD110" s="2" t="s">
        <v>169</v>
      </c>
      <c r="CE110" s="80"/>
      <c r="CF110" s="2"/>
      <c r="CG110" s="2" t="str">
        <f t="shared" si="120"/>
        <v/>
      </c>
      <c r="CH110" s="2" t="str">
        <f t="shared" si="121"/>
        <v/>
      </c>
      <c r="CI110" s="2" t="str">
        <f t="shared" si="122"/>
        <v/>
      </c>
      <c r="CJ110" s="2" t="str">
        <f t="shared" si="123"/>
        <v/>
      </c>
      <c r="CK110" s="2" t="str">
        <f t="shared" si="124"/>
        <v/>
      </c>
      <c r="CL110" s="2" t="str">
        <f t="shared" si="125"/>
        <v/>
      </c>
      <c r="CM110" s="2" t="str">
        <f t="shared" si="126"/>
        <v/>
      </c>
      <c r="CN110" s="2" t="str">
        <f t="shared" si="127"/>
        <v/>
      </c>
      <c r="CO110" s="2" t="str">
        <f t="shared" si="128"/>
        <v/>
      </c>
      <c r="CP110" s="2" t="str">
        <f t="shared" si="129"/>
        <v/>
      </c>
      <c r="CQ110" s="2" t="str">
        <f t="shared" si="130"/>
        <v/>
      </c>
      <c r="CR110" s="2" t="str">
        <f t="shared" si="131"/>
        <v/>
      </c>
      <c r="CS110" s="2" t="str">
        <f t="shared" si="132"/>
        <v/>
      </c>
      <c r="CT110" s="2" t="str">
        <f t="shared" si="133"/>
        <v/>
      </c>
      <c r="CU110" s="2" t="str">
        <f t="shared" si="134"/>
        <v/>
      </c>
      <c r="CV110" s="2" t="str">
        <f t="shared" si="135"/>
        <v/>
      </c>
      <c r="CW110" s="2"/>
      <c r="CX110" s="2"/>
      <c r="CY110" s="2"/>
      <c r="CZ110" s="2"/>
    </row>
    <row r="111" spans="43:104" ht="15" hidden="1" customHeight="1" x14ac:dyDescent="0.2">
      <c r="AQ111" s="12">
        <v>46</v>
      </c>
      <c r="AR111" s="12">
        <v>825000</v>
      </c>
      <c r="AS111" s="12">
        <v>460000</v>
      </c>
      <c r="AT111" s="1"/>
      <c r="AU111" s="1"/>
      <c r="AV111" s="1"/>
      <c r="AW111" s="1"/>
      <c r="AX111" s="2"/>
      <c r="AY111" s="73"/>
      <c r="AZ111" s="1">
        <v>380000</v>
      </c>
      <c r="BA111" s="73"/>
      <c r="BB111" s="73"/>
      <c r="BC111" s="2"/>
      <c r="BD111" s="73"/>
      <c r="BE111" s="2"/>
      <c r="BK111" s="2"/>
      <c r="BM111" s="2"/>
      <c r="BN111" s="2"/>
      <c r="BO111" s="2"/>
      <c r="BS111" s="81" t="str">
        <f>IF($J$24="Español","Cabeza Dura",(IF($J$24="Deutsch","Mehrfachblock",(IF($J$24="Français","Châtaigne (+1)","Grab")))))</f>
        <v>Cabeza Dura</v>
      </c>
      <c r="BT111" s="21" t="s">
        <v>169</v>
      </c>
      <c r="BU111" s="81" t="str">
        <f>IF($J$24="Español","Cola Prensil",(IF($J$24="Deutsch","Hörner",(IF($J$24="Français","Grande gueule","Extra Arms")))))</f>
        <v>Cola Prensil</v>
      </c>
      <c r="BV111" s="21" t="s">
        <v>171</v>
      </c>
      <c r="BW111" s="81" t="str">
        <f>IF($J$24="Español","Cabeza Dura",(IF($J$24="Deutsch","Mehrfachblock",(IF($J$24="Français","Châtaigne (+1)","Grab")))))</f>
        <v>Cabeza Dura</v>
      </c>
      <c r="BX111" s="21" t="s">
        <v>169</v>
      </c>
      <c r="BY111" s="21" t="str">
        <f t="shared" si="152"/>
        <v/>
      </c>
      <c r="BZ111" s="21" t="str">
        <f t="shared" si="152"/>
        <v/>
      </c>
      <c r="CA111" s="21" t="str">
        <f t="shared" si="151"/>
        <v/>
      </c>
      <c r="CB111" s="21" t="str">
        <f t="shared" si="151"/>
        <v/>
      </c>
      <c r="CC111" s="21" t="str">
        <f>IF($J$24="Español","Defensa",(IF($J$24="Deutsch","Raufbold",(IF($J$24="Français","Crâne épais","Juggernaut")))))</f>
        <v>Defensa</v>
      </c>
      <c r="CD111" s="2" t="s">
        <v>169</v>
      </c>
      <c r="CE111" s="80"/>
      <c r="CF111" s="2"/>
      <c r="CG111" s="2" t="str">
        <f t="shared" si="120"/>
        <v/>
      </c>
      <c r="CH111" s="2" t="str">
        <f t="shared" si="121"/>
        <v/>
      </c>
      <c r="CI111" s="2" t="str">
        <f t="shared" si="122"/>
        <v/>
      </c>
      <c r="CJ111" s="2" t="str">
        <f t="shared" si="123"/>
        <v/>
      </c>
      <c r="CK111" s="2" t="str">
        <f t="shared" si="124"/>
        <v/>
      </c>
      <c r="CL111" s="2" t="str">
        <f t="shared" si="125"/>
        <v/>
      </c>
      <c r="CM111" s="2" t="str">
        <f t="shared" si="126"/>
        <v/>
      </c>
      <c r="CN111" s="2" t="str">
        <f t="shared" si="127"/>
        <v/>
      </c>
      <c r="CO111" s="2" t="str">
        <f t="shared" si="128"/>
        <v/>
      </c>
      <c r="CP111" s="2" t="str">
        <f t="shared" si="129"/>
        <v/>
      </c>
      <c r="CQ111" s="2" t="str">
        <f t="shared" si="130"/>
        <v/>
      </c>
      <c r="CR111" s="2" t="str">
        <f t="shared" si="131"/>
        <v/>
      </c>
      <c r="CS111" s="2" t="str">
        <f t="shared" si="132"/>
        <v/>
      </c>
      <c r="CT111" s="2" t="str">
        <f t="shared" si="133"/>
        <v/>
      </c>
      <c r="CU111" s="2" t="str">
        <f t="shared" si="134"/>
        <v/>
      </c>
      <c r="CV111" s="2" t="str">
        <f t="shared" si="135"/>
        <v/>
      </c>
      <c r="CW111" s="2"/>
      <c r="CX111" s="2"/>
      <c r="CY111" s="2"/>
      <c r="CZ111" s="2"/>
    </row>
    <row r="112" spans="43:104" ht="15" hidden="1" customHeight="1" x14ac:dyDescent="0.2">
      <c r="AQ112" s="13">
        <v>47</v>
      </c>
      <c r="AR112" s="12">
        <v>830000</v>
      </c>
      <c r="AS112" s="12">
        <v>470000</v>
      </c>
      <c r="AT112" s="1"/>
      <c r="AU112" s="1"/>
      <c r="AV112" s="1"/>
      <c r="AW112" s="1"/>
      <c r="AX112" s="2"/>
      <c r="AY112" s="73"/>
      <c r="AZ112" s="1">
        <v>390000</v>
      </c>
      <c r="BA112" s="73"/>
      <c r="BB112" s="73"/>
      <c r="BC112" s="2"/>
      <c r="BD112" s="73"/>
      <c r="BE112" s="2"/>
      <c r="BK112" s="2"/>
      <c r="BM112" s="2"/>
      <c r="BN112" s="2"/>
      <c r="BO112" s="2"/>
      <c r="BS112" s="81" t="str">
        <f>IF($J$24="Español","Crujir",(IF($J$24="Deutsch","Ramme",(IF($J$24="Français","Clé de bras","Guard")))))</f>
        <v>Crujir</v>
      </c>
      <c r="BT112" s="21" t="s">
        <v>169</v>
      </c>
      <c r="BU112" s="81" t="str">
        <f>IF($J$24="Español","Cuernos",(IF($J$24="Deutsch","Klammerschwanz",(IF($J$24="Français","Griffes","Foul Appearance")))))</f>
        <v>Cuernos</v>
      </c>
      <c r="BV112" s="21" t="s">
        <v>171</v>
      </c>
      <c r="BW112" s="81" t="str">
        <f>IF($J$24="Español","Crujir",(IF($J$24="Deutsch","Ramme",(IF($J$24="Français","Clé de bras","Guard")))))</f>
        <v>Crujir</v>
      </c>
      <c r="BX112" s="21" t="s">
        <v>169</v>
      </c>
      <c r="BY112" s="21" t="str">
        <f t="shared" si="152"/>
        <v/>
      </c>
      <c r="BZ112" s="21" t="str">
        <f t="shared" si="152"/>
        <v/>
      </c>
      <c r="CA112" s="21" t="str">
        <f t="shared" si="151"/>
        <v/>
      </c>
      <c r="CB112" s="21" t="str">
        <f t="shared" si="151"/>
        <v/>
      </c>
      <c r="CC112" s="21" t="str">
        <f>IF($J$24="Español","Golpe Mortífero (+1)",(IF($J$24="Deutsch","Schweres Gerät",(IF($J$24="Français","Esquive en force","Mighty Blow (+1)")))))</f>
        <v>Golpe Mortífero (+1)</v>
      </c>
      <c r="CD112" s="2" t="s">
        <v>169</v>
      </c>
      <c r="CE112" s="80"/>
      <c r="CF112" s="2"/>
      <c r="CG112" s="2" t="str">
        <f t="shared" si="120"/>
        <v/>
      </c>
      <c r="CH112" s="2" t="str">
        <f t="shared" si="121"/>
        <v/>
      </c>
      <c r="CI112" s="2" t="str">
        <f t="shared" si="122"/>
        <v/>
      </c>
      <c r="CJ112" s="2" t="str">
        <f t="shared" si="123"/>
        <v/>
      </c>
      <c r="CK112" s="2" t="str">
        <f t="shared" si="124"/>
        <v/>
      </c>
      <c r="CL112" s="2" t="str">
        <f t="shared" si="125"/>
        <v/>
      </c>
      <c r="CM112" s="2" t="str">
        <f t="shared" si="126"/>
        <v/>
      </c>
      <c r="CN112" s="2" t="str">
        <f t="shared" si="127"/>
        <v/>
      </c>
      <c r="CO112" s="2" t="str">
        <f t="shared" si="128"/>
        <v/>
      </c>
      <c r="CP112" s="2" t="str">
        <f t="shared" si="129"/>
        <v/>
      </c>
      <c r="CQ112" s="2" t="str">
        <f t="shared" si="130"/>
        <v/>
      </c>
      <c r="CR112" s="2" t="str">
        <f t="shared" si="131"/>
        <v/>
      </c>
      <c r="CS112" s="2" t="str">
        <f t="shared" si="132"/>
        <v/>
      </c>
      <c r="CT112" s="2" t="str">
        <f t="shared" si="133"/>
        <v/>
      </c>
      <c r="CU112" s="2" t="str">
        <f t="shared" si="134"/>
        <v/>
      </c>
      <c r="CV112" s="2" t="str">
        <f t="shared" si="135"/>
        <v/>
      </c>
      <c r="CW112" s="2"/>
      <c r="CX112" s="2"/>
      <c r="CY112" s="2"/>
      <c r="CZ112" s="2"/>
    </row>
    <row r="113" spans="43:104" ht="15" hidden="1" customHeight="1" x14ac:dyDescent="0.2">
      <c r="AQ113" s="13">
        <v>48</v>
      </c>
      <c r="AR113" s="12">
        <v>835000</v>
      </c>
      <c r="AS113" s="12">
        <v>480000</v>
      </c>
      <c r="AT113" s="1"/>
      <c r="AU113" s="1"/>
      <c r="AV113" s="1"/>
      <c r="AW113" s="1"/>
      <c r="AX113" s="2"/>
      <c r="AY113" s="73"/>
      <c r="AZ113" s="1">
        <v>400000</v>
      </c>
      <c r="BA113" s="73"/>
      <c r="BB113" s="73"/>
      <c r="BC113" s="2"/>
      <c r="BD113" s="73"/>
      <c r="BE113" s="2"/>
      <c r="BK113" s="2"/>
      <c r="BM113" s="2"/>
      <c r="BN113" s="2"/>
      <c r="BO113" s="2"/>
      <c r="BS113" s="21" t="str">
        <f>IF($J$24="Español","Defensa",(IF($J$24="Deutsch","Raufbold",(IF($J$24="Français","Crâne épais","Juggernaut")))))</f>
        <v>Defensa</v>
      </c>
      <c r="BT113" s="21" t="s">
        <v>169</v>
      </c>
      <c r="BU113" s="81" t="str">
        <f>IF($J$24="Español","Dos Cabezas",(IF($J$24="Deutsch","Klauen",(IF($J$24="Français","Main démesurée","Horns")))))</f>
        <v>Dos Cabezas</v>
      </c>
      <c r="BV113" s="21" t="s">
        <v>171</v>
      </c>
      <c r="BW113" s="21" t="str">
        <f>IF($J$24="Español","Defensa",(IF($J$24="Deutsch","Raufbold",(IF($J$24="Français","Crâne épais","Juggernaut")))))</f>
        <v>Defensa</v>
      </c>
      <c r="BX113" s="21" t="s">
        <v>169</v>
      </c>
      <c r="BY113" s="21" t="str">
        <f t="shared" si="152"/>
        <v/>
      </c>
      <c r="BZ113" s="21" t="str">
        <f t="shared" si="152"/>
        <v/>
      </c>
      <c r="CA113" s="21" t="str">
        <f t="shared" si="151"/>
        <v/>
      </c>
      <c r="CB113" s="21" t="str">
        <f t="shared" si="151"/>
        <v/>
      </c>
      <c r="CC113" s="21" t="str">
        <f>IF($J$24="Español","Imparable",(IF($J$24="Deutsch","Standfest",(IF($J$24="Français","Garde","Multiple Blocks")))))</f>
        <v>Imparable</v>
      </c>
      <c r="CD113" s="2" t="s">
        <v>169</v>
      </c>
      <c r="CE113" s="80"/>
      <c r="CF113" s="2"/>
      <c r="CG113" s="2" t="str">
        <f t="shared" si="120"/>
        <v/>
      </c>
      <c r="CH113" s="2" t="str">
        <f t="shared" si="121"/>
        <v/>
      </c>
      <c r="CI113" s="2" t="str">
        <f t="shared" si="122"/>
        <v/>
      </c>
      <c r="CJ113" s="2" t="str">
        <f t="shared" si="123"/>
        <v/>
      </c>
      <c r="CK113" s="2" t="str">
        <f t="shared" si="124"/>
        <v/>
      </c>
      <c r="CL113" s="2" t="str">
        <f t="shared" si="125"/>
        <v/>
      </c>
      <c r="CM113" s="2" t="str">
        <f t="shared" si="126"/>
        <v/>
      </c>
      <c r="CN113" s="2" t="str">
        <f t="shared" si="127"/>
        <v/>
      </c>
      <c r="CO113" s="2" t="str">
        <f t="shared" si="128"/>
        <v/>
      </c>
      <c r="CP113" s="2" t="str">
        <f t="shared" si="129"/>
        <v/>
      </c>
      <c r="CQ113" s="2" t="str">
        <f t="shared" si="130"/>
        <v/>
      </c>
      <c r="CR113" s="2" t="str">
        <f t="shared" si="131"/>
        <v/>
      </c>
      <c r="CS113" s="2" t="str">
        <f t="shared" si="132"/>
        <v/>
      </c>
      <c r="CT113" s="2" t="str">
        <f t="shared" si="133"/>
        <v/>
      </c>
      <c r="CU113" s="2" t="str">
        <f t="shared" si="134"/>
        <v/>
      </c>
      <c r="CV113" s="2" t="str">
        <f t="shared" si="135"/>
        <v/>
      </c>
      <c r="CW113" s="2"/>
      <c r="CX113" s="2"/>
      <c r="CY113" s="2"/>
      <c r="CZ113" s="2"/>
    </row>
    <row r="114" spans="43:104" ht="15" hidden="1" customHeight="1" x14ac:dyDescent="0.2">
      <c r="AQ114" s="12">
        <v>49</v>
      </c>
      <c r="AR114" s="12">
        <v>840000</v>
      </c>
      <c r="AS114" s="12">
        <v>490000</v>
      </c>
      <c r="AT114" s="1"/>
      <c r="AU114" s="1"/>
      <c r="AV114" s="1"/>
      <c r="AW114" s="1"/>
      <c r="AX114" s="2"/>
      <c r="AY114" s="73"/>
      <c r="AZ114" s="1">
        <v>410000</v>
      </c>
      <c r="BA114" s="73"/>
      <c r="BB114" s="73"/>
      <c r="BC114" s="2"/>
      <c r="BD114" s="73"/>
      <c r="BE114" s="2"/>
      <c r="BK114" s="2"/>
      <c r="BM114" s="2"/>
      <c r="BN114" s="2"/>
      <c r="BO114" s="2"/>
      <c r="BS114" s="21" t="str">
        <f>IF($J$24="Español","Golpe Mortífero (+1)",(IF($J$24="Deutsch","Schweres Gerät",(IF($J$24="Français","Esquive en force","Mighty Blow (+1)")))))</f>
        <v>Golpe Mortífero (+1)</v>
      </c>
      <c r="BT114" s="21" t="s">
        <v>169</v>
      </c>
      <c r="BU114" s="21" t="str">
        <f>IF($J$24="Español","Garra / Garras",(IF($J$24="Deutsch","Monströses Maul",(IF($J$24="Français","Queue préhensile","Iron Hard Skin")))))</f>
        <v>Garra / Garras</v>
      </c>
      <c r="BV114" s="21" t="s">
        <v>171</v>
      </c>
      <c r="BW114" s="21" t="str">
        <f>IF($J$24="Español","Golpe Mortífero (+1)",(IF($J$24="Deutsch","Schweres Gerät",(IF($J$24="Français","Esquive en force","Mighty Blow (+1)")))))</f>
        <v>Golpe Mortífero (+1)</v>
      </c>
      <c r="BX114" s="21" t="s">
        <v>169</v>
      </c>
      <c r="BY114" s="21" t="str">
        <f t="shared" si="152"/>
        <v/>
      </c>
      <c r="BZ114" s="21" t="str">
        <f t="shared" si="152"/>
        <v/>
      </c>
      <c r="CA114" s="21" t="str">
        <f t="shared" si="151"/>
        <v/>
      </c>
      <c r="CB114" s="21" t="str">
        <f t="shared" si="151"/>
        <v/>
      </c>
      <c r="CC114" s="21" t="str">
        <f>IF($J$24="Español","Llave de Brazo",(IF($J$24="Deutsch","Starker Wurfarm",(IF($J$24="Français","Juggernaut","Pile Diver")))))</f>
        <v>Llave de Brazo</v>
      </c>
      <c r="CD114" s="2" t="s">
        <v>169</v>
      </c>
      <c r="CE114" s="80"/>
      <c r="CF114" s="2"/>
      <c r="CG114" s="2" t="str">
        <f t="shared" si="120"/>
        <v/>
      </c>
      <c r="CH114" s="2" t="str">
        <f t="shared" si="121"/>
        <v/>
      </c>
      <c r="CI114" s="2" t="str">
        <f t="shared" si="122"/>
        <v/>
      </c>
      <c r="CJ114" s="2" t="str">
        <f t="shared" si="123"/>
        <v/>
      </c>
      <c r="CK114" s="2" t="str">
        <f t="shared" si="124"/>
        <v/>
      </c>
      <c r="CL114" s="2" t="str">
        <f t="shared" si="125"/>
        <v/>
      </c>
      <c r="CM114" s="2" t="str">
        <f t="shared" si="126"/>
        <v/>
      </c>
      <c r="CN114" s="2" t="str">
        <f t="shared" si="127"/>
        <v/>
      </c>
      <c r="CO114" s="2" t="str">
        <f t="shared" si="128"/>
        <v/>
      </c>
      <c r="CP114" s="2" t="str">
        <f t="shared" si="129"/>
        <v/>
      </c>
      <c r="CQ114" s="2" t="str">
        <f t="shared" si="130"/>
        <v/>
      </c>
      <c r="CR114" s="2" t="str">
        <f t="shared" si="131"/>
        <v/>
      </c>
      <c r="CS114" s="2" t="str">
        <f t="shared" si="132"/>
        <v/>
      </c>
      <c r="CT114" s="2" t="str">
        <f t="shared" si="133"/>
        <v/>
      </c>
      <c r="CU114" s="2" t="str">
        <f t="shared" si="134"/>
        <v/>
      </c>
      <c r="CV114" s="2" t="str">
        <f t="shared" si="135"/>
        <v/>
      </c>
      <c r="CW114" s="2"/>
      <c r="CX114" s="2"/>
      <c r="CY114" s="2"/>
      <c r="CZ114" s="2"/>
    </row>
    <row r="115" spans="43:104" ht="15" hidden="1" customHeight="1" x14ac:dyDescent="0.2">
      <c r="AQ115" s="13">
        <v>50</v>
      </c>
      <c r="AR115" s="12">
        <v>845000</v>
      </c>
      <c r="AS115" s="12">
        <v>500000</v>
      </c>
      <c r="AT115" s="1"/>
      <c r="AU115" s="1"/>
      <c r="AV115" s="1"/>
      <c r="AW115" s="1"/>
      <c r="AX115" s="2"/>
      <c r="AY115" s="73"/>
      <c r="AZ115" s="1">
        <v>420000</v>
      </c>
      <c r="BA115" s="73"/>
      <c r="BB115" s="73"/>
      <c r="BC115" s="2"/>
      <c r="BD115" s="73"/>
      <c r="BE115" s="2"/>
      <c r="BK115" s="2"/>
      <c r="BM115" s="2"/>
      <c r="BN115" s="2"/>
      <c r="BO115" s="2"/>
      <c r="BS115" s="21" t="str">
        <f>IF($J$24="Español","Imparable",(IF($J$24="Deutsch","Standfest",(IF($J$24="Français","Garde","Multiple Blocks")))))</f>
        <v>Imparable</v>
      </c>
      <c r="BT115" s="21" t="s">
        <v>169</v>
      </c>
      <c r="BU115" s="21" t="str">
        <f>IF($J$24="Español","Mano Grande",(IF($J$24="Deutsch","Sehr lange Beine",(IF($J$24="Français","Peau de fer","Monstrous Mouth")))))</f>
        <v>Mano Grande</v>
      </c>
      <c r="BV115" s="21" t="s">
        <v>171</v>
      </c>
      <c r="BW115" s="21" t="str">
        <f>IF($J$24="Español","Imparable",(IF($J$24="Deutsch","Standfest",(IF($J$24="Français","Garde","Multiple Blocks")))))</f>
        <v>Imparable</v>
      </c>
      <c r="BX115" s="21" t="s">
        <v>169</v>
      </c>
      <c r="BY115" s="21" t="str">
        <f t="shared" si="152"/>
        <v/>
      </c>
      <c r="BZ115" s="21" t="str">
        <f t="shared" si="152"/>
        <v/>
      </c>
      <c r="CA115" s="21" t="str">
        <f t="shared" si="151"/>
        <v/>
      </c>
      <c r="CB115" s="21" t="str">
        <f t="shared" si="151"/>
        <v/>
      </c>
      <c r="CC115" s="21" t="str">
        <f>IF($J$24="Español","Luchador",(IF($J$24="Deutsch","Tackle durchbrechen",(IF($J$24="Français","Mateau-pilon","Stand Firm")))))</f>
        <v>Luchador</v>
      </c>
      <c r="CD115" s="2" t="s">
        <v>169</v>
      </c>
      <c r="CE115" s="80"/>
      <c r="CF115" s="2"/>
      <c r="CG115" s="2" t="str">
        <f t="shared" si="120"/>
        <v/>
      </c>
      <c r="CH115" s="2" t="str">
        <f t="shared" si="121"/>
        <v/>
      </c>
      <c r="CI115" s="2" t="str">
        <f t="shared" si="122"/>
        <v/>
      </c>
      <c r="CJ115" s="2" t="str">
        <f t="shared" si="123"/>
        <v/>
      </c>
      <c r="CK115" s="2" t="str">
        <f t="shared" si="124"/>
        <v/>
      </c>
      <c r="CL115" s="2" t="str">
        <f t="shared" si="125"/>
        <v/>
      </c>
      <c r="CM115" s="2" t="str">
        <f t="shared" si="126"/>
        <v/>
      </c>
      <c r="CN115" s="2" t="str">
        <f t="shared" si="127"/>
        <v/>
      </c>
      <c r="CO115" s="2" t="str">
        <f t="shared" si="128"/>
        <v/>
      </c>
      <c r="CP115" s="2" t="str">
        <f t="shared" si="129"/>
        <v/>
      </c>
      <c r="CQ115" s="2" t="str">
        <f t="shared" si="130"/>
        <v/>
      </c>
      <c r="CR115" s="2" t="str">
        <f t="shared" si="131"/>
        <v/>
      </c>
      <c r="CS115" s="2" t="str">
        <f t="shared" si="132"/>
        <v/>
      </c>
      <c r="CT115" s="2" t="str">
        <f t="shared" si="133"/>
        <v/>
      </c>
      <c r="CU115" s="2" t="str">
        <f t="shared" si="134"/>
        <v/>
      </c>
      <c r="CV115" s="2" t="str">
        <f t="shared" si="135"/>
        <v/>
      </c>
      <c r="CW115" s="2"/>
      <c r="CX115" s="2"/>
      <c r="CY115" s="2"/>
      <c r="CZ115" s="2"/>
    </row>
    <row r="116" spans="43:104" ht="15" hidden="1" customHeight="1" x14ac:dyDescent="0.2">
      <c r="AQ116" s="13">
        <v>51</v>
      </c>
      <c r="AR116" s="12">
        <v>850000</v>
      </c>
      <c r="AS116" s="12">
        <v>510000</v>
      </c>
      <c r="AT116" s="1"/>
      <c r="AU116" s="1"/>
      <c r="AV116" s="1"/>
      <c r="AW116" s="1"/>
      <c r="AX116" s="2"/>
      <c r="AY116" s="2"/>
      <c r="AZ116" s="1">
        <v>430000</v>
      </c>
      <c r="BA116" s="2"/>
      <c r="BB116" s="2"/>
      <c r="BC116" s="2"/>
      <c r="BD116" s="2"/>
      <c r="BE116" s="2"/>
      <c r="BK116" s="2"/>
      <c r="BM116" s="2"/>
      <c r="BN116" s="2"/>
      <c r="BO116" s="2"/>
      <c r="BS116" s="21" t="str">
        <f>IF($J$24="Español","Llave de Brazo",(IF($J$24="Deutsch","Starker Wurfarm",(IF($J$24="Français","Juggernaut","Pile Diver")))))</f>
        <v>Llave de Brazo</v>
      </c>
      <c r="BT116" s="21" t="s">
        <v>169</v>
      </c>
      <c r="BU116" s="81" t="str">
        <f>IF($J$24="Español","Piel Ferrea",(IF($J$24="Deutsch","Tentakel",(IF($J$24="Français","Présence perturbante","Prehensile Tail")))))</f>
        <v>Piel Ferrea</v>
      </c>
      <c r="BV116" s="21" t="s">
        <v>171</v>
      </c>
      <c r="BW116" s="21" t="str">
        <f>IF($J$24="Español","Llave de Brazo",(IF($J$24="Deutsch","Starker Wurfarm",(IF($J$24="Français","Juggernaut","Pile Diver")))))</f>
        <v>Llave de Brazo</v>
      </c>
      <c r="BX116" s="21" t="s">
        <v>169</v>
      </c>
      <c r="BY116" s="21" t="str">
        <f t="shared" si="152"/>
        <v/>
      </c>
      <c r="BZ116" s="21" t="str">
        <f t="shared" si="152"/>
        <v/>
      </c>
      <c r="CA116" s="21" t="str">
        <f t="shared" si="151"/>
        <v/>
      </c>
      <c r="CB116" s="21" t="str">
        <f t="shared" si="151"/>
        <v/>
      </c>
      <c r="CC116" s="21" t="str">
        <f>IF($J$24="Español","Mantenerse Firme",(IF($J$24="Deutsch","Robust",(IF($J$24="Français","Projection","Strong Arm")))))</f>
        <v>Mantenerse Firme</v>
      </c>
      <c r="CD116" s="2" t="s">
        <v>169</v>
      </c>
      <c r="CE116" s="80"/>
      <c r="CF116" s="2"/>
      <c r="CG116" s="2" t="str">
        <f t="shared" si="120"/>
        <v/>
      </c>
      <c r="CH116" s="2" t="str">
        <f t="shared" si="121"/>
        <v/>
      </c>
      <c r="CI116" s="2" t="str">
        <f t="shared" si="122"/>
        <v/>
      </c>
      <c r="CJ116" s="2" t="str">
        <f t="shared" si="123"/>
        <v/>
      </c>
      <c r="CK116" s="2" t="str">
        <f t="shared" si="124"/>
        <v/>
      </c>
      <c r="CL116" s="2" t="str">
        <f t="shared" si="125"/>
        <v/>
      </c>
      <c r="CM116" s="2" t="str">
        <f t="shared" si="126"/>
        <v/>
      </c>
      <c r="CN116" s="2" t="str">
        <f t="shared" si="127"/>
        <v/>
      </c>
      <c r="CO116" s="2" t="str">
        <f t="shared" si="128"/>
        <v/>
      </c>
      <c r="CP116" s="2" t="str">
        <f t="shared" si="129"/>
        <v/>
      </c>
      <c r="CQ116" s="2" t="str">
        <f t="shared" si="130"/>
        <v/>
      </c>
      <c r="CR116" s="2" t="str">
        <f t="shared" si="131"/>
        <v/>
      </c>
      <c r="CS116" s="2" t="str">
        <f t="shared" si="132"/>
        <v/>
      </c>
      <c r="CT116" s="2" t="str">
        <f t="shared" si="133"/>
        <v/>
      </c>
      <c r="CU116" s="2" t="str">
        <f t="shared" si="134"/>
        <v/>
      </c>
      <c r="CV116" s="2" t="str">
        <f t="shared" si="135"/>
        <v/>
      </c>
      <c r="CW116" s="2"/>
      <c r="CX116" s="2"/>
      <c r="CY116" s="2"/>
      <c r="CZ116" s="2"/>
    </row>
    <row r="117" spans="43:104" ht="15" hidden="1" customHeight="1" x14ac:dyDescent="0.2">
      <c r="AQ117" s="12">
        <v>52</v>
      </c>
      <c r="AR117" s="12">
        <v>855000</v>
      </c>
      <c r="AS117" s="12">
        <v>520000</v>
      </c>
      <c r="AT117" s="1"/>
      <c r="AU117" s="1"/>
      <c r="AV117" s="1"/>
      <c r="AW117" s="1"/>
      <c r="AX117" s="2"/>
      <c r="AY117" s="2"/>
      <c r="AZ117" s="1">
        <v>440000</v>
      </c>
      <c r="BA117" s="2"/>
      <c r="BB117" s="2"/>
      <c r="BC117" s="2"/>
      <c r="BD117" s="2"/>
      <c r="BE117" s="2"/>
      <c r="BK117" s="2"/>
      <c r="BM117" s="2"/>
      <c r="BN117" s="2"/>
      <c r="BO117" s="2"/>
      <c r="BS117" s="21" t="str">
        <f>IF($J$24="Español","Luchador",(IF($J$24="Deutsch","Tackle durchbrechen",(IF($J$24="Français","Mateau-pilon","Stand Firm")))))</f>
        <v>Luchador</v>
      </c>
      <c r="BT117" s="21" t="s">
        <v>169</v>
      </c>
      <c r="BU117" s="81" t="str">
        <f>IF($J$24="Español","Piernas muy Largas",(IF($J$24="Deutsch","Verstörende Präsenz",(IF($J$24="Français","Répulsion","Tentacles")))))</f>
        <v>Piernas muy Largas</v>
      </c>
      <c r="BV117" s="21" t="s">
        <v>171</v>
      </c>
      <c r="BW117" s="21" t="str">
        <f>IF($J$24="Español","Luchador",(IF($J$24="Deutsch","Tackle durchbrechen",(IF($J$24="Français","Mateau-pilon","Stand Firm")))))</f>
        <v>Luchador</v>
      </c>
      <c r="BX117" s="21" t="s">
        <v>169</v>
      </c>
      <c r="BY117" s="21" t="str">
        <f t="shared" si="152"/>
        <v/>
      </c>
      <c r="BZ117" s="21" t="str">
        <f t="shared" si="152"/>
        <v/>
      </c>
      <c r="CA117" s="21" t="str">
        <f t="shared" si="151"/>
        <v/>
      </c>
      <c r="CB117" s="21" t="str">
        <f t="shared" si="151"/>
        <v/>
      </c>
      <c r="CC117" s="21" t="str">
        <f>IF($J$24="Español","Placaje Múltiple",(IF($J$24="Deutsch","Unterstützen",(IF($J$24="Français","Stabilité","Thick Skull")))))</f>
        <v>Placaje Múltiple</v>
      </c>
      <c r="CD117" s="2" t="s">
        <v>169</v>
      </c>
      <c r="CE117" s="80"/>
      <c r="CF117" s="2"/>
      <c r="CG117" s="2" t="str">
        <f t="shared" si="120"/>
        <v/>
      </c>
      <c r="CH117" s="2" t="str">
        <f t="shared" si="121"/>
        <v/>
      </c>
      <c r="CI117" s="2" t="str">
        <f t="shared" si="122"/>
        <v/>
      </c>
      <c r="CJ117" s="2" t="str">
        <f t="shared" si="123"/>
        <v/>
      </c>
      <c r="CK117" s="2" t="str">
        <f t="shared" si="124"/>
        <v/>
      </c>
      <c r="CL117" s="2" t="str">
        <f t="shared" si="125"/>
        <v/>
      </c>
      <c r="CM117" s="2" t="str">
        <f t="shared" si="126"/>
        <v/>
      </c>
      <c r="CN117" s="2" t="str">
        <f t="shared" si="127"/>
        <v/>
      </c>
      <c r="CO117" s="2" t="str">
        <f t="shared" si="128"/>
        <v/>
      </c>
      <c r="CP117" s="2" t="str">
        <f t="shared" si="129"/>
        <v/>
      </c>
      <c r="CQ117" s="2" t="str">
        <f t="shared" si="130"/>
        <v/>
      </c>
      <c r="CR117" s="2" t="str">
        <f t="shared" si="131"/>
        <v/>
      </c>
      <c r="CS117" s="2" t="str">
        <f t="shared" si="132"/>
        <v/>
      </c>
      <c r="CT117" s="2" t="str">
        <f t="shared" si="133"/>
        <v/>
      </c>
      <c r="CU117" s="2" t="str">
        <f t="shared" si="134"/>
        <v/>
      </c>
      <c r="CV117" s="2" t="str">
        <f t="shared" si="135"/>
        <v/>
      </c>
      <c r="CW117" s="2"/>
      <c r="CX117" s="2"/>
      <c r="CY117" s="2"/>
      <c r="CZ117" s="2"/>
    </row>
    <row r="118" spans="43:104" ht="15" hidden="1" customHeight="1" x14ac:dyDescent="0.2">
      <c r="AQ118" s="13">
        <v>53</v>
      </c>
      <c r="AR118" s="12">
        <v>860000</v>
      </c>
      <c r="AS118" s="12">
        <v>530000</v>
      </c>
      <c r="AT118" s="1"/>
      <c r="AU118" s="1"/>
      <c r="AV118" s="1"/>
      <c r="AW118" s="1"/>
      <c r="AX118" s="2"/>
      <c r="AY118" s="2"/>
      <c r="AZ118" s="1">
        <v>450000</v>
      </c>
      <c r="BA118" s="2"/>
      <c r="BB118" s="2"/>
      <c r="BC118" s="2"/>
      <c r="BD118" s="2"/>
      <c r="BE118" s="2"/>
      <c r="BK118" s="2"/>
      <c r="BM118" s="2"/>
      <c r="BN118" s="2"/>
      <c r="BO118" s="2"/>
      <c r="BS118" s="21" t="str">
        <f>IF($J$24="Español","Mantenerse Firme",(IF($J$24="Deutsch","Robust",(IF($J$24="Français","Projection","Strong Arm")))))</f>
        <v>Mantenerse Firme</v>
      </c>
      <c r="BT118" s="21" t="s">
        <v>169</v>
      </c>
      <c r="BU118" s="81" t="str">
        <f>IF($J$24="Español","Presencia Perturbadora",(IF($J$24="Deutsch","Zwei Köpfe",(IF($J$24="Français","Tentacule","Two Heads")))))</f>
        <v>Presencia Perturbadora</v>
      </c>
      <c r="BV118" s="21" t="s">
        <v>171</v>
      </c>
      <c r="BW118" s="21" t="str">
        <f>IF($J$24="Español","Mantenerse Firme",(IF($J$24="Deutsch","Robust",(IF($J$24="Français","Projection","Strong Arm")))))</f>
        <v>Mantenerse Firme</v>
      </c>
      <c r="BX118" s="21" t="s">
        <v>169</v>
      </c>
      <c r="BY118" s="21" t="str">
        <f t="shared" si="152"/>
        <v/>
      </c>
      <c r="BZ118" s="21" t="str">
        <f t="shared" si="152"/>
        <v/>
      </c>
      <c r="CA118" s="21" t="str">
        <f t="shared" si="151"/>
        <v/>
      </c>
      <c r="CB118" s="21" t="str">
        <f t="shared" si="151"/>
        <v/>
      </c>
      <c r="CC118" s="75" t="str">
        <f>IF($J$24="Español","Apariencia Asquerosa",(IF($J$24="Deutsch","Abstoßendes Aussehen",(IF($J$24="Français","Bras supplémentaire","Big Hand")))))</f>
        <v>Apariencia Asquerosa</v>
      </c>
      <c r="CD118" s="2" t="s">
        <v>171</v>
      </c>
      <c r="CE118" s="80"/>
      <c r="CF118" s="2"/>
      <c r="CG118" s="2" t="str">
        <f t="shared" si="120"/>
        <v/>
      </c>
      <c r="CH118" s="2" t="str">
        <f t="shared" si="121"/>
        <v/>
      </c>
      <c r="CI118" s="2" t="str">
        <f t="shared" si="122"/>
        <v/>
      </c>
      <c r="CJ118" s="2" t="str">
        <f t="shared" si="123"/>
        <v/>
      </c>
      <c r="CK118" s="2" t="str">
        <f t="shared" si="124"/>
        <v/>
      </c>
      <c r="CL118" s="2" t="str">
        <f t="shared" si="125"/>
        <v/>
      </c>
      <c r="CM118" s="2" t="str">
        <f t="shared" si="126"/>
        <v/>
      </c>
      <c r="CN118" s="2" t="str">
        <f t="shared" si="127"/>
        <v/>
      </c>
      <c r="CO118" s="2" t="str">
        <f t="shared" si="128"/>
        <v/>
      </c>
      <c r="CP118" s="2" t="str">
        <f t="shared" si="129"/>
        <v/>
      </c>
      <c r="CQ118" s="2" t="str">
        <f t="shared" si="130"/>
        <v/>
      </c>
      <c r="CR118" s="2" t="str">
        <f t="shared" si="131"/>
        <v/>
      </c>
      <c r="CS118" s="2" t="str">
        <f t="shared" si="132"/>
        <v/>
      </c>
      <c r="CT118" s="2" t="str">
        <f t="shared" si="133"/>
        <v/>
      </c>
      <c r="CU118" s="2" t="str">
        <f t="shared" si="134"/>
        <v/>
      </c>
      <c r="CV118" s="2" t="str">
        <f t="shared" si="135"/>
        <v/>
      </c>
      <c r="CW118" s="2"/>
      <c r="CX118" s="2"/>
      <c r="CY118" s="2"/>
      <c r="CZ118" s="2"/>
    </row>
    <row r="119" spans="43:104" ht="15" hidden="1" customHeight="1" x14ac:dyDescent="0.2">
      <c r="AQ119" s="13">
        <v>54</v>
      </c>
      <c r="AR119" s="12">
        <v>865000</v>
      </c>
      <c r="AS119" s="12">
        <v>540000</v>
      </c>
      <c r="AT119" s="1"/>
      <c r="AU119" s="1"/>
      <c r="AV119" s="1"/>
      <c r="AW119" s="1"/>
      <c r="AX119" s="2"/>
      <c r="AY119" s="2"/>
      <c r="AZ119" s="1">
        <v>460000</v>
      </c>
      <c r="BA119" s="2"/>
      <c r="BB119" s="2"/>
      <c r="BC119" s="2"/>
      <c r="BD119" s="2"/>
      <c r="BE119" s="2"/>
      <c r="BK119" s="2"/>
      <c r="BM119" s="2"/>
      <c r="BN119" s="2"/>
      <c r="BO119" s="2"/>
      <c r="BS119" s="21" t="str">
        <f>IF($J$24="Español","Placaje Múltiple",(IF($J$24="Deutsch","Unterstützen",(IF($J$24="Français","Stabilité","Thick Skull")))))</f>
        <v>Placaje Múltiple</v>
      </c>
      <c r="BT119" s="21" t="s">
        <v>169</v>
      </c>
      <c r="BU119" s="81" t="str">
        <f>IF($J$24="Español","Tentáculos",(IF($J$24="Deutsch","Zusätzliche Arme",(IF($J$24="Français","Très longues jambes","Very Long Legs")))))</f>
        <v>Tentáculos</v>
      </c>
      <c r="BV119" s="21" t="s">
        <v>171</v>
      </c>
      <c r="BW119" s="21" t="str">
        <f>IF($J$24="Español","Placaje Múltiple",(IF($J$24="Deutsch","Unterstützen",(IF($J$24="Français","Stabilité","Thick Skull")))))</f>
        <v>Placaje Múltiple</v>
      </c>
      <c r="BX119" s="21" t="s">
        <v>169</v>
      </c>
      <c r="BY119" s="21" t="str">
        <f t="shared" si="152"/>
        <v/>
      </c>
      <c r="BZ119" s="21" t="str">
        <f t="shared" si="152"/>
        <v/>
      </c>
      <c r="CA119" s="21" t="str">
        <f t="shared" si="151"/>
        <v/>
      </c>
      <c r="CB119" s="21" t="str">
        <f t="shared" si="151"/>
        <v/>
      </c>
      <c r="CC119" s="75" t="str">
        <f>IF($J$24="Español","Boca Monstruosa",(IF($J$24="Deutsch","Eisenharte Haut",(IF($J$24="Français","Cornes","Claw / Claws")))))</f>
        <v>Boca Monstruosa</v>
      </c>
      <c r="CD119" s="2" t="s">
        <v>171</v>
      </c>
      <c r="CE119" s="80"/>
      <c r="CF119" s="2"/>
      <c r="CG119" s="2" t="str">
        <f t="shared" si="120"/>
        <v/>
      </c>
      <c r="CH119" s="2" t="str">
        <f t="shared" si="121"/>
        <v/>
      </c>
      <c r="CI119" s="2" t="str">
        <f t="shared" si="122"/>
        <v/>
      </c>
      <c r="CJ119" s="2" t="str">
        <f t="shared" si="123"/>
        <v/>
      </c>
      <c r="CK119" s="2" t="str">
        <f t="shared" si="124"/>
        <v/>
      </c>
      <c r="CL119" s="2" t="str">
        <f t="shared" si="125"/>
        <v/>
      </c>
      <c r="CM119" s="2" t="str">
        <f t="shared" si="126"/>
        <v/>
      </c>
      <c r="CN119" s="2" t="str">
        <f t="shared" si="127"/>
        <v/>
      </c>
      <c r="CO119" s="2" t="str">
        <f t="shared" si="128"/>
        <v/>
      </c>
      <c r="CP119" s="2" t="str">
        <f t="shared" si="129"/>
        <v/>
      </c>
      <c r="CQ119" s="2" t="str">
        <f t="shared" si="130"/>
        <v/>
      </c>
      <c r="CR119" s="2" t="str">
        <f t="shared" si="131"/>
        <v/>
      </c>
      <c r="CS119" s="2" t="str">
        <f t="shared" si="132"/>
        <v/>
      </c>
      <c r="CT119" s="2" t="str">
        <f t="shared" si="133"/>
        <v/>
      </c>
      <c r="CU119" s="2" t="str">
        <f t="shared" si="134"/>
        <v/>
      </c>
      <c r="CV119" s="2" t="str">
        <f t="shared" si="135"/>
        <v/>
      </c>
      <c r="CW119" s="2"/>
      <c r="CX119" s="2"/>
      <c r="CY119" s="2"/>
      <c r="CZ119" s="2"/>
    </row>
    <row r="120" spans="43:104" ht="15" hidden="1" customHeight="1" x14ac:dyDescent="0.2">
      <c r="AQ120" s="12">
        <v>55</v>
      </c>
      <c r="AR120" s="12">
        <v>870000</v>
      </c>
      <c r="AS120" s="12">
        <v>550000</v>
      </c>
      <c r="AT120" s="1"/>
      <c r="AU120" s="1"/>
      <c r="AV120" s="1"/>
      <c r="AW120" s="1"/>
      <c r="AX120" s="2"/>
      <c r="AY120" s="2"/>
      <c r="AZ120" s="1">
        <v>470000</v>
      </c>
      <c r="BA120" s="2"/>
      <c r="BB120" s="2"/>
      <c r="BC120" s="2"/>
      <c r="BD120" s="2"/>
      <c r="BE120" s="2"/>
      <c r="BK120" s="2"/>
      <c r="BM120" s="2"/>
      <c r="BN120" s="2"/>
      <c r="BO120" s="2"/>
      <c r="BS120" s="81" t="str">
        <f>IF($J$24="Español","Apariencia Asquerosa",(IF($J$24="Deutsch","Abstoßendes Aussehen",(IF($J$24="Français","Bras supplémentaire","Big Hand")))))</f>
        <v>Apariencia Asquerosa</v>
      </c>
      <c r="BT120" s="21" t="s">
        <v>171</v>
      </c>
      <c r="BU120" s="21" t="str">
        <f t="shared" ref="BU120:BZ131" si="153">""</f>
        <v/>
      </c>
      <c r="BV120" s="21" t="str">
        <f t="shared" si="153"/>
        <v/>
      </c>
      <c r="BW120" s="21" t="str">
        <f t="shared" si="153"/>
        <v/>
      </c>
      <c r="BX120" s="21" t="str">
        <f t="shared" si="153"/>
        <v/>
      </c>
      <c r="BY120" s="21" t="str">
        <f t="shared" si="153"/>
        <v/>
      </c>
      <c r="BZ120" s="21" t="str">
        <f t="shared" si="153"/>
        <v/>
      </c>
      <c r="CA120" s="21" t="str">
        <f t="shared" si="151"/>
        <v/>
      </c>
      <c r="CB120" s="21" t="str">
        <f t="shared" si="151"/>
        <v/>
      </c>
      <c r="CC120" s="75" t="str">
        <f>IF($J$24="Español","Brazos Adicionales",(IF($J$24="Deutsch","Große Hand",(IF($J$24="Français","Deux tête","Disturbing Presence")))))</f>
        <v>Brazos Adicionales</v>
      </c>
      <c r="CD120" s="2" t="s">
        <v>171</v>
      </c>
      <c r="CE120" s="80"/>
      <c r="CF120" s="2"/>
      <c r="CG120" s="2" t="str">
        <f t="shared" si="120"/>
        <v/>
      </c>
      <c r="CH120" s="2" t="str">
        <f t="shared" si="121"/>
        <v/>
      </c>
      <c r="CI120" s="2" t="str">
        <f t="shared" si="122"/>
        <v/>
      </c>
      <c r="CJ120" s="2" t="str">
        <f t="shared" si="123"/>
        <v/>
      </c>
      <c r="CK120" s="2" t="str">
        <f t="shared" si="124"/>
        <v/>
      </c>
      <c r="CL120" s="2" t="str">
        <f t="shared" si="125"/>
        <v/>
      </c>
      <c r="CM120" s="2" t="str">
        <f t="shared" si="126"/>
        <v/>
      </c>
      <c r="CN120" s="2" t="str">
        <f t="shared" si="127"/>
        <v/>
      </c>
      <c r="CO120" s="2" t="str">
        <f t="shared" si="128"/>
        <v/>
      </c>
      <c r="CP120" s="2" t="str">
        <f t="shared" si="129"/>
        <v/>
      </c>
      <c r="CQ120" s="2" t="str">
        <f t="shared" si="130"/>
        <v/>
      </c>
      <c r="CR120" s="2" t="str">
        <f t="shared" si="131"/>
        <v/>
      </c>
      <c r="CS120" s="2" t="str">
        <f t="shared" si="132"/>
        <v/>
      </c>
      <c r="CT120" s="2" t="str">
        <f t="shared" si="133"/>
        <v/>
      </c>
      <c r="CU120" s="2" t="str">
        <f t="shared" si="134"/>
        <v/>
      </c>
      <c r="CV120" s="2" t="str">
        <f t="shared" si="135"/>
        <v/>
      </c>
      <c r="CW120" s="2"/>
      <c r="CX120" s="2"/>
      <c r="CY120" s="2"/>
      <c r="CZ120" s="2"/>
    </row>
    <row r="121" spans="43:104" ht="15" hidden="1" customHeight="1" x14ac:dyDescent="0.2">
      <c r="AQ121" s="13">
        <v>56</v>
      </c>
      <c r="AR121" s="12">
        <v>875000</v>
      </c>
      <c r="AS121" s="12">
        <v>560000</v>
      </c>
      <c r="AT121" s="1"/>
      <c r="AU121" s="1"/>
      <c r="AV121" s="1"/>
      <c r="AW121" s="1"/>
      <c r="AX121" s="2"/>
      <c r="AY121" s="2"/>
      <c r="AZ121" s="1">
        <v>480000</v>
      </c>
      <c r="BA121" s="2"/>
      <c r="BB121" s="2"/>
      <c r="BC121" s="2"/>
      <c r="BD121" s="2"/>
      <c r="BE121" s="2"/>
      <c r="BK121" s="2"/>
      <c r="BM121" s="2"/>
      <c r="BN121" s="2"/>
      <c r="BO121" s="2"/>
      <c r="BS121" s="81" t="str">
        <f>IF($J$24="Español","Boca Monstruosa",(IF($J$24="Deutsch","Eisenharte Haut",(IF($J$24="Français","Cornes","Claw / Claws")))))</f>
        <v>Boca Monstruosa</v>
      </c>
      <c r="BT121" s="21" t="s">
        <v>171</v>
      </c>
      <c r="BU121" s="21" t="str">
        <f t="shared" si="153"/>
        <v/>
      </c>
      <c r="BV121" s="21" t="str">
        <f t="shared" si="153"/>
        <v/>
      </c>
      <c r="BW121" s="21" t="str">
        <f t="shared" si="153"/>
        <v/>
      </c>
      <c r="BX121" s="21" t="str">
        <f t="shared" si="153"/>
        <v/>
      </c>
      <c r="BY121" s="21" t="str">
        <f t="shared" si="153"/>
        <v/>
      </c>
      <c r="BZ121" s="21" t="str">
        <f t="shared" si="153"/>
        <v/>
      </c>
      <c r="CA121" s="21" t="str">
        <f t="shared" si="151"/>
        <v/>
      </c>
      <c r="CB121" s="21" t="str">
        <f t="shared" si="151"/>
        <v/>
      </c>
      <c r="CC121" s="75" t="str">
        <f>IF($J$24="Español","Cola Prensil",(IF($J$24="Deutsch","Hörner",(IF($J$24="Français","Grande gueule","Extra Arms")))))</f>
        <v>Cola Prensil</v>
      </c>
      <c r="CD121" s="2" t="s">
        <v>171</v>
      </c>
      <c r="CE121" s="80"/>
      <c r="CF121" s="2"/>
      <c r="CG121" s="2" t="str">
        <f t="shared" si="120"/>
        <v/>
      </c>
      <c r="CH121" s="2" t="str">
        <f t="shared" si="121"/>
        <v/>
      </c>
      <c r="CI121" s="2" t="str">
        <f t="shared" si="122"/>
        <v/>
      </c>
      <c r="CJ121" s="2" t="str">
        <f t="shared" si="123"/>
        <v/>
      </c>
      <c r="CK121" s="2" t="str">
        <f t="shared" si="124"/>
        <v/>
      </c>
      <c r="CL121" s="2" t="str">
        <f t="shared" si="125"/>
        <v/>
      </c>
      <c r="CM121" s="2" t="str">
        <f t="shared" si="126"/>
        <v/>
      </c>
      <c r="CN121" s="2" t="str">
        <f t="shared" si="127"/>
        <v/>
      </c>
      <c r="CO121" s="2" t="str">
        <f t="shared" si="128"/>
        <v/>
      </c>
      <c r="CP121" s="2" t="str">
        <f t="shared" si="129"/>
        <v/>
      </c>
      <c r="CQ121" s="2" t="str">
        <f t="shared" si="130"/>
        <v/>
      </c>
      <c r="CR121" s="2" t="str">
        <f t="shared" si="131"/>
        <v/>
      </c>
      <c r="CS121" s="2" t="str">
        <f t="shared" si="132"/>
        <v/>
      </c>
      <c r="CT121" s="2" t="str">
        <f t="shared" si="133"/>
        <v/>
      </c>
      <c r="CU121" s="2" t="str">
        <f t="shared" si="134"/>
        <v/>
      </c>
      <c r="CV121" s="2" t="str">
        <f t="shared" si="135"/>
        <v/>
      </c>
      <c r="CW121" s="2"/>
      <c r="CX121" s="2"/>
      <c r="CY121" s="2"/>
      <c r="CZ121" s="2"/>
    </row>
    <row r="122" spans="43:104" ht="15" hidden="1" customHeight="1" x14ac:dyDescent="0.2">
      <c r="AQ122" s="13">
        <v>57</v>
      </c>
      <c r="AR122" s="12">
        <v>880000</v>
      </c>
      <c r="AS122" s="12">
        <v>570000</v>
      </c>
      <c r="AT122" s="1"/>
      <c r="AU122" s="1"/>
      <c r="AV122" s="1"/>
      <c r="AW122" s="1"/>
      <c r="AX122" s="2"/>
      <c r="AY122" s="2"/>
      <c r="AZ122" s="1">
        <v>490000</v>
      </c>
      <c r="BA122" s="2"/>
      <c r="BB122" s="2"/>
      <c r="BC122" s="2"/>
      <c r="BD122" s="2"/>
      <c r="BE122" s="2"/>
      <c r="BK122" s="2"/>
      <c r="BM122" s="2"/>
      <c r="BN122" s="2"/>
      <c r="BO122" s="2"/>
      <c r="BS122" s="81" t="str">
        <f>IF($J$24="Español","Brazos Adicionales",(IF($J$24="Deutsch","Große Hand",(IF($J$24="Français","Deux tête","Disturbing Presence")))))</f>
        <v>Brazos Adicionales</v>
      </c>
      <c r="BT122" s="21" t="s">
        <v>171</v>
      </c>
      <c r="BU122" s="21" t="str">
        <f t="shared" si="153"/>
        <v/>
      </c>
      <c r="BV122" s="21" t="str">
        <f t="shared" si="153"/>
        <v/>
      </c>
      <c r="BW122" s="21" t="str">
        <f t="shared" si="153"/>
        <v/>
      </c>
      <c r="BX122" s="21" t="str">
        <f t="shared" si="153"/>
        <v/>
      </c>
      <c r="BY122" s="21" t="str">
        <f t="shared" si="153"/>
        <v/>
      </c>
      <c r="BZ122" s="21" t="str">
        <f t="shared" si="153"/>
        <v/>
      </c>
      <c r="CA122" s="21" t="str">
        <f t="shared" si="151"/>
        <v/>
      </c>
      <c r="CB122" s="21" t="str">
        <f t="shared" si="151"/>
        <v/>
      </c>
      <c r="CC122" s="75" t="str">
        <f>IF($J$24="Español","Cuernos",(IF($J$24="Deutsch","Klammerschwanz",(IF($J$24="Français","Griffes","Foul Appearance")))))</f>
        <v>Cuernos</v>
      </c>
      <c r="CD122" s="2" t="s">
        <v>171</v>
      </c>
      <c r="CE122" s="80"/>
      <c r="CF122" s="2"/>
      <c r="CG122" s="2" t="str">
        <f t="shared" si="120"/>
        <v/>
      </c>
      <c r="CH122" s="2" t="str">
        <f t="shared" si="121"/>
        <v/>
      </c>
      <c r="CI122" s="2" t="str">
        <f t="shared" si="122"/>
        <v/>
      </c>
      <c r="CJ122" s="2" t="str">
        <f t="shared" si="123"/>
        <v/>
      </c>
      <c r="CK122" s="2" t="str">
        <f t="shared" si="124"/>
        <v/>
      </c>
      <c r="CL122" s="2" t="str">
        <f t="shared" si="125"/>
        <v/>
      </c>
      <c r="CM122" s="2" t="str">
        <f t="shared" si="126"/>
        <v/>
      </c>
      <c r="CN122" s="2" t="str">
        <f t="shared" si="127"/>
        <v/>
      </c>
      <c r="CO122" s="2" t="str">
        <f t="shared" si="128"/>
        <v/>
      </c>
      <c r="CP122" s="2" t="str">
        <f t="shared" si="129"/>
        <v/>
      </c>
      <c r="CQ122" s="2" t="str">
        <f t="shared" si="130"/>
        <v/>
      </c>
      <c r="CR122" s="2" t="str">
        <f t="shared" si="131"/>
        <v/>
      </c>
      <c r="CS122" s="2" t="str">
        <f t="shared" si="132"/>
        <v/>
      </c>
      <c r="CT122" s="2" t="str">
        <f t="shared" si="133"/>
        <v/>
      </c>
      <c r="CU122" s="2" t="str">
        <f t="shared" si="134"/>
        <v/>
      </c>
      <c r="CV122" s="2" t="str">
        <f t="shared" si="135"/>
        <v/>
      </c>
      <c r="CW122" s="2"/>
      <c r="CX122" s="2"/>
      <c r="CY122" s="2"/>
      <c r="CZ122" s="2"/>
    </row>
    <row r="123" spans="43:104" ht="15" hidden="1" customHeight="1" x14ac:dyDescent="0.2">
      <c r="AQ123" s="12">
        <v>58</v>
      </c>
      <c r="AR123" s="12">
        <v>885000</v>
      </c>
      <c r="AS123" s="12">
        <v>580000</v>
      </c>
      <c r="AT123" s="1"/>
      <c r="AU123" s="1"/>
      <c r="AV123" s="1"/>
      <c r="AW123" s="1"/>
      <c r="AX123" s="2"/>
      <c r="AY123" s="2"/>
      <c r="AZ123" s="1">
        <v>500000</v>
      </c>
      <c r="BA123" s="2"/>
      <c r="BB123" s="2"/>
      <c r="BC123" s="2"/>
      <c r="BD123" s="2"/>
      <c r="BE123" s="2"/>
      <c r="BK123" s="2"/>
      <c r="BM123" s="2"/>
      <c r="BN123" s="2"/>
      <c r="BO123" s="2"/>
      <c r="BS123" s="81" t="str">
        <f>IF($J$24="Español","Cola Prensil",(IF($J$24="Deutsch","Hörner",(IF($J$24="Français","Grande gueule","Extra Arms")))))</f>
        <v>Cola Prensil</v>
      </c>
      <c r="BT123" s="21" t="s">
        <v>171</v>
      </c>
      <c r="BU123" s="21" t="str">
        <f t="shared" si="153"/>
        <v/>
      </c>
      <c r="BV123" s="21" t="str">
        <f t="shared" si="153"/>
        <v/>
      </c>
      <c r="BW123" s="21" t="str">
        <f t="shared" si="153"/>
        <v/>
      </c>
      <c r="BX123" s="21" t="str">
        <f t="shared" si="153"/>
        <v/>
      </c>
      <c r="BY123" s="21" t="str">
        <f t="shared" si="153"/>
        <v/>
      </c>
      <c r="BZ123" s="21" t="str">
        <f t="shared" si="153"/>
        <v/>
      </c>
      <c r="CA123" s="21" t="str">
        <f t="shared" si="151"/>
        <v/>
      </c>
      <c r="CB123" s="21" t="str">
        <f t="shared" si="151"/>
        <v/>
      </c>
      <c r="CC123" s="75" t="str">
        <f>IF($J$24="Español","Dos Cabezas",(IF($J$24="Deutsch","Klauen",(IF($J$24="Français","Main démesurée","Horns")))))</f>
        <v>Dos Cabezas</v>
      </c>
      <c r="CD123" s="2" t="s">
        <v>171</v>
      </c>
      <c r="CE123" s="80"/>
      <c r="CF123" s="2"/>
      <c r="CG123" s="2" t="str">
        <f t="shared" si="120"/>
        <v/>
      </c>
      <c r="CH123" s="2" t="str">
        <f t="shared" si="121"/>
        <v/>
      </c>
      <c r="CI123" s="2" t="str">
        <f t="shared" si="122"/>
        <v/>
      </c>
      <c r="CJ123" s="2" t="str">
        <f t="shared" si="123"/>
        <v/>
      </c>
      <c r="CK123" s="2" t="str">
        <f t="shared" si="124"/>
        <v/>
      </c>
      <c r="CL123" s="2" t="str">
        <f t="shared" si="125"/>
        <v/>
      </c>
      <c r="CM123" s="2" t="str">
        <f t="shared" si="126"/>
        <v/>
      </c>
      <c r="CN123" s="2" t="str">
        <f t="shared" si="127"/>
        <v/>
      </c>
      <c r="CO123" s="2" t="str">
        <f t="shared" si="128"/>
        <v/>
      </c>
      <c r="CP123" s="2" t="str">
        <f t="shared" si="129"/>
        <v/>
      </c>
      <c r="CQ123" s="2" t="str">
        <f t="shared" si="130"/>
        <v/>
      </c>
      <c r="CR123" s="2" t="str">
        <f t="shared" si="131"/>
        <v/>
      </c>
      <c r="CS123" s="2" t="str">
        <f t="shared" si="132"/>
        <v/>
      </c>
      <c r="CT123" s="2" t="str">
        <f t="shared" si="133"/>
        <v/>
      </c>
      <c r="CU123" s="2" t="str">
        <f t="shared" si="134"/>
        <v/>
      </c>
      <c r="CV123" s="2" t="str">
        <f t="shared" si="135"/>
        <v/>
      </c>
      <c r="CW123" s="2"/>
      <c r="CX123" s="2"/>
      <c r="CY123" s="2"/>
      <c r="CZ123" s="2"/>
    </row>
    <row r="124" spans="43:104" ht="15" hidden="1" customHeight="1" x14ac:dyDescent="0.2">
      <c r="AQ124" s="13">
        <v>59</v>
      </c>
      <c r="AR124" s="12">
        <v>890000</v>
      </c>
      <c r="AS124" s="12">
        <v>590000</v>
      </c>
      <c r="AT124" s="1"/>
      <c r="AU124" s="1"/>
      <c r="AV124" s="1"/>
      <c r="AW124" s="1"/>
      <c r="AX124" s="2"/>
      <c r="AY124" s="2"/>
      <c r="AZ124" s="2"/>
      <c r="BA124" s="2"/>
      <c r="BB124" s="2"/>
      <c r="BC124" s="2"/>
      <c r="BD124" s="2"/>
      <c r="BE124" s="2"/>
      <c r="BK124" s="2"/>
      <c r="BM124" s="2"/>
      <c r="BN124" s="2"/>
      <c r="BO124" s="2"/>
      <c r="BS124" s="81" t="str">
        <f>IF($J$24="Español","Cuernos",(IF($J$24="Deutsch","Klammerschwanz",(IF($J$24="Français","Griffes","Foul Appearance")))))</f>
        <v>Cuernos</v>
      </c>
      <c r="BT124" s="21" t="s">
        <v>171</v>
      </c>
      <c r="BU124" s="21" t="str">
        <f t="shared" si="153"/>
        <v/>
      </c>
      <c r="BV124" s="21" t="str">
        <f t="shared" si="153"/>
        <v/>
      </c>
      <c r="BW124" s="21" t="str">
        <f t="shared" si="153"/>
        <v/>
      </c>
      <c r="BX124" s="21" t="str">
        <f t="shared" si="153"/>
        <v/>
      </c>
      <c r="BY124" s="21" t="str">
        <f t="shared" si="153"/>
        <v/>
      </c>
      <c r="BZ124" s="21" t="str">
        <f t="shared" si="153"/>
        <v/>
      </c>
      <c r="CA124" s="21" t="str">
        <f t="shared" si="151"/>
        <v/>
      </c>
      <c r="CB124" s="21" t="str">
        <f t="shared" si="151"/>
        <v/>
      </c>
      <c r="CC124" s="21" t="str">
        <f>IF($J$24="Español","Garra / Garras",(IF($J$24="Deutsch","Monströses Maul",(IF($J$24="Français","Queue préhensile","Iron Hard Skin")))))</f>
        <v>Garra / Garras</v>
      </c>
      <c r="CD124" s="2" t="s">
        <v>171</v>
      </c>
      <c r="CE124" s="80"/>
      <c r="CF124" s="2"/>
      <c r="CG124" s="2" t="str">
        <f t="shared" si="120"/>
        <v/>
      </c>
      <c r="CH124" s="2" t="str">
        <f t="shared" si="121"/>
        <v/>
      </c>
      <c r="CI124" s="2" t="str">
        <f t="shared" si="122"/>
        <v/>
      </c>
      <c r="CJ124" s="2" t="str">
        <f t="shared" si="123"/>
        <v/>
      </c>
      <c r="CK124" s="2" t="str">
        <f t="shared" si="124"/>
        <v/>
      </c>
      <c r="CL124" s="2" t="str">
        <f t="shared" si="125"/>
        <v/>
      </c>
      <c r="CM124" s="2" t="str">
        <f t="shared" si="126"/>
        <v/>
      </c>
      <c r="CN124" s="2" t="str">
        <f t="shared" si="127"/>
        <v/>
      </c>
      <c r="CO124" s="2" t="str">
        <f t="shared" si="128"/>
        <v/>
      </c>
      <c r="CP124" s="2" t="str">
        <f t="shared" si="129"/>
        <v/>
      </c>
      <c r="CQ124" s="2" t="str">
        <f t="shared" si="130"/>
        <v/>
      </c>
      <c r="CR124" s="2" t="str">
        <f t="shared" si="131"/>
        <v/>
      </c>
      <c r="CS124" s="2" t="str">
        <f t="shared" si="132"/>
        <v/>
      </c>
      <c r="CT124" s="2" t="str">
        <f t="shared" si="133"/>
        <v/>
      </c>
      <c r="CU124" s="2" t="str">
        <f t="shared" si="134"/>
        <v/>
      </c>
      <c r="CV124" s="2" t="str">
        <f t="shared" si="135"/>
        <v/>
      </c>
      <c r="CW124" s="2"/>
      <c r="CX124" s="2"/>
      <c r="CY124" s="2"/>
      <c r="CZ124" s="2"/>
    </row>
    <row r="125" spans="43:104" ht="15" hidden="1" customHeight="1" x14ac:dyDescent="0.2">
      <c r="AQ125" s="13">
        <v>60</v>
      </c>
      <c r="AR125" s="12">
        <v>895000</v>
      </c>
      <c r="AS125" s="12">
        <v>600000</v>
      </c>
      <c r="AT125" s="1"/>
      <c r="AU125" s="1"/>
      <c r="AV125" s="1"/>
      <c r="AW125" s="1"/>
      <c r="AX125" s="2"/>
      <c r="AY125" s="2"/>
      <c r="AZ125" s="2"/>
      <c r="BA125" s="2"/>
      <c r="BB125" s="2"/>
      <c r="BC125" s="2"/>
      <c r="BD125" s="2"/>
      <c r="BE125" s="2"/>
      <c r="BK125" s="2"/>
      <c r="BM125" s="2"/>
      <c r="BN125" s="2"/>
      <c r="BO125" s="2"/>
      <c r="BS125" s="81" t="str">
        <f>IF($J$24="Español","Dos Cabezas",(IF($J$24="Deutsch","Klauen",(IF($J$24="Français","Main démesurée","Horns")))))</f>
        <v>Dos Cabezas</v>
      </c>
      <c r="BT125" s="21" t="s">
        <v>171</v>
      </c>
      <c r="BU125" s="21" t="str">
        <f t="shared" si="153"/>
        <v/>
      </c>
      <c r="BV125" s="21" t="str">
        <f t="shared" si="153"/>
        <v/>
      </c>
      <c r="BW125" s="21" t="str">
        <f t="shared" si="153"/>
        <v/>
      </c>
      <c r="BX125" s="21" t="str">
        <f t="shared" si="153"/>
        <v/>
      </c>
      <c r="BY125" s="21" t="str">
        <f t="shared" si="153"/>
        <v/>
      </c>
      <c r="BZ125" s="21" t="str">
        <f t="shared" si="153"/>
        <v/>
      </c>
      <c r="CA125" s="21" t="str">
        <f t="shared" si="151"/>
        <v/>
      </c>
      <c r="CB125" s="21" t="str">
        <f t="shared" si="151"/>
        <v/>
      </c>
      <c r="CC125" s="21" t="str">
        <f>IF($J$24="Español","Mano Grande",(IF($J$24="Deutsch","Sehr lange Beine",(IF($J$24="Français","Peau de fer","Monstrous Mouth")))))</f>
        <v>Mano Grande</v>
      </c>
      <c r="CD125" s="2" t="s">
        <v>171</v>
      </c>
      <c r="CE125" s="80"/>
      <c r="CF125" s="2"/>
      <c r="CG125" s="2" t="str">
        <f t="shared" si="120"/>
        <v/>
      </c>
      <c r="CH125" s="2" t="str">
        <f t="shared" si="121"/>
        <v/>
      </c>
      <c r="CI125" s="2" t="str">
        <f t="shared" si="122"/>
        <v/>
      </c>
      <c r="CJ125" s="2" t="str">
        <f t="shared" si="123"/>
        <v/>
      </c>
      <c r="CK125" s="2" t="str">
        <f t="shared" si="124"/>
        <v/>
      </c>
      <c r="CL125" s="2" t="str">
        <f t="shared" si="125"/>
        <v/>
      </c>
      <c r="CM125" s="2" t="str">
        <f t="shared" si="126"/>
        <v/>
      </c>
      <c r="CN125" s="2" t="str">
        <f t="shared" si="127"/>
        <v/>
      </c>
      <c r="CO125" s="2" t="str">
        <f t="shared" si="128"/>
        <v/>
      </c>
      <c r="CP125" s="2" t="str">
        <f t="shared" si="129"/>
        <v/>
      </c>
      <c r="CQ125" s="2" t="str">
        <f t="shared" si="130"/>
        <v/>
      </c>
      <c r="CR125" s="2" t="str">
        <f t="shared" si="131"/>
        <v/>
      </c>
      <c r="CS125" s="2" t="str">
        <f t="shared" si="132"/>
        <v/>
      </c>
      <c r="CT125" s="2" t="str">
        <f t="shared" si="133"/>
        <v/>
      </c>
      <c r="CU125" s="2" t="str">
        <f t="shared" si="134"/>
        <v/>
      </c>
      <c r="CV125" s="2" t="str">
        <f t="shared" si="135"/>
        <v/>
      </c>
      <c r="CW125" s="2"/>
      <c r="CX125" s="2"/>
      <c r="CY125" s="2"/>
      <c r="CZ125" s="2"/>
    </row>
    <row r="126" spans="43:104" ht="15" hidden="1" customHeight="1" x14ac:dyDescent="0.2">
      <c r="AQ126" s="12">
        <v>61</v>
      </c>
      <c r="AR126" s="12">
        <v>900000</v>
      </c>
      <c r="AS126" s="12">
        <v>610000</v>
      </c>
      <c r="AT126" s="1"/>
      <c r="AU126" s="1"/>
      <c r="AV126" s="1"/>
      <c r="AW126" s="1"/>
      <c r="AX126" s="2"/>
      <c r="AY126" s="2"/>
      <c r="AZ126" s="2"/>
      <c r="BA126" s="2"/>
      <c r="BB126" s="2"/>
      <c r="BC126" s="2"/>
      <c r="BD126" s="2"/>
      <c r="BE126" s="2"/>
      <c r="BK126" s="2"/>
      <c r="BM126" s="2"/>
      <c r="BN126" s="2"/>
      <c r="BO126" s="2"/>
      <c r="BS126" s="21" t="str">
        <f>IF($J$24="Español","Garra / Garras",(IF($J$24="Deutsch","Monströses Maul",(IF($J$24="Français","Queue préhensile","Iron Hard Skin")))))</f>
        <v>Garra / Garras</v>
      </c>
      <c r="BT126" s="21" t="s">
        <v>171</v>
      </c>
      <c r="BU126" s="21" t="str">
        <f t="shared" si="153"/>
        <v/>
      </c>
      <c r="BV126" s="21" t="str">
        <f t="shared" si="153"/>
        <v/>
      </c>
      <c r="BW126" s="21" t="str">
        <f t="shared" si="153"/>
        <v/>
      </c>
      <c r="BX126" s="21" t="str">
        <f t="shared" si="153"/>
        <v/>
      </c>
      <c r="BY126" s="21" t="str">
        <f t="shared" si="153"/>
        <v/>
      </c>
      <c r="BZ126" s="21" t="str">
        <f t="shared" si="153"/>
        <v/>
      </c>
      <c r="CA126" s="21" t="str">
        <f t="shared" si="151"/>
        <v/>
      </c>
      <c r="CB126" s="21" t="str">
        <f t="shared" si="151"/>
        <v/>
      </c>
      <c r="CC126" s="75" t="str">
        <f>IF($J$24="Español","Piel Ferrea",(IF($J$24="Deutsch","Tentakel",(IF($J$24="Français","Présence perturbante","Prehensile Tail")))))</f>
        <v>Piel Ferrea</v>
      </c>
      <c r="CD126" s="2" t="s">
        <v>171</v>
      </c>
      <c r="CE126" s="80"/>
      <c r="CF126" s="2"/>
      <c r="CG126" s="2" t="str">
        <f t="shared" si="120"/>
        <v/>
      </c>
      <c r="CH126" s="2" t="str">
        <f t="shared" si="121"/>
        <v/>
      </c>
      <c r="CI126" s="2" t="str">
        <f t="shared" si="122"/>
        <v/>
      </c>
      <c r="CJ126" s="2" t="str">
        <f t="shared" si="123"/>
        <v/>
      </c>
      <c r="CK126" s="2" t="str">
        <f t="shared" si="124"/>
        <v/>
      </c>
      <c r="CL126" s="2" t="str">
        <f t="shared" si="125"/>
        <v/>
      </c>
      <c r="CM126" s="2" t="str">
        <f t="shared" si="126"/>
        <v/>
      </c>
      <c r="CN126" s="2" t="str">
        <f t="shared" si="127"/>
        <v/>
      </c>
      <c r="CO126" s="2" t="str">
        <f t="shared" si="128"/>
        <v/>
      </c>
      <c r="CP126" s="2" t="str">
        <f t="shared" si="129"/>
        <v/>
      </c>
      <c r="CQ126" s="2" t="str">
        <f t="shared" si="130"/>
        <v/>
      </c>
      <c r="CR126" s="2" t="str">
        <f t="shared" si="131"/>
        <v/>
      </c>
      <c r="CS126" s="2" t="str">
        <f t="shared" si="132"/>
        <v/>
      </c>
      <c r="CT126" s="2" t="str">
        <f t="shared" si="133"/>
        <v/>
      </c>
      <c r="CU126" s="2" t="str">
        <f t="shared" si="134"/>
        <v/>
      </c>
      <c r="CV126" s="2" t="str">
        <f t="shared" si="135"/>
        <v/>
      </c>
      <c r="CW126" s="2"/>
      <c r="CX126" s="2"/>
      <c r="CY126" s="2"/>
      <c r="CZ126" s="2"/>
    </row>
    <row r="127" spans="43:104" ht="15" hidden="1" customHeight="1" x14ac:dyDescent="0.2">
      <c r="AQ127" s="13">
        <v>62</v>
      </c>
      <c r="AR127" s="12">
        <v>905000</v>
      </c>
      <c r="AS127" s="12">
        <v>620000</v>
      </c>
      <c r="AT127" s="1"/>
      <c r="AU127" s="1"/>
      <c r="AV127" s="1"/>
      <c r="AW127" s="1"/>
      <c r="AX127" s="2"/>
      <c r="AY127" s="2"/>
      <c r="AZ127" s="2"/>
      <c r="BA127" s="2"/>
      <c r="BB127" s="2"/>
      <c r="BC127" s="2"/>
      <c r="BD127" s="2"/>
      <c r="BE127" s="2"/>
      <c r="BK127" s="2"/>
      <c r="BM127" s="2"/>
      <c r="BN127" s="2"/>
      <c r="BO127" s="2"/>
      <c r="BS127" s="21" t="str">
        <f>IF($J$24="Español","Mano Grande",(IF($J$24="Deutsch","Sehr lange Beine",(IF($J$24="Français","Peau de fer","Monstrous Mouth")))))</f>
        <v>Mano Grande</v>
      </c>
      <c r="BT127" s="21" t="s">
        <v>171</v>
      </c>
      <c r="BU127" s="21" t="str">
        <f t="shared" si="153"/>
        <v/>
      </c>
      <c r="BV127" s="21" t="str">
        <f t="shared" si="153"/>
        <v/>
      </c>
      <c r="BW127" s="21" t="str">
        <f t="shared" si="153"/>
        <v/>
      </c>
      <c r="BX127" s="21" t="str">
        <f t="shared" si="153"/>
        <v/>
      </c>
      <c r="BY127" s="21" t="str">
        <f t="shared" si="153"/>
        <v/>
      </c>
      <c r="BZ127" s="21" t="str">
        <f t="shared" si="153"/>
        <v/>
      </c>
      <c r="CA127" s="21" t="str">
        <f t="shared" si="151"/>
        <v/>
      </c>
      <c r="CB127" s="21" t="str">
        <f t="shared" si="151"/>
        <v/>
      </c>
      <c r="CC127" s="75" t="str">
        <f>IF($J$24="Español","Piernas muy Largas",(IF($J$24="Deutsch","Verstörende Präsenz",(IF($J$24="Français","Répulsion","Tentacles")))))</f>
        <v>Piernas muy Largas</v>
      </c>
      <c r="CD127" s="2" t="s">
        <v>171</v>
      </c>
      <c r="CE127" s="80"/>
      <c r="CF127" s="2"/>
      <c r="CG127" s="2" t="str">
        <f t="shared" si="120"/>
        <v/>
      </c>
      <c r="CH127" s="2" t="str">
        <f t="shared" si="121"/>
        <v/>
      </c>
      <c r="CI127" s="2" t="str">
        <f t="shared" si="122"/>
        <v/>
      </c>
      <c r="CJ127" s="2" t="str">
        <f t="shared" si="123"/>
        <v/>
      </c>
      <c r="CK127" s="2" t="str">
        <f t="shared" si="124"/>
        <v/>
      </c>
      <c r="CL127" s="2" t="str">
        <f t="shared" si="125"/>
        <v/>
      </c>
      <c r="CM127" s="2" t="str">
        <f t="shared" si="126"/>
        <v/>
      </c>
      <c r="CN127" s="2" t="str">
        <f t="shared" si="127"/>
        <v/>
      </c>
      <c r="CO127" s="2" t="str">
        <f t="shared" si="128"/>
        <v/>
      </c>
      <c r="CP127" s="2" t="str">
        <f t="shared" si="129"/>
        <v/>
      </c>
      <c r="CQ127" s="2" t="str">
        <f t="shared" si="130"/>
        <v/>
      </c>
      <c r="CR127" s="2" t="str">
        <f t="shared" si="131"/>
        <v/>
      </c>
      <c r="CS127" s="2" t="str">
        <f t="shared" si="132"/>
        <v/>
      </c>
      <c r="CT127" s="2" t="str">
        <f t="shared" si="133"/>
        <v/>
      </c>
      <c r="CU127" s="2" t="str">
        <f t="shared" si="134"/>
        <v/>
      </c>
      <c r="CV127" s="2" t="str">
        <f t="shared" si="135"/>
        <v/>
      </c>
      <c r="CW127" s="2"/>
      <c r="CX127" s="2"/>
      <c r="CY127" s="2"/>
      <c r="CZ127" s="2"/>
    </row>
    <row r="128" spans="43:104" ht="15" hidden="1" customHeight="1" x14ac:dyDescent="0.2">
      <c r="AQ128" s="12">
        <v>63</v>
      </c>
      <c r="AR128" s="12">
        <v>910000</v>
      </c>
      <c r="AS128" s="12">
        <v>630000</v>
      </c>
      <c r="AT128" s="1"/>
      <c r="AU128" s="1"/>
      <c r="AV128" s="1"/>
      <c r="AW128" s="1"/>
      <c r="AX128" s="2"/>
      <c r="AY128" s="2"/>
      <c r="AZ128" s="2"/>
      <c r="BA128" s="2"/>
      <c r="BB128" s="2"/>
      <c r="BC128" s="2"/>
      <c r="BD128" s="2"/>
      <c r="BE128" s="2"/>
      <c r="BK128" s="2"/>
      <c r="BM128" s="2"/>
      <c r="BN128" s="2"/>
      <c r="BO128" s="2"/>
      <c r="BS128" s="81" t="str">
        <f>IF($J$24="Español","Piel Ferrea",(IF($J$24="Deutsch","Tentakel",(IF($J$24="Français","Présence perturbante","Prehensile Tail")))))</f>
        <v>Piel Ferrea</v>
      </c>
      <c r="BT128" s="21" t="s">
        <v>171</v>
      </c>
      <c r="BU128" s="21" t="str">
        <f t="shared" si="153"/>
        <v/>
      </c>
      <c r="BV128" s="21" t="str">
        <f t="shared" si="153"/>
        <v/>
      </c>
      <c r="BW128" s="21" t="str">
        <f t="shared" si="153"/>
        <v/>
      </c>
      <c r="BX128" s="21" t="str">
        <f t="shared" si="153"/>
        <v/>
      </c>
      <c r="BY128" s="21" t="str">
        <f t="shared" si="153"/>
        <v/>
      </c>
      <c r="BZ128" s="21" t="str">
        <f t="shared" si="153"/>
        <v/>
      </c>
      <c r="CA128" s="21" t="str">
        <f t="shared" si="151"/>
        <v/>
      </c>
      <c r="CB128" s="21" t="str">
        <f t="shared" si="151"/>
        <v/>
      </c>
      <c r="CC128" s="75" t="str">
        <f>IF($J$24="Español","Presencia Perturbadora",(IF($J$24="Deutsch","Zwei Köpfe",(IF($J$24="Français","Tentacule","Two Heads")))))</f>
        <v>Presencia Perturbadora</v>
      </c>
      <c r="CD128" s="2" t="s">
        <v>171</v>
      </c>
      <c r="CE128" s="80"/>
      <c r="CF128" s="2"/>
      <c r="CG128" s="2" t="str">
        <f t="shared" si="120"/>
        <v/>
      </c>
      <c r="CH128" s="2" t="str">
        <f t="shared" si="121"/>
        <v/>
      </c>
      <c r="CI128" s="2" t="str">
        <f t="shared" si="122"/>
        <v/>
      </c>
      <c r="CJ128" s="2" t="str">
        <f t="shared" si="123"/>
        <v/>
      </c>
      <c r="CK128" s="2" t="str">
        <f t="shared" si="124"/>
        <v/>
      </c>
      <c r="CL128" s="2" t="str">
        <f t="shared" si="125"/>
        <v/>
      </c>
      <c r="CM128" s="2" t="str">
        <f t="shared" si="126"/>
        <v/>
      </c>
      <c r="CN128" s="2" t="str">
        <f t="shared" si="127"/>
        <v/>
      </c>
      <c r="CO128" s="2" t="str">
        <f t="shared" si="128"/>
        <v/>
      </c>
      <c r="CP128" s="2" t="str">
        <f t="shared" si="129"/>
        <v/>
      </c>
      <c r="CQ128" s="2" t="str">
        <f t="shared" si="130"/>
        <v/>
      </c>
      <c r="CR128" s="2" t="str">
        <f t="shared" si="131"/>
        <v/>
      </c>
      <c r="CS128" s="2" t="str">
        <f t="shared" si="132"/>
        <v/>
      </c>
      <c r="CT128" s="2" t="str">
        <f t="shared" si="133"/>
        <v/>
      </c>
      <c r="CU128" s="2" t="str">
        <f t="shared" si="134"/>
        <v/>
      </c>
      <c r="CV128" s="2" t="str">
        <f t="shared" si="135"/>
        <v/>
      </c>
      <c r="CW128" s="2"/>
      <c r="CX128" s="2"/>
      <c r="CY128" s="2"/>
      <c r="CZ128" s="2"/>
    </row>
    <row r="129" spans="43:104" ht="15" hidden="1" customHeight="1" x14ac:dyDescent="0.2">
      <c r="AQ129" s="13">
        <v>64</v>
      </c>
      <c r="AR129" s="12">
        <v>915000</v>
      </c>
      <c r="AS129" s="12">
        <v>640000</v>
      </c>
      <c r="AT129" s="1"/>
      <c r="AU129" s="1"/>
      <c r="AV129" s="1"/>
      <c r="AW129" s="1"/>
      <c r="AX129" s="2"/>
      <c r="AY129" s="2"/>
      <c r="AZ129" s="2"/>
      <c r="BA129" s="2"/>
      <c r="BB129" s="2"/>
      <c r="BC129" s="2"/>
      <c r="BD129" s="2"/>
      <c r="BE129" s="2"/>
      <c r="BK129" s="2"/>
      <c r="BM129" s="2"/>
      <c r="BN129" s="2"/>
      <c r="BO129" s="2"/>
      <c r="BS129" s="81" t="str">
        <f>IF($J$24="Español","Piernas muy Largas",(IF($J$24="Deutsch","Verstörende Präsenz",(IF($J$24="Français","Répulsion","Tentacles")))))</f>
        <v>Piernas muy Largas</v>
      </c>
      <c r="BT129" s="21" t="s">
        <v>171</v>
      </c>
      <c r="BU129" s="21" t="str">
        <f t="shared" si="153"/>
        <v/>
      </c>
      <c r="BV129" s="21" t="str">
        <f t="shared" si="153"/>
        <v/>
      </c>
      <c r="BW129" s="21" t="str">
        <f t="shared" si="153"/>
        <v/>
      </c>
      <c r="BX129" s="21" t="str">
        <f t="shared" si="153"/>
        <v/>
      </c>
      <c r="BY129" s="21" t="str">
        <f t="shared" si="153"/>
        <v/>
      </c>
      <c r="BZ129" s="21" t="str">
        <f t="shared" si="153"/>
        <v/>
      </c>
      <c r="CA129" s="21" t="str">
        <f t="shared" si="151"/>
        <v/>
      </c>
      <c r="CB129" s="21" t="str">
        <f t="shared" si="151"/>
        <v/>
      </c>
      <c r="CC129" s="75" t="str">
        <f>IF($J$24="Español","Tentáculos",(IF($J$24="Deutsch","Zusätzliche Arme",(IF($J$24="Français","Très longues jambes","Very Long Legs")))))</f>
        <v>Tentáculos</v>
      </c>
      <c r="CD129" s="2" t="s">
        <v>171</v>
      </c>
      <c r="CE129" s="80"/>
      <c r="CF129" s="2"/>
      <c r="CG129" s="2" t="str">
        <f t="shared" si="120"/>
        <v/>
      </c>
      <c r="CH129" s="2" t="str">
        <f t="shared" si="121"/>
        <v/>
      </c>
      <c r="CI129" s="2" t="str">
        <f t="shared" si="122"/>
        <v/>
      </c>
      <c r="CJ129" s="2" t="str">
        <f t="shared" si="123"/>
        <v/>
      </c>
      <c r="CK129" s="2" t="str">
        <f t="shared" si="124"/>
        <v/>
      </c>
      <c r="CL129" s="2" t="str">
        <f t="shared" si="125"/>
        <v/>
      </c>
      <c r="CM129" s="2" t="str">
        <f t="shared" si="126"/>
        <v/>
      </c>
      <c r="CN129" s="2" t="str">
        <f t="shared" si="127"/>
        <v/>
      </c>
      <c r="CO129" s="2" t="str">
        <f t="shared" si="128"/>
        <v/>
      </c>
      <c r="CP129" s="2" t="str">
        <f t="shared" si="129"/>
        <v/>
      </c>
      <c r="CQ129" s="2" t="str">
        <f t="shared" si="130"/>
        <v/>
      </c>
      <c r="CR129" s="2" t="str">
        <f t="shared" si="131"/>
        <v/>
      </c>
      <c r="CS129" s="2" t="str">
        <f t="shared" si="132"/>
        <v/>
      </c>
      <c r="CT129" s="2" t="str">
        <f t="shared" si="133"/>
        <v/>
      </c>
      <c r="CU129" s="2" t="str">
        <f t="shared" si="134"/>
        <v/>
      </c>
      <c r="CV129" s="2" t="str">
        <f t="shared" si="135"/>
        <v/>
      </c>
      <c r="CW129" s="2"/>
      <c r="CX129" s="2"/>
      <c r="CY129" s="2"/>
      <c r="CZ129" s="2"/>
    </row>
    <row r="130" spans="43:104" ht="15" hidden="1" customHeight="1" x14ac:dyDescent="0.2">
      <c r="AQ130" s="13">
        <v>65</v>
      </c>
      <c r="AR130" s="12">
        <v>920000</v>
      </c>
      <c r="AS130" s="12">
        <v>650000</v>
      </c>
      <c r="AT130" s="1"/>
      <c r="AU130" s="1"/>
      <c r="AV130" s="1"/>
      <c r="AW130" s="1"/>
      <c r="AX130" s="2"/>
      <c r="AY130" s="2"/>
      <c r="AZ130" s="2"/>
      <c r="BA130" s="2"/>
      <c r="BB130" s="2"/>
      <c r="BC130" s="2"/>
      <c r="BD130" s="2"/>
      <c r="BE130" s="2"/>
      <c r="BK130" s="2"/>
      <c r="BM130" s="2"/>
      <c r="BN130" s="2"/>
      <c r="BO130" s="2"/>
      <c r="BS130" s="81" t="str">
        <f>IF($J$24="Español","Presencia Perturbadora",(IF($J$24="Deutsch","Zwei Köpfe",(IF($J$24="Français","Tentacule","Two Heads")))))</f>
        <v>Presencia Perturbadora</v>
      </c>
      <c r="BT130" s="21" t="s">
        <v>171</v>
      </c>
      <c r="BU130" s="21" t="str">
        <f t="shared" si="153"/>
        <v/>
      </c>
      <c r="BV130" s="21" t="str">
        <f t="shared" si="153"/>
        <v/>
      </c>
      <c r="BW130" s="21" t="str">
        <f t="shared" si="153"/>
        <v/>
      </c>
      <c r="BX130" s="21" t="str">
        <f t="shared" si="153"/>
        <v/>
      </c>
      <c r="BY130" s="21" t="str">
        <f t="shared" si="153"/>
        <v/>
      </c>
      <c r="BZ130" s="21" t="str">
        <f t="shared" si="153"/>
        <v/>
      </c>
      <c r="CA130" s="21" t="str">
        <f t="shared" si="151"/>
        <v/>
      </c>
      <c r="CB130" s="21" t="str">
        <f t="shared" si="151"/>
        <v/>
      </c>
      <c r="CC130" s="13"/>
      <c r="CD130" s="2"/>
      <c r="CE130" s="2"/>
      <c r="CF130" s="2"/>
      <c r="CG130" s="2" t="str">
        <f t="shared" ref="CG130:CG139" si="154">IFERROR((IF($CG$62="M",BW131,IF($CG$62="PM",BY131,IF($CG$62="P",BU131,IF($CG$62="FULL",BS131,IF($CG$62="GPSM",CA135,"")))))),"")</f>
        <v/>
      </c>
      <c r="CH130" s="2" t="str">
        <f t="shared" ref="CH130:CH139" si="155">IFERROR((IF($CH$62="M",BW131,IF($CH$62="PM",BY131,IF($CH$62="P",BU131,IF($CH$62="FULL",BS131,IF($CH$62="GPSM",CA135,"")))))),"")</f>
        <v/>
      </c>
      <c r="CI130" s="2" t="str">
        <f t="shared" ref="CI130:CI139" si="156">IFERROR((IF($CI$62="M",BW131,IF($CI$62="PM",BY131,IF($CI$62="P",BU131,IF($CI$62="FULL",BS131,IF($CI$62="GPSM",CA135,"")))))),"")</f>
        <v/>
      </c>
      <c r="CJ130" s="2" t="str">
        <f t="shared" ref="CJ130:CJ139" si="157">IFERROR((IF($CJ$62="M",BW131,IF($CJ$62="PM",BY131,IF($CJ$62="P",BU131,IF($CJ$62="FULL",BS131,IF($CJ$62="GPSM",CA135,"")))))),"")</f>
        <v/>
      </c>
      <c r="CK130" s="2" t="str">
        <f t="shared" ref="CK130:CK139" si="158">IFERROR((IF($CK$62="M",BW131,IF($CK$62="PM",BY131,IF($CK$62="P",BU131,IF($CK$62="FULL",BS131,IF($CK$62="GPSM",CA135,"")))))),"")</f>
        <v/>
      </c>
      <c r="CL130" s="2" t="str">
        <f t="shared" ref="CL130:CL139" si="159">IFERROR((IF($CL$62="M",BW131,IF($CL$62="PM",BY131,IF($CL$62="P",BU131,IF($CL$62="FULL",BS131,IF($CL$62="GPSM",CA135,"")))))),"")</f>
        <v/>
      </c>
      <c r="CM130" s="2" t="str">
        <f t="shared" ref="CM130:CM139" si="160">IFERROR((IF($CM$62="M",BW131,IF($CM$62="PM",BY131,IF($CM$62="P",BU131,IF($CM$62="FULL",BS131,IF($CM$62="GPSM",CA135,"")))))),"")</f>
        <v/>
      </c>
      <c r="CN130" s="2" t="str">
        <f t="shared" ref="CN130:CN139" si="161">IFERROR((IF($CN$62="M",BW131,IF($CN$62="PM",BY131,IF($CN$62="P",BU131,IF($CN$62="FULL",BS131,IF($CN$62="GPSM",CA135,"")))))),"")</f>
        <v/>
      </c>
      <c r="CO130" s="2" t="str">
        <f t="shared" ref="CO130:CO139" si="162">IFERROR((IF($CO$62="M",BW131,IF($CO$62="PM",BY131,IF($CO$62="P",BU131,IF($CO$62="FULL",BS131,IF($CO$62="GPSM",CA135,"")))))),"")</f>
        <v/>
      </c>
      <c r="CP130" s="2" t="str">
        <f t="shared" ref="CP130:CP139" si="163">IFERROR((IF($CP$62="M",BW131,IF($CP$62="PM",BY131,IF($CP$62="P",BU131,IF($CP$62="FULL",BS131,IF($CP$62="GPSM",CA135,"")))))),"")</f>
        <v/>
      </c>
      <c r="CQ130" s="2" t="str">
        <f t="shared" ref="CQ130:CQ139" si="164">IFERROR((IF($CQ$62="M",BW131,IF($CQ$62="PM",BY131,IF($CQ$62="P",BU131,IF($CQ$62="FULL",BS131,IF($CQ$62="GPSM",CA135,"")))))),"")</f>
        <v/>
      </c>
      <c r="CR130" s="2" t="str">
        <f t="shared" ref="CR130:CR139" si="165">IFERROR((IF($CR$62="M",BW131,IF($CR$62="PM",BY131,IF($CR$62="P",BU131,IF($CR$62="FULL",BS131,IF($CR$62="GPSM",CA135,"")))))),"")</f>
        <v/>
      </c>
      <c r="CS130" s="2" t="str">
        <f t="shared" ref="CS130:CS139" si="166">IFERROR((IF($CS$62="M",BW131,IF($CS$62="PM",BY131,IF($CS$62="P",BU131,IF($CS$62="FULL",BS131,IF($CS$62="GPSM",CA135,"")))))),"")</f>
        <v/>
      </c>
      <c r="CT130" s="2" t="str">
        <f t="shared" ref="CT130:CT139" si="167">IFERROR((IF($CT$62="M",BW131,IF($CT$62="PM",BY131,IF($CT$62="P",BU131,IF($CT$62="FULL",BS131,IF($CT$62="GPSM",CA135,"")))))),"")</f>
        <v/>
      </c>
      <c r="CU130" s="2" t="str">
        <f t="shared" ref="CU130:CU139" si="168">IFERROR((IF($CU$62="M",BW131,IF($CU$62="PM",BY131,IF($CU$62="P",BU131,IF($CU$62="FULL",BS131,IF($CU$62="GPSM",CA135,"")))))),"")</f>
        <v/>
      </c>
      <c r="CV130" s="2" t="str">
        <f t="shared" ref="CV130:CV139" si="169">IFERROR((IF($CV$62="M",BW131,IF($CV$62="PM",BY131,IF($CV$62="P",BU131,IF($CV$62="FULL",BS131,IF($CV$62="GPSM",CA135,"")))))),"")</f>
        <v/>
      </c>
      <c r="CW130" s="2"/>
      <c r="CX130" s="2"/>
      <c r="CY130" s="2"/>
      <c r="CZ130" s="2"/>
    </row>
    <row r="131" spans="43:104" ht="15" hidden="1" customHeight="1" x14ac:dyDescent="0.2">
      <c r="AQ131" s="12">
        <v>66</v>
      </c>
      <c r="AR131" s="12">
        <v>925000</v>
      </c>
      <c r="AS131" s="12">
        <v>660000</v>
      </c>
      <c r="AT131" s="1"/>
      <c r="AU131" s="1"/>
      <c r="AV131" s="1"/>
      <c r="AW131" s="1"/>
      <c r="AX131" s="2"/>
      <c r="AY131" s="2"/>
      <c r="AZ131" s="2"/>
      <c r="BA131" s="2"/>
      <c r="BB131" s="2"/>
      <c r="BC131" s="2"/>
      <c r="BD131" s="2"/>
      <c r="BE131" s="2"/>
      <c r="BK131" s="2"/>
      <c r="BM131" s="2"/>
      <c r="BN131" s="2"/>
      <c r="BO131" s="2"/>
      <c r="BS131" s="81" t="str">
        <f>IF($J$24="Español","Tentáculos",(IF($J$24="Deutsch","Zusätzliche Arme",(IF($J$24="Français","Très longues jambes","Very Long Legs")))))</f>
        <v>Tentáculos</v>
      </c>
      <c r="BT131" s="21" t="s">
        <v>171</v>
      </c>
      <c r="BU131" s="21" t="str">
        <f t="shared" si="153"/>
        <v/>
      </c>
      <c r="BV131" s="21" t="str">
        <f t="shared" si="153"/>
        <v/>
      </c>
      <c r="BW131" s="21" t="str">
        <f t="shared" si="153"/>
        <v/>
      </c>
      <c r="BX131" s="21" t="str">
        <f t="shared" si="153"/>
        <v/>
      </c>
      <c r="BY131" s="21" t="str">
        <f t="shared" si="153"/>
        <v/>
      </c>
      <c r="BZ131" s="21" t="str">
        <f t="shared" si="153"/>
        <v/>
      </c>
      <c r="CA131" s="21" t="str">
        <f t="shared" si="151"/>
        <v/>
      </c>
      <c r="CB131" s="21" t="str">
        <f t="shared" si="151"/>
        <v/>
      </c>
      <c r="CC131" s="2"/>
      <c r="CD131" s="2"/>
      <c r="CE131" s="2"/>
      <c r="CF131" s="2"/>
      <c r="CG131" s="2" t="str">
        <f t="shared" si="154"/>
        <v/>
      </c>
      <c r="CH131" s="2" t="str">
        <f t="shared" si="155"/>
        <v/>
      </c>
      <c r="CI131" s="2" t="str">
        <f t="shared" si="156"/>
        <v/>
      </c>
      <c r="CJ131" s="2" t="str">
        <f t="shared" si="157"/>
        <v/>
      </c>
      <c r="CK131" s="2" t="str">
        <f t="shared" si="158"/>
        <v/>
      </c>
      <c r="CL131" s="2" t="str">
        <f t="shared" si="159"/>
        <v/>
      </c>
      <c r="CM131" s="2" t="str">
        <f t="shared" si="160"/>
        <v/>
      </c>
      <c r="CN131" s="2" t="str">
        <f t="shared" si="161"/>
        <v/>
      </c>
      <c r="CO131" s="2" t="str">
        <f t="shared" si="162"/>
        <v/>
      </c>
      <c r="CP131" s="2" t="str">
        <f t="shared" si="163"/>
        <v/>
      </c>
      <c r="CQ131" s="2" t="str">
        <f t="shared" si="164"/>
        <v/>
      </c>
      <c r="CR131" s="2" t="str">
        <f t="shared" si="165"/>
        <v/>
      </c>
      <c r="CS131" s="2" t="str">
        <f t="shared" si="166"/>
        <v/>
      </c>
      <c r="CT131" s="2" t="str">
        <f t="shared" si="167"/>
        <v/>
      </c>
      <c r="CU131" s="2" t="str">
        <f t="shared" si="168"/>
        <v/>
      </c>
      <c r="CV131" s="2" t="str">
        <f t="shared" si="169"/>
        <v/>
      </c>
      <c r="CW131" s="2"/>
      <c r="CX131" s="2"/>
      <c r="CY131" s="2"/>
      <c r="CZ131" s="2"/>
    </row>
    <row r="132" spans="43:104" ht="15" hidden="1" customHeight="1" x14ac:dyDescent="0.2">
      <c r="AQ132" s="13">
        <v>67</v>
      </c>
      <c r="AR132" s="12">
        <v>930000</v>
      </c>
      <c r="AS132" s="12">
        <v>670000</v>
      </c>
      <c r="AT132" s="1"/>
      <c r="AU132" s="1"/>
      <c r="AV132" s="1"/>
      <c r="AW132" s="1"/>
      <c r="AX132" s="2"/>
      <c r="AY132" s="2"/>
      <c r="AZ132" s="2"/>
      <c r="BA132" s="2"/>
      <c r="BB132" s="2"/>
      <c r="BC132" s="2"/>
      <c r="BD132" s="2"/>
      <c r="BE132" s="2"/>
      <c r="BK132" s="2"/>
      <c r="BM132" s="2"/>
      <c r="BN132" s="2"/>
      <c r="BO132" s="2"/>
      <c r="BS132" s="11" t="str">
        <f t="shared" ref="BS132:BY132" si="170">""</f>
        <v/>
      </c>
      <c r="BT132" s="2" t="str">
        <f t="shared" si="170"/>
        <v/>
      </c>
      <c r="BU132" s="4" t="str">
        <f t="shared" si="170"/>
        <v/>
      </c>
      <c r="BV132" s="4" t="str">
        <f t="shared" si="170"/>
        <v/>
      </c>
      <c r="BW132" s="4" t="str">
        <f t="shared" si="170"/>
        <v/>
      </c>
      <c r="BX132" s="4" t="str">
        <f t="shared" si="170"/>
        <v/>
      </c>
      <c r="BY132" s="69" t="str">
        <f t="shared" si="170"/>
        <v/>
      </c>
      <c r="BZ132" s="2"/>
      <c r="CA132" s="21" t="str">
        <f t="shared" si="151"/>
        <v/>
      </c>
      <c r="CB132" s="21" t="str">
        <f t="shared" si="151"/>
        <v/>
      </c>
      <c r="CC132" s="2"/>
      <c r="CD132" s="2"/>
      <c r="CE132" s="2"/>
      <c r="CF132" s="2"/>
      <c r="CG132" s="2" t="str">
        <f t="shared" si="154"/>
        <v/>
      </c>
      <c r="CH132" s="2" t="str">
        <f t="shared" si="155"/>
        <v/>
      </c>
      <c r="CI132" s="2" t="str">
        <f t="shared" si="156"/>
        <v/>
      </c>
      <c r="CJ132" s="2" t="str">
        <f t="shared" si="157"/>
        <v/>
      </c>
      <c r="CK132" s="2" t="str">
        <f t="shared" si="158"/>
        <v/>
      </c>
      <c r="CL132" s="2" t="str">
        <f t="shared" si="159"/>
        <v/>
      </c>
      <c r="CM132" s="2" t="str">
        <f t="shared" si="160"/>
        <v/>
      </c>
      <c r="CN132" s="2" t="str">
        <f t="shared" si="161"/>
        <v/>
      </c>
      <c r="CO132" s="2" t="str">
        <f t="shared" si="162"/>
        <v/>
      </c>
      <c r="CP132" s="2" t="str">
        <f t="shared" si="163"/>
        <v/>
      </c>
      <c r="CQ132" s="2" t="str">
        <f t="shared" si="164"/>
        <v/>
      </c>
      <c r="CR132" s="2" t="str">
        <f t="shared" si="165"/>
        <v/>
      </c>
      <c r="CS132" s="2" t="str">
        <f t="shared" si="166"/>
        <v/>
      </c>
      <c r="CT132" s="2" t="str">
        <f t="shared" si="167"/>
        <v/>
      </c>
      <c r="CU132" s="2" t="str">
        <f t="shared" si="168"/>
        <v/>
      </c>
      <c r="CV132" s="2" t="str">
        <f t="shared" si="169"/>
        <v/>
      </c>
      <c r="CW132" s="2"/>
      <c r="CX132" s="2"/>
      <c r="CY132" s="2"/>
      <c r="CZ132" s="2"/>
    </row>
    <row r="133" spans="43:104" ht="15" hidden="1" customHeight="1" x14ac:dyDescent="0.2">
      <c r="AQ133" s="13">
        <v>68</v>
      </c>
      <c r="AR133" s="12">
        <v>935000</v>
      </c>
      <c r="AS133" s="12">
        <v>680000</v>
      </c>
      <c r="AT133" s="1"/>
      <c r="AU133" s="1"/>
      <c r="AV133" s="1"/>
      <c r="AW133" s="1"/>
      <c r="AX133" s="2"/>
      <c r="AY133" s="2"/>
      <c r="AZ133" s="2"/>
      <c r="BA133" s="2"/>
      <c r="BB133" s="2"/>
      <c r="BC133" s="2"/>
      <c r="BD133" s="2"/>
      <c r="BE133" s="2"/>
      <c r="BK133" s="2"/>
      <c r="BM133" s="2"/>
      <c r="BN133" s="2"/>
      <c r="BO133" s="2"/>
      <c r="BS133" s="11" t="str">
        <f t="shared" ref="BS133:BY133" si="171">""</f>
        <v/>
      </c>
      <c r="BT133" s="2" t="str">
        <f t="shared" si="171"/>
        <v/>
      </c>
      <c r="BU133" s="4" t="str">
        <f t="shared" si="171"/>
        <v/>
      </c>
      <c r="BV133" s="4" t="str">
        <f t="shared" si="171"/>
        <v/>
      </c>
      <c r="BW133" s="4" t="str">
        <f t="shared" si="171"/>
        <v/>
      </c>
      <c r="BX133" s="4" t="str">
        <f t="shared" si="171"/>
        <v/>
      </c>
      <c r="BY133" s="69" t="str">
        <f t="shared" si="171"/>
        <v/>
      </c>
      <c r="BZ133" s="2"/>
      <c r="CA133" s="21" t="str">
        <f t="shared" si="151"/>
        <v/>
      </c>
      <c r="CB133" s="21" t="str">
        <f t="shared" si="151"/>
        <v/>
      </c>
      <c r="CC133" s="13"/>
      <c r="CD133" s="2"/>
      <c r="CE133" s="2"/>
      <c r="CF133" s="2"/>
      <c r="CG133" s="2" t="str">
        <f t="shared" si="154"/>
        <v/>
      </c>
      <c r="CH133" s="2" t="str">
        <f t="shared" si="155"/>
        <v/>
      </c>
      <c r="CI133" s="2" t="str">
        <f t="shared" si="156"/>
        <v/>
      </c>
      <c r="CJ133" s="2" t="str">
        <f t="shared" si="157"/>
        <v/>
      </c>
      <c r="CK133" s="2" t="str">
        <f t="shared" si="158"/>
        <v/>
      </c>
      <c r="CL133" s="2" t="str">
        <f t="shared" si="159"/>
        <v/>
      </c>
      <c r="CM133" s="2" t="str">
        <f t="shared" si="160"/>
        <v/>
      </c>
      <c r="CN133" s="2" t="str">
        <f t="shared" si="161"/>
        <v/>
      </c>
      <c r="CO133" s="2" t="str">
        <f t="shared" si="162"/>
        <v/>
      </c>
      <c r="CP133" s="2" t="str">
        <f t="shared" si="163"/>
        <v/>
      </c>
      <c r="CQ133" s="2" t="str">
        <f t="shared" si="164"/>
        <v/>
      </c>
      <c r="CR133" s="2" t="str">
        <f t="shared" si="165"/>
        <v/>
      </c>
      <c r="CS133" s="2" t="str">
        <f t="shared" si="166"/>
        <v/>
      </c>
      <c r="CT133" s="2" t="str">
        <f t="shared" si="167"/>
        <v/>
      </c>
      <c r="CU133" s="2" t="str">
        <f t="shared" si="168"/>
        <v/>
      </c>
      <c r="CV133" s="2" t="str">
        <f t="shared" si="169"/>
        <v/>
      </c>
      <c r="CW133" s="2"/>
      <c r="CX133" s="2"/>
      <c r="CY133" s="2"/>
      <c r="CZ133" s="2"/>
    </row>
    <row r="134" spans="43:104" ht="15" hidden="1" customHeight="1" x14ac:dyDescent="0.2">
      <c r="AQ134" s="12">
        <v>69</v>
      </c>
      <c r="AR134" s="12">
        <v>940000</v>
      </c>
      <c r="AS134" s="12">
        <v>690000</v>
      </c>
      <c r="AT134" s="1"/>
      <c r="AU134" s="1"/>
      <c r="AV134" s="1"/>
      <c r="AW134" s="1"/>
      <c r="AX134" s="2"/>
      <c r="AY134" s="2"/>
      <c r="AZ134" s="2"/>
      <c r="BA134" s="2"/>
      <c r="BB134" s="2"/>
      <c r="BC134" s="2"/>
      <c r="BD134" s="2"/>
      <c r="BE134" s="2"/>
      <c r="BK134" s="2"/>
      <c r="BM134" s="2"/>
      <c r="BN134" s="2"/>
      <c r="BO134" s="2"/>
      <c r="BS134" s="11" t="str">
        <f t="shared" ref="BS134:BY134" si="172">""</f>
        <v/>
      </c>
      <c r="BT134" s="2" t="str">
        <f t="shared" si="172"/>
        <v/>
      </c>
      <c r="BU134" s="4" t="str">
        <f t="shared" si="172"/>
        <v/>
      </c>
      <c r="BV134" s="4" t="str">
        <f t="shared" si="172"/>
        <v/>
      </c>
      <c r="BW134" s="4" t="str">
        <f t="shared" si="172"/>
        <v/>
      </c>
      <c r="BX134" s="4" t="str">
        <f t="shared" si="172"/>
        <v/>
      </c>
      <c r="BY134" s="69" t="str">
        <f t="shared" si="172"/>
        <v/>
      </c>
      <c r="BZ134" s="2"/>
      <c r="CA134" s="21" t="str">
        <f t="shared" si="151"/>
        <v/>
      </c>
      <c r="CB134" s="21" t="str">
        <f t="shared" si="151"/>
        <v/>
      </c>
      <c r="CC134" s="13"/>
      <c r="CD134" s="2"/>
      <c r="CE134" s="2"/>
      <c r="CF134" s="2"/>
      <c r="CG134" s="2" t="str">
        <f t="shared" si="154"/>
        <v/>
      </c>
      <c r="CH134" s="2" t="str">
        <f t="shared" si="155"/>
        <v/>
      </c>
      <c r="CI134" s="2" t="str">
        <f t="shared" si="156"/>
        <v/>
      </c>
      <c r="CJ134" s="2" t="str">
        <f t="shared" si="157"/>
        <v/>
      </c>
      <c r="CK134" s="2" t="str">
        <f t="shared" si="158"/>
        <v/>
      </c>
      <c r="CL134" s="2" t="str">
        <f t="shared" si="159"/>
        <v/>
      </c>
      <c r="CM134" s="2" t="str">
        <f t="shared" si="160"/>
        <v/>
      </c>
      <c r="CN134" s="2" t="str">
        <f t="shared" si="161"/>
        <v/>
      </c>
      <c r="CO134" s="2" t="str">
        <f t="shared" si="162"/>
        <v/>
      </c>
      <c r="CP134" s="2" t="str">
        <f t="shared" si="163"/>
        <v/>
      </c>
      <c r="CQ134" s="2" t="str">
        <f t="shared" si="164"/>
        <v/>
      </c>
      <c r="CR134" s="2" t="str">
        <f t="shared" si="165"/>
        <v/>
      </c>
      <c r="CS134" s="2" t="str">
        <f t="shared" si="166"/>
        <v/>
      </c>
      <c r="CT134" s="2" t="str">
        <f t="shared" si="167"/>
        <v/>
      </c>
      <c r="CU134" s="2" t="str">
        <f t="shared" si="168"/>
        <v/>
      </c>
      <c r="CV134" s="2" t="str">
        <f t="shared" si="169"/>
        <v/>
      </c>
      <c r="CW134" s="2"/>
      <c r="CX134" s="2"/>
      <c r="CY134" s="2"/>
      <c r="CZ134" s="2"/>
    </row>
    <row r="135" spans="43:104" ht="15" hidden="1" customHeight="1" x14ac:dyDescent="0.2">
      <c r="AQ135" s="13">
        <v>70</v>
      </c>
      <c r="AR135" s="12">
        <v>945000</v>
      </c>
      <c r="AS135" s="12">
        <v>700000</v>
      </c>
      <c r="AT135" s="1"/>
      <c r="AU135" s="1"/>
      <c r="AV135" s="1"/>
      <c r="AW135" s="1"/>
      <c r="AX135" s="2"/>
      <c r="AY135" s="2"/>
      <c r="AZ135" s="2"/>
      <c r="BA135" s="2"/>
      <c r="BB135" s="2"/>
      <c r="BC135" s="2"/>
      <c r="BD135" s="2"/>
      <c r="BE135" s="2"/>
      <c r="BK135" s="2"/>
      <c r="BM135" s="2"/>
      <c r="BN135" s="2"/>
      <c r="BO135" s="2"/>
      <c r="BS135" s="11" t="str">
        <f t="shared" ref="BS135:BY135" si="173">""</f>
        <v/>
      </c>
      <c r="BT135" s="2" t="str">
        <f t="shared" si="173"/>
        <v/>
      </c>
      <c r="BU135" s="4" t="str">
        <f t="shared" si="173"/>
        <v/>
      </c>
      <c r="BV135" s="4" t="str">
        <f t="shared" si="173"/>
        <v/>
      </c>
      <c r="BW135" s="4" t="str">
        <f t="shared" si="173"/>
        <v/>
      </c>
      <c r="BX135" s="4" t="str">
        <f t="shared" si="173"/>
        <v/>
      </c>
      <c r="BY135" s="69" t="str">
        <f t="shared" si="173"/>
        <v/>
      </c>
      <c r="BZ135" s="2"/>
      <c r="CA135" s="21" t="str">
        <f t="shared" si="151"/>
        <v/>
      </c>
      <c r="CB135" s="21" t="str">
        <f t="shared" si="151"/>
        <v/>
      </c>
      <c r="CC135" s="13"/>
      <c r="CD135" s="2"/>
      <c r="CE135" s="2"/>
      <c r="CF135" s="2"/>
      <c r="CG135" s="2" t="str">
        <f t="shared" si="154"/>
        <v/>
      </c>
      <c r="CH135" s="2" t="str">
        <f t="shared" si="155"/>
        <v/>
      </c>
      <c r="CI135" s="2" t="str">
        <f t="shared" si="156"/>
        <v/>
      </c>
      <c r="CJ135" s="2" t="str">
        <f t="shared" si="157"/>
        <v/>
      </c>
      <c r="CK135" s="2" t="str">
        <f t="shared" si="158"/>
        <v/>
      </c>
      <c r="CL135" s="2" t="str">
        <f t="shared" si="159"/>
        <v/>
      </c>
      <c r="CM135" s="2" t="str">
        <f t="shared" si="160"/>
        <v/>
      </c>
      <c r="CN135" s="2" t="str">
        <f t="shared" si="161"/>
        <v/>
      </c>
      <c r="CO135" s="2" t="str">
        <f t="shared" si="162"/>
        <v/>
      </c>
      <c r="CP135" s="2" t="str">
        <f t="shared" si="163"/>
        <v/>
      </c>
      <c r="CQ135" s="2" t="str">
        <f t="shared" si="164"/>
        <v/>
      </c>
      <c r="CR135" s="2" t="str">
        <f t="shared" si="165"/>
        <v/>
      </c>
      <c r="CS135" s="2" t="str">
        <f t="shared" si="166"/>
        <v/>
      </c>
      <c r="CT135" s="2" t="str">
        <f t="shared" si="167"/>
        <v/>
      </c>
      <c r="CU135" s="2" t="str">
        <f t="shared" si="168"/>
        <v/>
      </c>
      <c r="CV135" s="2" t="str">
        <f t="shared" si="169"/>
        <v/>
      </c>
      <c r="CW135" s="2"/>
      <c r="CX135" s="2"/>
      <c r="CY135" s="2"/>
      <c r="CZ135" s="2"/>
    </row>
    <row r="136" spans="43:104" ht="15" hidden="1" customHeight="1" x14ac:dyDescent="0.2">
      <c r="AQ136" s="13">
        <v>71</v>
      </c>
      <c r="AR136" s="12">
        <v>950000</v>
      </c>
      <c r="AS136" s="12">
        <v>710000</v>
      </c>
      <c r="AT136" s="1"/>
      <c r="AU136" s="1"/>
      <c r="AV136" s="1"/>
      <c r="AW136" s="1"/>
      <c r="AX136" s="2"/>
      <c r="AY136" s="2"/>
      <c r="AZ136" s="2"/>
      <c r="BA136" s="2"/>
      <c r="BB136" s="2"/>
      <c r="BC136" s="2"/>
      <c r="BD136" s="2"/>
      <c r="BE136" s="2"/>
      <c r="BK136" s="2"/>
      <c r="BM136" s="2"/>
      <c r="BN136" s="2"/>
      <c r="BO136" s="2"/>
      <c r="BS136" s="11" t="str">
        <f t="shared" ref="BS136:BY136" si="174">""</f>
        <v/>
      </c>
      <c r="BT136" s="2" t="str">
        <f t="shared" si="174"/>
        <v/>
      </c>
      <c r="BU136" s="4" t="str">
        <f t="shared" si="174"/>
        <v/>
      </c>
      <c r="BV136" s="4" t="str">
        <f t="shared" si="174"/>
        <v/>
      </c>
      <c r="BW136" s="4" t="str">
        <f t="shared" si="174"/>
        <v/>
      </c>
      <c r="BX136" s="4" t="str">
        <f t="shared" si="174"/>
        <v/>
      </c>
      <c r="BY136" s="69" t="str">
        <f t="shared" si="174"/>
        <v/>
      </c>
      <c r="BZ136" s="2"/>
      <c r="CA136" s="21" t="str">
        <f t="shared" si="151"/>
        <v/>
      </c>
      <c r="CB136" s="21" t="str">
        <f t="shared" si="151"/>
        <v/>
      </c>
      <c r="CC136" s="13"/>
      <c r="CD136" s="2"/>
      <c r="CE136" s="2"/>
      <c r="CF136" s="2"/>
      <c r="CG136" s="2" t="str">
        <f t="shared" si="154"/>
        <v/>
      </c>
      <c r="CH136" s="2" t="str">
        <f t="shared" si="155"/>
        <v/>
      </c>
      <c r="CI136" s="2" t="str">
        <f t="shared" si="156"/>
        <v/>
      </c>
      <c r="CJ136" s="2" t="str">
        <f t="shared" si="157"/>
        <v/>
      </c>
      <c r="CK136" s="2" t="str">
        <f t="shared" si="158"/>
        <v/>
      </c>
      <c r="CL136" s="2" t="str">
        <f t="shared" si="159"/>
        <v/>
      </c>
      <c r="CM136" s="2" t="str">
        <f t="shared" si="160"/>
        <v/>
      </c>
      <c r="CN136" s="2" t="str">
        <f t="shared" si="161"/>
        <v/>
      </c>
      <c r="CO136" s="2" t="str">
        <f t="shared" si="162"/>
        <v/>
      </c>
      <c r="CP136" s="2" t="str">
        <f t="shared" si="163"/>
        <v/>
      </c>
      <c r="CQ136" s="2" t="str">
        <f t="shared" si="164"/>
        <v/>
      </c>
      <c r="CR136" s="2" t="str">
        <f t="shared" si="165"/>
        <v/>
      </c>
      <c r="CS136" s="2" t="str">
        <f t="shared" si="166"/>
        <v/>
      </c>
      <c r="CT136" s="2" t="str">
        <f t="shared" si="167"/>
        <v/>
      </c>
      <c r="CU136" s="2" t="str">
        <f t="shared" si="168"/>
        <v/>
      </c>
      <c r="CV136" s="2" t="str">
        <f t="shared" si="169"/>
        <v/>
      </c>
      <c r="CW136" s="2"/>
      <c r="CX136" s="2"/>
      <c r="CY136" s="2"/>
      <c r="CZ136" s="2"/>
    </row>
    <row r="137" spans="43:104" ht="15" hidden="1" customHeight="1" x14ac:dyDescent="0.2">
      <c r="AQ137" s="12">
        <v>72</v>
      </c>
      <c r="AR137" s="12">
        <v>955000</v>
      </c>
      <c r="AS137" s="12">
        <v>720000</v>
      </c>
      <c r="AT137" s="1"/>
      <c r="AU137" s="1"/>
      <c r="AV137" s="1"/>
      <c r="AW137" s="1"/>
      <c r="AX137" s="2"/>
      <c r="AY137" s="2"/>
      <c r="AZ137" s="2"/>
      <c r="BA137" s="2"/>
      <c r="BB137" s="2"/>
      <c r="BC137" s="2"/>
      <c r="BD137" s="2"/>
      <c r="BE137" s="2"/>
      <c r="BK137" s="2"/>
      <c r="BM137" s="2"/>
      <c r="BN137" s="2"/>
      <c r="BO137" s="2"/>
      <c r="BS137" s="11" t="str">
        <f t="shared" ref="BS137:BY137" si="175">""</f>
        <v/>
      </c>
      <c r="BT137" s="2" t="str">
        <f t="shared" si="175"/>
        <v/>
      </c>
      <c r="BU137" s="4" t="str">
        <f t="shared" si="175"/>
        <v/>
      </c>
      <c r="BV137" s="4" t="str">
        <f t="shared" si="175"/>
        <v/>
      </c>
      <c r="BW137" s="4" t="str">
        <f t="shared" si="175"/>
        <v/>
      </c>
      <c r="BX137" s="4" t="str">
        <f t="shared" si="175"/>
        <v/>
      </c>
      <c r="BY137" s="69" t="str">
        <f t="shared" si="175"/>
        <v/>
      </c>
      <c r="BZ137" s="2"/>
      <c r="CA137" s="21" t="str">
        <f t="shared" si="151"/>
        <v/>
      </c>
      <c r="CB137" s="21" t="str">
        <f t="shared" si="151"/>
        <v/>
      </c>
      <c r="CC137" s="13"/>
      <c r="CD137" s="2"/>
      <c r="CE137" s="2"/>
      <c r="CF137" s="2"/>
      <c r="CG137" s="2" t="str">
        <f t="shared" si="154"/>
        <v/>
      </c>
      <c r="CH137" s="2" t="str">
        <f t="shared" si="155"/>
        <v/>
      </c>
      <c r="CI137" s="2" t="str">
        <f t="shared" si="156"/>
        <v/>
      </c>
      <c r="CJ137" s="2" t="str">
        <f t="shared" si="157"/>
        <v/>
      </c>
      <c r="CK137" s="2" t="str">
        <f t="shared" si="158"/>
        <v/>
      </c>
      <c r="CL137" s="2" t="str">
        <f t="shared" si="159"/>
        <v/>
      </c>
      <c r="CM137" s="2" t="str">
        <f t="shared" si="160"/>
        <v/>
      </c>
      <c r="CN137" s="2" t="str">
        <f t="shared" si="161"/>
        <v/>
      </c>
      <c r="CO137" s="2" t="str">
        <f t="shared" si="162"/>
        <v/>
      </c>
      <c r="CP137" s="2" t="str">
        <f t="shared" si="163"/>
        <v/>
      </c>
      <c r="CQ137" s="2" t="str">
        <f t="shared" si="164"/>
        <v/>
      </c>
      <c r="CR137" s="2" t="str">
        <f t="shared" si="165"/>
        <v/>
      </c>
      <c r="CS137" s="2" t="str">
        <f t="shared" si="166"/>
        <v/>
      </c>
      <c r="CT137" s="2" t="str">
        <f t="shared" si="167"/>
        <v/>
      </c>
      <c r="CU137" s="2" t="str">
        <f t="shared" si="168"/>
        <v/>
      </c>
      <c r="CV137" s="2" t="str">
        <f t="shared" si="169"/>
        <v/>
      </c>
      <c r="CW137" s="2"/>
      <c r="CX137" s="2"/>
      <c r="CY137" s="2"/>
      <c r="CZ137" s="2"/>
    </row>
    <row r="138" spans="43:104" ht="15" hidden="1" customHeight="1" x14ac:dyDescent="0.2">
      <c r="AQ138" s="13">
        <v>73</v>
      </c>
      <c r="AR138" s="12">
        <v>960000</v>
      </c>
      <c r="AS138" s="12">
        <v>730000</v>
      </c>
      <c r="AT138" s="1"/>
      <c r="AU138" s="1"/>
      <c r="AV138" s="1"/>
      <c r="AW138" s="1"/>
      <c r="AX138" s="2"/>
      <c r="AY138" s="2"/>
      <c r="AZ138" s="2"/>
      <c r="BA138" s="2"/>
      <c r="BB138" s="2"/>
      <c r="BC138" s="2"/>
      <c r="BD138" s="2"/>
      <c r="BE138" s="2"/>
      <c r="BK138" s="2"/>
      <c r="BM138" s="2"/>
      <c r="BN138" s="2"/>
      <c r="BO138" s="2"/>
      <c r="BS138" s="11" t="str">
        <f t="shared" ref="BS138:BY138" si="176">""</f>
        <v/>
      </c>
      <c r="BT138" s="2" t="str">
        <f t="shared" si="176"/>
        <v/>
      </c>
      <c r="BU138" s="4" t="str">
        <f t="shared" si="176"/>
        <v/>
      </c>
      <c r="BV138" s="4" t="str">
        <f t="shared" si="176"/>
        <v/>
      </c>
      <c r="BW138" s="4" t="str">
        <f t="shared" si="176"/>
        <v/>
      </c>
      <c r="BX138" s="4" t="str">
        <f t="shared" si="176"/>
        <v/>
      </c>
      <c r="BY138" s="69" t="str">
        <f t="shared" si="176"/>
        <v/>
      </c>
      <c r="BZ138" s="2"/>
      <c r="CA138" s="21" t="str">
        <f t="shared" si="151"/>
        <v/>
      </c>
      <c r="CB138" s="21" t="str">
        <f t="shared" si="151"/>
        <v/>
      </c>
      <c r="CC138" s="13"/>
      <c r="CD138" s="2"/>
      <c r="CE138" s="2"/>
      <c r="CF138" s="2"/>
      <c r="CG138" s="2" t="str">
        <f t="shared" si="154"/>
        <v/>
      </c>
      <c r="CH138" s="2" t="str">
        <f t="shared" si="155"/>
        <v/>
      </c>
      <c r="CI138" s="2" t="str">
        <f t="shared" si="156"/>
        <v/>
      </c>
      <c r="CJ138" s="2" t="str">
        <f t="shared" si="157"/>
        <v/>
      </c>
      <c r="CK138" s="2" t="str">
        <f t="shared" si="158"/>
        <v/>
      </c>
      <c r="CL138" s="2" t="str">
        <f t="shared" si="159"/>
        <v/>
      </c>
      <c r="CM138" s="2" t="str">
        <f t="shared" si="160"/>
        <v/>
      </c>
      <c r="CN138" s="2" t="str">
        <f t="shared" si="161"/>
        <v/>
      </c>
      <c r="CO138" s="2" t="str">
        <f t="shared" si="162"/>
        <v/>
      </c>
      <c r="CP138" s="2" t="str">
        <f t="shared" si="163"/>
        <v/>
      </c>
      <c r="CQ138" s="2" t="str">
        <f t="shared" si="164"/>
        <v/>
      </c>
      <c r="CR138" s="2" t="str">
        <f t="shared" si="165"/>
        <v/>
      </c>
      <c r="CS138" s="2" t="str">
        <f t="shared" si="166"/>
        <v/>
      </c>
      <c r="CT138" s="2" t="str">
        <f t="shared" si="167"/>
        <v/>
      </c>
      <c r="CU138" s="2" t="str">
        <f t="shared" si="168"/>
        <v/>
      </c>
      <c r="CV138" s="2" t="str">
        <f t="shared" si="169"/>
        <v/>
      </c>
      <c r="CW138" s="2"/>
      <c r="CX138" s="2"/>
      <c r="CY138" s="2"/>
      <c r="CZ138" s="2"/>
    </row>
    <row r="139" spans="43:104" ht="15" hidden="1" customHeight="1" x14ac:dyDescent="0.2">
      <c r="AQ139" s="13">
        <v>74</v>
      </c>
      <c r="AR139" s="12">
        <v>965000</v>
      </c>
      <c r="AS139" s="12">
        <v>740000</v>
      </c>
      <c r="AT139" s="1"/>
      <c r="AU139" s="1"/>
      <c r="AV139" s="1"/>
      <c r="AW139" s="1"/>
      <c r="AX139" s="2"/>
      <c r="AY139" s="2"/>
      <c r="AZ139" s="2"/>
      <c r="BA139" s="2"/>
      <c r="BB139" s="2"/>
      <c r="BC139" s="2"/>
      <c r="BD139" s="2"/>
      <c r="BE139" s="2"/>
      <c r="BK139" s="2"/>
      <c r="BL139" s="2"/>
      <c r="BM139" s="2"/>
      <c r="BN139" s="2"/>
      <c r="BO139" s="2"/>
      <c r="BS139" s="11" t="str">
        <f t="shared" ref="BS139:BY139" si="177">""</f>
        <v/>
      </c>
      <c r="BT139" s="2" t="str">
        <f t="shared" si="177"/>
        <v/>
      </c>
      <c r="BU139" s="4" t="str">
        <f t="shared" si="177"/>
        <v/>
      </c>
      <c r="BV139" s="4" t="str">
        <f t="shared" si="177"/>
        <v/>
      </c>
      <c r="BW139" s="4" t="str">
        <f t="shared" si="177"/>
        <v/>
      </c>
      <c r="BX139" s="4" t="str">
        <f t="shared" si="177"/>
        <v/>
      </c>
      <c r="BY139" s="69" t="str">
        <f t="shared" si="177"/>
        <v/>
      </c>
      <c r="BZ139" s="2"/>
      <c r="CA139" s="21" t="str">
        <f t="shared" si="151"/>
        <v/>
      </c>
      <c r="CB139" s="21" t="str">
        <f t="shared" si="151"/>
        <v/>
      </c>
      <c r="CC139" s="2"/>
      <c r="CD139" s="2"/>
      <c r="CE139" s="1"/>
      <c r="CF139" s="2"/>
      <c r="CG139" s="2" t="str">
        <f t="shared" si="154"/>
        <v/>
      </c>
      <c r="CH139" s="2" t="str">
        <f t="shared" si="155"/>
        <v/>
      </c>
      <c r="CI139" s="2" t="str">
        <f t="shared" si="156"/>
        <v/>
      </c>
      <c r="CJ139" s="2" t="str">
        <f t="shared" si="157"/>
        <v/>
      </c>
      <c r="CK139" s="2" t="str">
        <f t="shared" si="158"/>
        <v/>
      </c>
      <c r="CL139" s="2" t="str">
        <f t="shared" si="159"/>
        <v/>
      </c>
      <c r="CM139" s="2" t="str">
        <f t="shared" si="160"/>
        <v/>
      </c>
      <c r="CN139" s="2" t="str">
        <f t="shared" si="161"/>
        <v/>
      </c>
      <c r="CO139" s="2" t="str">
        <f t="shared" si="162"/>
        <v/>
      </c>
      <c r="CP139" s="2" t="str">
        <f t="shared" si="163"/>
        <v/>
      </c>
      <c r="CQ139" s="2" t="str">
        <f t="shared" si="164"/>
        <v/>
      </c>
      <c r="CR139" s="2" t="str">
        <f t="shared" si="165"/>
        <v/>
      </c>
      <c r="CS139" s="2" t="str">
        <f t="shared" si="166"/>
        <v/>
      </c>
      <c r="CT139" s="2" t="str">
        <f t="shared" si="167"/>
        <v/>
      </c>
      <c r="CU139" s="2" t="str">
        <f t="shared" si="168"/>
        <v/>
      </c>
      <c r="CV139" s="2" t="str">
        <f t="shared" si="169"/>
        <v/>
      </c>
      <c r="CW139" s="2"/>
      <c r="CX139" s="2"/>
      <c r="CY139" s="2"/>
      <c r="CZ139" s="2"/>
    </row>
    <row r="140" spans="43:104" ht="15" hidden="1" customHeight="1" x14ac:dyDescent="0.2">
      <c r="AQ140" s="12">
        <v>75</v>
      </c>
      <c r="AR140" s="12">
        <v>970000</v>
      </c>
      <c r="AS140" s="12">
        <v>750000</v>
      </c>
      <c r="AT140" s="1"/>
      <c r="AU140" s="1"/>
      <c r="AV140" s="1"/>
      <c r="AW140" s="1"/>
      <c r="AX140" s="2"/>
      <c r="AY140" s="2"/>
      <c r="AZ140" s="2"/>
      <c r="BA140" s="2"/>
      <c r="BB140" s="2"/>
      <c r="BC140" s="2"/>
      <c r="BD140" s="2"/>
      <c r="BE140" s="2"/>
      <c r="BK140" s="79"/>
      <c r="BL140" s="2"/>
      <c r="BM140" s="2"/>
      <c r="BN140" s="2"/>
      <c r="BO140" s="2"/>
      <c r="BS140" s="11" t="str">
        <f t="shared" ref="BS140:BY140" si="178">""</f>
        <v/>
      </c>
      <c r="BT140" s="2" t="str">
        <f t="shared" si="178"/>
        <v/>
      </c>
      <c r="BU140" s="4" t="str">
        <f t="shared" si="178"/>
        <v/>
      </c>
      <c r="BV140" s="4" t="str">
        <f t="shared" si="178"/>
        <v/>
      </c>
      <c r="BW140" s="4" t="str">
        <f t="shared" si="178"/>
        <v/>
      </c>
      <c r="BX140" s="4" t="str">
        <f t="shared" si="178"/>
        <v/>
      </c>
      <c r="BY140" s="69" t="str">
        <f t="shared" si="178"/>
        <v/>
      </c>
      <c r="BZ140" s="2"/>
      <c r="CA140" s="21" t="str">
        <f t="shared" si="151"/>
        <v/>
      </c>
      <c r="CB140" s="21" t="str">
        <f t="shared" si="151"/>
        <v/>
      </c>
      <c r="CC140" s="13"/>
      <c r="CD140" s="2"/>
      <c r="CE140" s="1"/>
      <c r="CF140" s="2"/>
      <c r="CG140" s="2" t="s">
        <v>1039</v>
      </c>
      <c r="CH140" s="2" t="s">
        <v>1039</v>
      </c>
      <c r="CI140" s="2" t="s">
        <v>1039</v>
      </c>
      <c r="CJ140" s="2" t="s">
        <v>1039</v>
      </c>
      <c r="CK140" s="2" t="s">
        <v>1039</v>
      </c>
      <c r="CL140" s="2" t="s">
        <v>1039</v>
      </c>
      <c r="CM140" s="2" t="s">
        <v>1039</v>
      </c>
      <c r="CN140" s="2" t="s">
        <v>1039</v>
      </c>
      <c r="CO140" s="2" t="s">
        <v>1039</v>
      </c>
      <c r="CP140" s="2" t="s">
        <v>1039</v>
      </c>
      <c r="CQ140" s="2" t="s">
        <v>1039</v>
      </c>
      <c r="CR140" s="2" t="s">
        <v>1039</v>
      </c>
      <c r="CS140" s="2" t="s">
        <v>1039</v>
      </c>
      <c r="CT140" s="2" t="s">
        <v>1039</v>
      </c>
      <c r="CU140" s="2" t="s">
        <v>1039</v>
      </c>
      <c r="CV140" s="2" t="s">
        <v>1039</v>
      </c>
      <c r="CW140" s="2"/>
      <c r="CX140" s="2"/>
      <c r="CY140" s="2"/>
      <c r="CZ140" s="2"/>
    </row>
    <row r="141" spans="43:104" ht="15" hidden="1" customHeight="1" x14ac:dyDescent="0.2">
      <c r="AQ141" s="13">
        <v>76</v>
      </c>
      <c r="AR141" s="12">
        <v>975000</v>
      </c>
      <c r="AS141" s="12">
        <v>760000</v>
      </c>
      <c r="AT141" s="1"/>
      <c r="AU141" s="1"/>
      <c r="AV141" s="1"/>
      <c r="AW141" s="1"/>
      <c r="AX141" s="2"/>
      <c r="AY141" s="2"/>
      <c r="AZ141" s="2"/>
      <c r="BA141" s="2"/>
      <c r="BB141" s="2"/>
      <c r="BC141" s="2"/>
      <c r="BD141" s="2"/>
      <c r="BE141" s="2"/>
      <c r="BK141" s="79"/>
      <c r="BL141" s="2"/>
      <c r="BM141" s="2"/>
      <c r="BN141" s="2"/>
      <c r="BO141" s="2"/>
      <c r="BS141" s="11" t="s">
        <v>1039</v>
      </c>
      <c r="BT141" s="2" t="s">
        <v>1039</v>
      </c>
      <c r="BU141" s="3" t="s">
        <v>1039</v>
      </c>
      <c r="BV141" s="3" t="s">
        <v>1039</v>
      </c>
      <c r="BW141" s="2" t="s">
        <v>1039</v>
      </c>
      <c r="BX141" s="2" t="s">
        <v>1039</v>
      </c>
      <c r="BY141" s="2" t="s">
        <v>1039</v>
      </c>
      <c r="BZ141" s="2"/>
      <c r="CA141" s="21" t="str">
        <f t="shared" si="151"/>
        <v/>
      </c>
      <c r="CB141" s="21" t="str">
        <f t="shared" si="151"/>
        <v/>
      </c>
      <c r="CC141" s="13"/>
      <c r="CD141" s="2"/>
      <c r="CE141" s="1"/>
      <c r="CF141" s="2"/>
      <c r="CG141" s="2"/>
      <c r="CH141" s="2"/>
      <c r="CI141" s="2"/>
      <c r="CJ141" s="2"/>
      <c r="CK141" s="2"/>
      <c r="CL141" s="2"/>
      <c r="CM141" s="2"/>
      <c r="CN141" s="2"/>
      <c r="CO141" s="2"/>
      <c r="CP141" s="2"/>
      <c r="CQ141" s="2"/>
      <c r="CR141" s="2"/>
      <c r="CS141" s="2"/>
      <c r="CT141" s="2"/>
      <c r="CU141" s="2"/>
      <c r="CV141" s="2"/>
      <c r="CW141" s="2"/>
      <c r="CX141" s="2"/>
      <c r="CY141" s="2"/>
      <c r="CZ141" s="2"/>
    </row>
    <row r="142" spans="43:104" ht="15" hidden="1" customHeight="1" x14ac:dyDescent="0.2">
      <c r="AQ142" s="13">
        <v>77</v>
      </c>
      <c r="AR142" s="12">
        <v>980000</v>
      </c>
      <c r="AS142" s="12">
        <v>770000</v>
      </c>
      <c r="AT142" s="1"/>
      <c r="AU142" s="1"/>
      <c r="AV142" s="1"/>
      <c r="AW142" s="1"/>
      <c r="AX142" s="2"/>
      <c r="AY142" s="2"/>
      <c r="AZ142" s="2"/>
      <c r="BA142" s="2"/>
      <c r="BB142" s="2"/>
      <c r="BC142" s="2"/>
      <c r="BD142" s="2"/>
      <c r="BE142" s="2"/>
      <c r="BK142" s="79"/>
      <c r="BL142" s="2"/>
      <c r="BM142" s="2"/>
      <c r="BN142" s="2"/>
      <c r="BO142" s="2"/>
      <c r="BS142" s="11"/>
      <c r="BT142" s="2"/>
      <c r="BU142" s="3"/>
      <c r="BV142" s="3"/>
      <c r="BW142" s="2"/>
      <c r="BX142" s="2"/>
      <c r="BY142" s="2"/>
      <c r="BZ142" s="2"/>
      <c r="CA142" s="21" t="str">
        <f t="shared" si="151"/>
        <v/>
      </c>
      <c r="CB142" s="21" t="str">
        <f t="shared" si="151"/>
        <v/>
      </c>
      <c r="CC142" s="2"/>
      <c r="CD142" s="2"/>
      <c r="CE142" s="1"/>
      <c r="CF142" s="2"/>
      <c r="CG142" s="2"/>
      <c r="CH142" s="2"/>
      <c r="CI142" s="2"/>
      <c r="CJ142" s="2"/>
      <c r="CK142" s="2"/>
      <c r="CL142" s="2"/>
      <c r="CM142" s="2"/>
      <c r="CN142" s="2"/>
      <c r="CO142" s="2"/>
      <c r="CP142" s="2"/>
      <c r="CQ142" s="2"/>
      <c r="CR142" s="2"/>
      <c r="CS142" s="2"/>
      <c r="CT142" s="2"/>
      <c r="CU142" s="2"/>
      <c r="CV142" s="2"/>
      <c r="CW142" s="2"/>
      <c r="CX142" s="2"/>
      <c r="CY142" s="2"/>
      <c r="CZ142" s="2"/>
    </row>
    <row r="143" spans="43:104" ht="15" hidden="1" customHeight="1" x14ac:dyDescent="0.2">
      <c r="AQ143" s="12">
        <v>78</v>
      </c>
      <c r="AR143" s="12">
        <v>985000</v>
      </c>
      <c r="AS143" s="12">
        <v>780000</v>
      </c>
      <c r="AT143" s="1"/>
      <c r="AU143" s="1"/>
      <c r="AV143" s="1"/>
      <c r="AW143" s="1"/>
      <c r="AX143" s="2"/>
      <c r="AY143" s="2"/>
      <c r="AZ143" s="2"/>
      <c r="BA143" s="2"/>
      <c r="BB143" s="2"/>
      <c r="BC143" s="2"/>
      <c r="BD143" s="2"/>
      <c r="BE143" s="2"/>
      <c r="BK143" s="79"/>
      <c r="BL143" s="2"/>
      <c r="BM143" s="2"/>
      <c r="BN143" s="2"/>
      <c r="BO143" s="2"/>
      <c r="BS143" s="11"/>
      <c r="BT143" s="2"/>
      <c r="BU143" s="3"/>
      <c r="BV143" s="3"/>
      <c r="BW143" s="2"/>
      <c r="BX143" s="2"/>
      <c r="BY143" s="2"/>
      <c r="BZ143" s="2"/>
      <c r="CA143" s="21" t="str">
        <f t="shared" si="151"/>
        <v/>
      </c>
      <c r="CB143" s="21" t="str">
        <f t="shared" si="151"/>
        <v/>
      </c>
      <c r="CC143" s="2"/>
      <c r="CD143" s="2"/>
      <c r="CE143" s="1"/>
      <c r="CF143" s="2"/>
      <c r="CG143" s="2"/>
      <c r="CH143" s="2"/>
      <c r="CI143" s="2"/>
      <c r="CJ143" s="2"/>
      <c r="CK143" s="2"/>
      <c r="CL143" s="2"/>
      <c r="CM143" s="2"/>
      <c r="CN143" s="2"/>
      <c r="CO143" s="2"/>
      <c r="CP143" s="2"/>
      <c r="CQ143" s="2"/>
      <c r="CR143" s="2"/>
      <c r="CS143" s="2"/>
      <c r="CT143" s="2"/>
      <c r="CU143" s="2"/>
      <c r="CV143" s="2"/>
      <c r="CW143" s="2"/>
      <c r="CX143" s="2"/>
      <c r="CY143" s="2"/>
      <c r="CZ143" s="2"/>
    </row>
    <row r="144" spans="43:104" ht="15" hidden="1" customHeight="1" x14ac:dyDescent="0.2">
      <c r="AQ144" s="13">
        <v>79</v>
      </c>
      <c r="AR144" s="12">
        <v>990000</v>
      </c>
      <c r="AS144" s="12">
        <v>790000</v>
      </c>
      <c r="AT144" s="1"/>
      <c r="AU144" s="1"/>
      <c r="AV144" s="1"/>
      <c r="AW144" s="1"/>
      <c r="AX144" s="2"/>
      <c r="AY144" s="2"/>
      <c r="AZ144" s="2"/>
      <c r="BA144" s="2"/>
      <c r="BB144" s="2"/>
      <c r="BC144" s="2"/>
      <c r="BD144" s="2"/>
      <c r="BE144" s="2"/>
      <c r="BK144" s="84"/>
      <c r="BL144" s="2"/>
      <c r="BM144" s="2"/>
      <c r="BN144" s="2"/>
      <c r="BO144" s="2"/>
      <c r="BS144" s="11"/>
      <c r="BT144" s="2"/>
      <c r="BU144" s="3"/>
      <c r="BV144" s="3"/>
      <c r="BW144" s="2"/>
      <c r="BX144" s="2"/>
      <c r="BY144" s="2"/>
      <c r="BZ144" s="2"/>
      <c r="CA144" s="21" t="str">
        <f t="shared" si="151"/>
        <v/>
      </c>
      <c r="CB144" s="21" t="str">
        <f t="shared" si="151"/>
        <v/>
      </c>
      <c r="CC144" s="2"/>
      <c r="CD144" s="2"/>
      <c r="CE144" s="1"/>
      <c r="CF144" s="2"/>
      <c r="CG144" s="2"/>
      <c r="CH144" s="2"/>
      <c r="CI144" s="2"/>
      <c r="CJ144" s="2"/>
      <c r="CK144" s="2"/>
      <c r="CL144" s="2"/>
      <c r="CM144" s="2"/>
      <c r="CN144" s="2"/>
      <c r="CO144" s="2"/>
      <c r="CP144" s="2"/>
      <c r="CQ144" s="2"/>
      <c r="CR144" s="2"/>
      <c r="CS144" s="2"/>
      <c r="CT144" s="2"/>
      <c r="CU144" s="2"/>
      <c r="CV144" s="2"/>
      <c r="CW144" s="2"/>
      <c r="CX144" s="2"/>
      <c r="CY144" s="2"/>
      <c r="CZ144" s="2"/>
    </row>
    <row r="145" spans="43:104" ht="15" hidden="1" customHeight="1" x14ac:dyDescent="0.2">
      <c r="AQ145" s="13">
        <v>80</v>
      </c>
      <c r="AR145" s="12">
        <v>995000</v>
      </c>
      <c r="AS145" s="12">
        <v>800000</v>
      </c>
      <c r="AT145" s="1"/>
      <c r="AU145" s="1"/>
      <c r="AV145" s="1"/>
      <c r="AW145" s="1"/>
      <c r="AX145" s="2"/>
      <c r="AY145" s="2"/>
      <c r="AZ145" s="2"/>
      <c r="BA145" s="2"/>
      <c r="BB145" s="2"/>
      <c r="BC145" s="2"/>
      <c r="BD145" s="2"/>
      <c r="BE145" s="2"/>
      <c r="BK145" s="84"/>
      <c r="BL145" s="2"/>
      <c r="BM145" s="2"/>
      <c r="BN145" s="2"/>
      <c r="BO145" s="2"/>
      <c r="BS145" s="11"/>
      <c r="BT145" s="2"/>
      <c r="BU145" s="3"/>
      <c r="BV145" s="3"/>
      <c r="BW145" s="2"/>
      <c r="BX145" s="2"/>
      <c r="BY145" s="2"/>
      <c r="BZ145" s="2"/>
      <c r="CA145" s="2" t="s">
        <v>1039</v>
      </c>
      <c r="CB145" s="2" t="s">
        <v>1039</v>
      </c>
      <c r="CC145" s="13"/>
      <c r="CD145" s="2"/>
      <c r="CE145" s="1"/>
      <c r="CF145" s="2"/>
      <c r="CG145" s="2"/>
      <c r="CH145" s="2"/>
      <c r="CI145" s="2"/>
      <c r="CJ145" s="2"/>
      <c r="CK145" s="2"/>
      <c r="CL145" s="2"/>
      <c r="CM145" s="2"/>
      <c r="CN145" s="2"/>
      <c r="CO145" s="2"/>
      <c r="CP145" s="2"/>
      <c r="CQ145" s="2"/>
      <c r="CR145" s="2"/>
      <c r="CS145" s="2"/>
      <c r="CT145" s="2"/>
      <c r="CU145" s="2"/>
      <c r="CV145" s="2"/>
      <c r="CW145" s="2"/>
      <c r="CX145" s="2"/>
      <c r="CY145" s="2"/>
      <c r="CZ145" s="2"/>
    </row>
    <row r="146" spans="43:104" ht="15" hidden="1" customHeight="1" x14ac:dyDescent="0.2">
      <c r="AQ146" s="12">
        <v>81</v>
      </c>
      <c r="AR146" s="12">
        <v>1000000</v>
      </c>
      <c r="AS146" s="12">
        <v>810000</v>
      </c>
      <c r="AT146" s="1"/>
      <c r="AU146" s="1"/>
      <c r="AV146" s="1"/>
      <c r="AW146" s="1"/>
      <c r="AX146" s="2"/>
      <c r="AY146" s="2"/>
      <c r="AZ146" s="2"/>
      <c r="BA146" s="2"/>
      <c r="BB146" s="2"/>
      <c r="BC146" s="2"/>
      <c r="BD146" s="2"/>
      <c r="BE146" s="2"/>
      <c r="BK146" s="84"/>
      <c r="BL146" s="2"/>
      <c r="BM146" s="2"/>
      <c r="BN146" s="2"/>
      <c r="BO146" s="2"/>
      <c r="BS146" s="11"/>
      <c r="BT146" s="2"/>
      <c r="BU146" s="3"/>
      <c r="BV146" s="3"/>
      <c r="BW146" s="2"/>
      <c r="BX146" s="2"/>
      <c r="BY146" s="2"/>
      <c r="BZ146" s="2"/>
      <c r="CA146" s="21"/>
      <c r="CB146" s="1"/>
      <c r="CC146" s="13"/>
      <c r="CD146" s="2"/>
      <c r="CE146" s="1"/>
      <c r="CF146" s="2"/>
      <c r="CG146" s="2"/>
      <c r="CH146" s="1"/>
      <c r="CI146" s="2"/>
      <c r="CJ146" s="2"/>
      <c r="CK146" s="2"/>
      <c r="CL146" s="2"/>
      <c r="CM146" s="2"/>
      <c r="CN146" s="2"/>
      <c r="CO146" s="2"/>
      <c r="CP146" s="2"/>
      <c r="CQ146" s="2"/>
      <c r="CR146" s="2"/>
      <c r="CS146" s="2"/>
      <c r="CT146" s="2"/>
      <c r="CU146" s="2"/>
      <c r="CV146" s="2"/>
      <c r="CW146" s="2"/>
      <c r="CX146" s="2"/>
      <c r="CY146" s="2"/>
      <c r="CZ146" s="2"/>
    </row>
    <row r="147" spans="43:104" ht="15" hidden="1" customHeight="1" x14ac:dyDescent="0.2">
      <c r="AQ147" s="13">
        <v>82</v>
      </c>
      <c r="AR147" s="12">
        <v>1005000</v>
      </c>
      <c r="AS147" s="12">
        <v>820000</v>
      </c>
      <c r="AT147" s="1"/>
      <c r="AU147" s="1"/>
      <c r="AV147" s="1"/>
      <c r="AW147" s="1"/>
      <c r="AX147" s="2"/>
      <c r="AY147" s="2"/>
      <c r="AZ147" s="2"/>
      <c r="BA147" s="2"/>
      <c r="BB147" s="2"/>
      <c r="BC147" s="2"/>
      <c r="BD147" s="2"/>
      <c r="BE147" s="2"/>
      <c r="BK147" s="84"/>
      <c r="BL147" s="2"/>
      <c r="BM147" s="2"/>
      <c r="BN147" s="2"/>
      <c r="BO147" s="2"/>
      <c r="BS147" s="11"/>
      <c r="BT147" s="2"/>
      <c r="BU147" s="3"/>
      <c r="BV147" s="3"/>
      <c r="BW147" s="2"/>
      <c r="BX147" s="2"/>
      <c r="BY147" s="2"/>
      <c r="BZ147" s="2"/>
      <c r="CA147" s="21"/>
      <c r="CB147" s="1"/>
      <c r="CC147" s="13"/>
      <c r="CD147" s="2"/>
      <c r="CE147" s="1"/>
      <c r="CF147" s="2"/>
      <c r="CG147" s="2"/>
      <c r="CH147" s="1"/>
      <c r="CI147" s="2"/>
      <c r="CJ147" s="2"/>
      <c r="CK147" s="2"/>
      <c r="CL147" s="2"/>
      <c r="CM147" s="2"/>
      <c r="CN147" s="2"/>
      <c r="CO147" s="2"/>
      <c r="CP147" s="2"/>
      <c r="CQ147" s="2"/>
      <c r="CR147" s="2"/>
      <c r="CS147" s="2"/>
      <c r="CT147" s="2"/>
      <c r="CU147" s="2"/>
      <c r="CV147" s="2"/>
      <c r="CW147" s="2"/>
      <c r="CX147" s="2"/>
      <c r="CY147" s="2"/>
      <c r="CZ147" s="2"/>
    </row>
    <row r="148" spans="43:104" ht="15" hidden="1" customHeight="1" x14ac:dyDescent="0.2">
      <c r="AQ148" s="13">
        <v>83</v>
      </c>
      <c r="AR148" s="12">
        <v>1010000</v>
      </c>
      <c r="AS148" s="12">
        <v>830000</v>
      </c>
      <c r="AT148" s="1"/>
      <c r="AU148" s="1"/>
      <c r="AV148" s="1"/>
      <c r="AW148" s="1"/>
      <c r="AX148" s="2"/>
      <c r="AY148" s="2"/>
      <c r="AZ148" s="2"/>
      <c r="BA148" s="2"/>
      <c r="BB148" s="2"/>
      <c r="BC148" s="2"/>
      <c r="BD148" s="2"/>
      <c r="BE148" s="2"/>
      <c r="BK148" s="84"/>
      <c r="BL148" s="2"/>
      <c r="BM148" s="2"/>
      <c r="BN148" s="2"/>
      <c r="BO148" s="2"/>
      <c r="BS148" s="11"/>
      <c r="BT148" s="2"/>
      <c r="BU148" s="3"/>
      <c r="BV148" s="3"/>
      <c r="BW148" s="2"/>
      <c r="BX148" s="2"/>
      <c r="BY148" s="2"/>
      <c r="BZ148" s="2"/>
      <c r="CA148" s="21"/>
      <c r="CB148" s="2"/>
      <c r="CC148" s="13"/>
      <c r="CD148" s="2"/>
      <c r="CE148" s="1"/>
      <c r="CF148" s="2"/>
      <c r="CG148" s="2"/>
      <c r="CH148" s="1"/>
      <c r="CI148" s="2"/>
      <c r="CJ148" s="2"/>
      <c r="CK148" s="2"/>
      <c r="CL148" s="2"/>
      <c r="CM148" s="2"/>
      <c r="CN148" s="2"/>
      <c r="CO148" s="2"/>
      <c r="CP148" s="2"/>
      <c r="CQ148" s="2"/>
      <c r="CR148" s="2"/>
      <c r="CS148" s="2"/>
      <c r="CT148" s="2"/>
      <c r="CU148" s="2"/>
      <c r="CV148" s="2"/>
      <c r="CW148" s="2"/>
      <c r="CX148" s="2"/>
      <c r="CY148" s="2"/>
      <c r="CZ148" s="2"/>
    </row>
    <row r="149" spans="43:104" ht="15" hidden="1" customHeight="1" x14ac:dyDescent="0.2">
      <c r="AQ149" s="12">
        <v>84</v>
      </c>
      <c r="AR149" s="12">
        <v>1015000</v>
      </c>
      <c r="AS149" s="12">
        <v>840000</v>
      </c>
      <c r="AT149" s="1"/>
      <c r="AU149" s="1"/>
      <c r="AV149" s="1"/>
      <c r="AW149" s="1"/>
      <c r="AX149" s="2"/>
      <c r="AY149" s="2"/>
      <c r="AZ149" s="2"/>
      <c r="BA149" s="2"/>
      <c r="BB149" s="2"/>
      <c r="BC149" s="2"/>
      <c r="BD149" s="2"/>
      <c r="BE149" s="2"/>
      <c r="BK149" s="84"/>
      <c r="BL149" s="2"/>
      <c r="BM149" s="2"/>
      <c r="BN149" s="2"/>
      <c r="BO149" s="2"/>
      <c r="BS149" s="11"/>
      <c r="BT149" s="2"/>
      <c r="BU149" s="3"/>
      <c r="BV149" s="3"/>
      <c r="BW149" s="2"/>
      <c r="BX149" s="2"/>
      <c r="BY149" s="2"/>
      <c r="BZ149" s="2"/>
      <c r="CA149" s="21"/>
      <c r="CB149" s="2"/>
      <c r="CC149" s="13"/>
      <c r="CD149" s="2"/>
      <c r="CE149" s="1"/>
      <c r="CF149" s="2"/>
      <c r="CG149" s="2"/>
      <c r="CH149" s="1"/>
      <c r="CI149" s="2"/>
      <c r="CJ149" s="2"/>
      <c r="CK149" s="2"/>
      <c r="CL149" s="2"/>
      <c r="CM149" s="2"/>
      <c r="CN149" s="2"/>
      <c r="CO149" s="2"/>
      <c r="CP149" s="2"/>
      <c r="CQ149" s="2"/>
      <c r="CR149" s="2"/>
      <c r="CS149" s="2"/>
      <c r="CT149" s="2"/>
      <c r="CU149" s="2"/>
      <c r="CV149" s="2"/>
      <c r="CW149" s="2"/>
      <c r="CX149" s="2"/>
      <c r="CY149" s="2"/>
      <c r="CZ149" s="2"/>
    </row>
    <row r="150" spans="43:104" ht="15" hidden="1" customHeight="1" x14ac:dyDescent="0.2">
      <c r="AQ150" s="13">
        <v>85</v>
      </c>
      <c r="AR150" s="12">
        <v>1020000</v>
      </c>
      <c r="AS150" s="12">
        <v>850000</v>
      </c>
      <c r="AT150" s="1"/>
      <c r="AU150" s="1"/>
      <c r="AV150" s="1"/>
      <c r="AW150" s="1"/>
      <c r="AX150" s="2"/>
      <c r="AY150" s="2"/>
      <c r="AZ150" s="2"/>
      <c r="BA150" s="2"/>
      <c r="BB150" s="2"/>
      <c r="BC150" s="2"/>
      <c r="BD150" s="2"/>
      <c r="BE150" s="2"/>
      <c r="BK150" s="84"/>
      <c r="BL150" s="2"/>
      <c r="BM150" s="2"/>
      <c r="BN150" s="2"/>
      <c r="BO150" s="2"/>
      <c r="BS150" s="11"/>
      <c r="BT150" s="2"/>
      <c r="BU150" s="3"/>
      <c r="BV150" s="3"/>
      <c r="BW150" s="2"/>
      <c r="BX150" s="2"/>
      <c r="BY150" s="2"/>
      <c r="BZ150" s="2"/>
      <c r="CA150" s="21"/>
      <c r="CB150" s="2"/>
      <c r="CC150" s="13"/>
      <c r="CD150" s="2"/>
      <c r="CE150" s="1"/>
      <c r="CF150" s="2"/>
      <c r="CG150" s="2"/>
      <c r="CH150" s="1"/>
      <c r="CI150" s="2"/>
      <c r="CJ150" s="2"/>
      <c r="CK150" s="2"/>
      <c r="CL150" s="2"/>
      <c r="CM150" s="2"/>
      <c r="CN150" s="2"/>
      <c r="CO150" s="2"/>
      <c r="CP150" s="2"/>
      <c r="CQ150" s="2"/>
      <c r="CR150" s="2"/>
      <c r="CS150" s="2"/>
      <c r="CT150" s="2"/>
      <c r="CU150" s="2"/>
      <c r="CV150" s="2"/>
      <c r="CW150" s="2"/>
      <c r="CX150" s="2"/>
      <c r="CY150" s="2"/>
      <c r="CZ150" s="2"/>
    </row>
    <row r="151" spans="43:104" ht="15" hidden="1" customHeight="1" x14ac:dyDescent="0.2">
      <c r="AQ151" s="13">
        <v>86</v>
      </c>
      <c r="AR151" s="12">
        <v>1025000</v>
      </c>
      <c r="AS151" s="12">
        <v>860000</v>
      </c>
      <c r="AT151" s="1"/>
      <c r="AU151" s="1"/>
      <c r="AV151" s="1"/>
      <c r="AW151" s="1"/>
      <c r="AX151" s="2"/>
      <c r="AY151" s="2"/>
      <c r="AZ151" s="2"/>
      <c r="BA151" s="2"/>
      <c r="BB151" s="2"/>
      <c r="BC151" s="2"/>
      <c r="BD151" s="2"/>
      <c r="BE151" s="2"/>
      <c r="BK151" s="84"/>
      <c r="BL151" s="2"/>
      <c r="BM151" s="2"/>
      <c r="BN151" s="2"/>
      <c r="BO151" s="2"/>
      <c r="BS151" s="11"/>
      <c r="BT151" s="2"/>
      <c r="BU151" s="3"/>
      <c r="BV151" s="3"/>
      <c r="BW151" s="2"/>
      <c r="BX151" s="2"/>
      <c r="BY151" s="2"/>
      <c r="BZ151" s="2"/>
      <c r="CA151" s="21"/>
      <c r="CB151" s="2"/>
      <c r="CC151" s="2"/>
      <c r="CD151" s="2"/>
      <c r="CE151" s="1"/>
      <c r="CF151" s="2"/>
      <c r="CG151" s="2"/>
      <c r="CH151" s="1"/>
      <c r="CI151" s="2"/>
      <c r="CJ151" s="2"/>
      <c r="CK151" s="2"/>
      <c r="CL151" s="2"/>
      <c r="CM151" s="2"/>
      <c r="CN151" s="2"/>
      <c r="CO151" s="2"/>
      <c r="CP151" s="2"/>
      <c r="CQ151" s="2"/>
      <c r="CR151" s="2"/>
      <c r="CS151" s="2"/>
      <c r="CT151" s="2"/>
      <c r="CU151" s="2"/>
      <c r="CV151" s="2"/>
      <c r="CW151" s="2"/>
      <c r="CX151" s="2"/>
      <c r="CY151" s="2"/>
      <c r="CZ151" s="2"/>
    </row>
    <row r="152" spans="43:104" ht="15" hidden="1" customHeight="1" x14ac:dyDescent="0.2">
      <c r="AQ152" s="12">
        <v>87</v>
      </c>
      <c r="AR152" s="12">
        <v>1030000</v>
      </c>
      <c r="AS152" s="12">
        <v>870000</v>
      </c>
      <c r="AT152" s="1"/>
      <c r="AU152" s="1"/>
      <c r="AV152" s="1"/>
      <c r="AW152" s="1"/>
      <c r="AX152" s="2"/>
      <c r="AY152" s="2"/>
      <c r="AZ152" s="2"/>
      <c r="BA152" s="2"/>
      <c r="BB152" s="2"/>
      <c r="BC152" s="2"/>
      <c r="BD152" s="2"/>
      <c r="BE152" s="2"/>
      <c r="BK152" s="84"/>
      <c r="BL152" s="2"/>
      <c r="BM152" s="2"/>
      <c r="BN152" s="2"/>
      <c r="BO152" s="2"/>
      <c r="BS152" s="11"/>
      <c r="BT152" s="2"/>
      <c r="BU152" s="3"/>
      <c r="BV152" s="3"/>
      <c r="BW152" s="2"/>
      <c r="BX152" s="2"/>
      <c r="BY152" s="2"/>
      <c r="BZ152" s="2"/>
      <c r="CA152" s="21"/>
      <c r="CB152" s="2"/>
      <c r="CC152" s="2"/>
      <c r="CD152" s="2"/>
      <c r="CE152" s="1"/>
      <c r="CF152" s="1"/>
      <c r="CG152" s="1"/>
      <c r="CH152" s="1"/>
      <c r="CI152" s="2"/>
      <c r="CJ152" s="2"/>
      <c r="CK152" s="2"/>
      <c r="CL152" s="2"/>
      <c r="CM152" s="2"/>
      <c r="CN152" s="2"/>
      <c r="CO152" s="2"/>
      <c r="CP152" s="2"/>
      <c r="CQ152" s="2"/>
      <c r="CR152" s="2"/>
      <c r="CS152" s="2"/>
      <c r="CT152" s="2"/>
      <c r="CU152" s="2"/>
      <c r="CV152" s="2"/>
      <c r="CW152" s="2"/>
      <c r="CX152" s="2"/>
      <c r="CY152" s="2"/>
      <c r="CZ152" s="2"/>
    </row>
    <row r="153" spans="43:104" ht="15" hidden="1" customHeight="1" x14ac:dyDescent="0.2">
      <c r="AQ153" s="13">
        <v>88</v>
      </c>
      <c r="AR153" s="12">
        <v>1035000</v>
      </c>
      <c r="AS153" s="12">
        <v>880000</v>
      </c>
      <c r="AT153" s="1"/>
      <c r="AU153" s="1"/>
      <c r="AV153" s="1"/>
      <c r="AW153" s="1"/>
      <c r="AX153" s="2"/>
      <c r="AY153" s="2"/>
      <c r="AZ153" s="2"/>
      <c r="BA153" s="2"/>
      <c r="BB153" s="2"/>
      <c r="BC153" s="2"/>
      <c r="BD153" s="2"/>
      <c r="BE153" s="2"/>
      <c r="BK153" s="84"/>
      <c r="BL153" s="2"/>
      <c r="BM153" s="2"/>
      <c r="BN153" s="2"/>
      <c r="BO153" s="2"/>
      <c r="BS153" s="11"/>
      <c r="BT153" s="2"/>
      <c r="BU153" s="3"/>
      <c r="BV153" s="3"/>
      <c r="BW153" s="2"/>
      <c r="BX153" s="2"/>
      <c r="BY153" s="2"/>
      <c r="BZ153" s="2"/>
      <c r="CA153" s="21"/>
      <c r="CB153" s="1"/>
      <c r="CC153" s="13"/>
      <c r="CD153" s="2"/>
      <c r="CE153" s="1"/>
      <c r="CF153" s="1"/>
      <c r="CG153" s="1"/>
      <c r="CH153" s="1"/>
      <c r="CI153" s="2"/>
      <c r="CJ153" s="2"/>
      <c r="CK153" s="2"/>
      <c r="CL153" s="2"/>
      <c r="CM153" s="2"/>
      <c r="CN153" s="2"/>
      <c r="CO153" s="2"/>
      <c r="CP153" s="2"/>
      <c r="CQ153" s="2"/>
      <c r="CR153" s="2"/>
      <c r="CS153" s="2"/>
      <c r="CT153" s="2"/>
      <c r="CU153" s="2"/>
      <c r="CV153" s="2"/>
      <c r="CW153" s="2"/>
      <c r="CX153" s="2"/>
      <c r="CY153" s="2"/>
      <c r="CZ153" s="2"/>
    </row>
    <row r="154" spans="43:104" ht="15" hidden="1" customHeight="1" x14ac:dyDescent="0.2">
      <c r="AQ154" s="13">
        <v>89</v>
      </c>
      <c r="AR154" s="12">
        <v>1040000</v>
      </c>
      <c r="AS154" s="12">
        <v>890000</v>
      </c>
      <c r="AT154" s="1"/>
      <c r="AU154" s="1"/>
      <c r="AV154" s="1"/>
      <c r="AW154" s="1"/>
      <c r="AX154" s="2"/>
      <c r="AY154" s="2"/>
      <c r="AZ154" s="2"/>
      <c r="BA154" s="2"/>
      <c r="BB154" s="2"/>
      <c r="BC154" s="2"/>
      <c r="BD154" s="2"/>
      <c r="BE154" s="2"/>
      <c r="BK154" s="84"/>
      <c r="BL154" s="2"/>
      <c r="BM154" s="2"/>
      <c r="BN154" s="2"/>
      <c r="BO154" s="2"/>
      <c r="BS154" s="11"/>
      <c r="BT154" s="2"/>
      <c r="BU154" s="3"/>
      <c r="BV154" s="3"/>
      <c r="BW154" s="2"/>
      <c r="BX154" s="2"/>
      <c r="BY154" s="2"/>
      <c r="BZ154" s="2"/>
      <c r="CA154" s="21"/>
      <c r="CB154" s="1"/>
      <c r="CC154" s="13"/>
      <c r="CD154" s="2"/>
      <c r="CE154" s="1"/>
      <c r="CF154" s="1"/>
      <c r="CG154" s="1"/>
      <c r="CH154" s="1"/>
      <c r="CI154" s="2"/>
      <c r="CJ154" s="2"/>
      <c r="CK154" s="2"/>
      <c r="CL154" s="2"/>
      <c r="CM154" s="2"/>
      <c r="CN154" s="2"/>
      <c r="CO154" s="2"/>
      <c r="CP154" s="2"/>
      <c r="CQ154" s="2"/>
      <c r="CR154" s="2"/>
      <c r="CS154" s="2"/>
      <c r="CT154" s="2"/>
      <c r="CU154" s="2"/>
      <c r="CV154" s="2"/>
      <c r="CW154" s="2"/>
      <c r="CX154" s="2"/>
      <c r="CY154" s="2"/>
      <c r="CZ154" s="2"/>
    </row>
    <row r="155" spans="43:104" ht="15" hidden="1" customHeight="1" x14ac:dyDescent="0.2">
      <c r="AQ155" s="12">
        <v>90</v>
      </c>
      <c r="AR155" s="12">
        <v>1045000</v>
      </c>
      <c r="AS155" s="12">
        <v>900000</v>
      </c>
      <c r="AT155" s="1"/>
      <c r="AU155" s="1"/>
      <c r="AV155" s="1"/>
      <c r="AW155" s="1"/>
      <c r="AX155" s="2"/>
      <c r="AY155" s="2"/>
      <c r="AZ155" s="2"/>
      <c r="BA155" s="2"/>
      <c r="BB155" s="2"/>
      <c r="BC155" s="2"/>
      <c r="BD155" s="2"/>
      <c r="BE155" s="2"/>
      <c r="BK155" s="84"/>
      <c r="BL155" s="2"/>
      <c r="BM155" s="2"/>
      <c r="BN155" s="2"/>
      <c r="BO155" s="2"/>
      <c r="BS155" s="11"/>
      <c r="BT155" s="2"/>
      <c r="BU155" s="3"/>
      <c r="BV155" s="3"/>
      <c r="BW155" s="2"/>
      <c r="BX155" s="2"/>
      <c r="BY155" s="2"/>
      <c r="BZ155" s="2"/>
      <c r="CA155" s="21"/>
      <c r="CB155" s="1"/>
      <c r="CC155" s="13"/>
      <c r="CD155" s="2"/>
      <c r="CE155" s="1"/>
      <c r="CF155" s="1"/>
      <c r="CG155" s="1"/>
      <c r="CH155" s="1"/>
      <c r="CI155" s="2"/>
      <c r="CJ155" s="2"/>
      <c r="CK155" s="2"/>
      <c r="CL155" s="2"/>
      <c r="CM155" s="2"/>
      <c r="CN155" s="2"/>
      <c r="CO155" s="2"/>
      <c r="CP155" s="2"/>
      <c r="CQ155" s="2"/>
      <c r="CR155" s="2"/>
      <c r="CS155" s="2"/>
      <c r="CT155" s="2"/>
      <c r="CU155" s="2"/>
      <c r="CV155" s="2"/>
      <c r="CW155" s="2"/>
      <c r="CX155" s="2"/>
      <c r="CY155" s="2"/>
      <c r="CZ155" s="2"/>
    </row>
    <row r="156" spans="43:104" ht="15" hidden="1" customHeight="1" x14ac:dyDescent="0.2">
      <c r="AQ156" s="13">
        <v>91</v>
      </c>
      <c r="AR156" s="12">
        <v>1050000</v>
      </c>
      <c r="AS156" s="12">
        <v>910000</v>
      </c>
      <c r="AT156" s="1"/>
      <c r="AU156" s="1"/>
      <c r="AV156" s="1"/>
      <c r="AW156" s="1"/>
      <c r="AX156" s="2"/>
      <c r="AY156" s="2"/>
      <c r="AZ156" s="2"/>
      <c r="BA156" s="2"/>
      <c r="BB156" s="2"/>
      <c r="BC156" s="2"/>
      <c r="BD156" s="2"/>
      <c r="BE156" s="2"/>
      <c r="BK156" s="84"/>
      <c r="BL156" s="2"/>
      <c r="BM156" s="2"/>
      <c r="BN156" s="2"/>
      <c r="BO156" s="2"/>
      <c r="BS156" s="11"/>
      <c r="BT156" s="2"/>
      <c r="BU156" s="3"/>
      <c r="BV156" s="3"/>
      <c r="BW156" s="2"/>
      <c r="BX156" s="2"/>
      <c r="BY156" s="2"/>
      <c r="BZ156" s="2"/>
      <c r="CA156" s="21" t="str">
        <f t="shared" ref="CA156:CA163" si="179">""</f>
        <v/>
      </c>
      <c r="CB156" s="1"/>
      <c r="CC156" s="13"/>
      <c r="CD156" s="2"/>
      <c r="CE156" s="1"/>
      <c r="CF156" s="1"/>
      <c r="CG156" s="1"/>
      <c r="CH156" s="1"/>
      <c r="CI156" s="2"/>
      <c r="CJ156" s="2"/>
      <c r="CK156" s="2"/>
      <c r="CL156" s="2"/>
      <c r="CM156" s="2"/>
      <c r="CN156" s="2"/>
      <c r="CO156" s="2"/>
      <c r="CP156" s="2"/>
      <c r="CQ156" s="2"/>
      <c r="CR156" s="2"/>
      <c r="CS156" s="2"/>
      <c r="CT156" s="2"/>
      <c r="CU156" s="2"/>
      <c r="CV156" s="2"/>
      <c r="CW156" s="2"/>
      <c r="CX156" s="2"/>
      <c r="CY156" s="2"/>
      <c r="CZ156" s="2"/>
    </row>
    <row r="157" spans="43:104" ht="15" hidden="1" customHeight="1" x14ac:dyDescent="0.2">
      <c r="AQ157" s="13">
        <v>92</v>
      </c>
      <c r="AR157" s="12">
        <v>1055000</v>
      </c>
      <c r="AS157" s="12">
        <v>920000</v>
      </c>
      <c r="AT157" s="1"/>
      <c r="AU157" s="1"/>
      <c r="AV157" s="1"/>
      <c r="AW157" s="1"/>
      <c r="AX157" s="2"/>
      <c r="AY157" s="2"/>
      <c r="AZ157" s="2"/>
      <c r="BA157" s="2"/>
      <c r="BB157" s="2"/>
      <c r="BC157" s="2"/>
      <c r="BD157" s="2"/>
      <c r="BE157" s="2"/>
      <c r="BK157" s="84"/>
      <c r="BL157" s="2"/>
      <c r="BM157" s="2"/>
      <c r="BN157" s="2"/>
      <c r="BO157" s="2"/>
      <c r="BS157" s="11"/>
      <c r="BT157" s="2"/>
      <c r="BU157" s="3"/>
      <c r="BV157" s="3"/>
      <c r="BW157" s="2"/>
      <c r="BX157" s="2"/>
      <c r="BY157" s="2"/>
      <c r="BZ157" s="2"/>
      <c r="CA157" s="21" t="str">
        <f t="shared" si="179"/>
        <v/>
      </c>
      <c r="CB157" s="1"/>
      <c r="CC157" s="2"/>
      <c r="CD157" s="2"/>
      <c r="CE157" s="1"/>
      <c r="CF157" s="1"/>
      <c r="CG157" s="1"/>
      <c r="CH157" s="1"/>
      <c r="CI157" s="2"/>
      <c r="CJ157" s="2"/>
      <c r="CK157" s="2"/>
      <c r="CL157" s="2"/>
      <c r="CM157" s="2"/>
      <c r="CN157" s="2"/>
      <c r="CO157" s="2"/>
      <c r="CP157" s="2"/>
      <c r="CQ157" s="2"/>
      <c r="CR157" s="2"/>
      <c r="CS157" s="2"/>
      <c r="CT157" s="2"/>
      <c r="CU157" s="2"/>
      <c r="CV157" s="2"/>
      <c r="CW157" s="2"/>
      <c r="CX157" s="2"/>
      <c r="CY157" s="2"/>
      <c r="CZ157" s="2"/>
    </row>
    <row r="158" spans="43:104" ht="15" hidden="1" customHeight="1" x14ac:dyDescent="0.2">
      <c r="AQ158" s="12">
        <v>93</v>
      </c>
      <c r="AR158" s="12">
        <v>1060000</v>
      </c>
      <c r="AS158" s="12">
        <v>930000</v>
      </c>
      <c r="AT158" s="1"/>
      <c r="AU158" s="1"/>
      <c r="AV158" s="1"/>
      <c r="AW158" s="1"/>
      <c r="AX158" s="2"/>
      <c r="AY158" s="2"/>
      <c r="AZ158" s="2"/>
      <c r="BA158" s="2"/>
      <c r="BB158" s="2"/>
      <c r="BC158" s="2"/>
      <c r="BD158" s="2"/>
      <c r="BE158" s="2"/>
      <c r="BK158" s="84"/>
      <c r="BL158" s="2"/>
      <c r="BM158" s="2"/>
      <c r="BN158" s="2"/>
      <c r="BO158" s="2"/>
      <c r="BS158" s="11"/>
      <c r="BT158" s="2"/>
      <c r="BU158" s="3"/>
      <c r="BV158" s="3"/>
      <c r="BW158" s="2"/>
      <c r="BX158" s="2"/>
      <c r="BY158" s="2"/>
      <c r="BZ158" s="2"/>
      <c r="CA158" s="21" t="str">
        <f t="shared" si="179"/>
        <v/>
      </c>
      <c r="CB158" s="1"/>
      <c r="CC158" s="13"/>
      <c r="CD158" s="2"/>
      <c r="CE158" s="1"/>
      <c r="CF158" s="1"/>
      <c r="CG158" s="1"/>
      <c r="CH158" s="1"/>
      <c r="CI158" s="2"/>
      <c r="CJ158" s="2"/>
      <c r="CK158" s="2"/>
      <c r="CL158" s="2"/>
      <c r="CM158" s="2"/>
      <c r="CN158" s="2"/>
      <c r="CO158" s="2"/>
      <c r="CP158" s="2"/>
      <c r="CQ158" s="2"/>
      <c r="CR158" s="2"/>
      <c r="CS158" s="2"/>
      <c r="CT158" s="2"/>
      <c r="CU158" s="2"/>
      <c r="CV158" s="2"/>
      <c r="CW158" s="2"/>
      <c r="CX158" s="2"/>
      <c r="CY158" s="2"/>
      <c r="CZ158" s="2"/>
    </row>
    <row r="159" spans="43:104" ht="15" hidden="1" customHeight="1" x14ac:dyDescent="0.2">
      <c r="AQ159" s="13">
        <v>94</v>
      </c>
      <c r="AR159" s="12">
        <v>1065000</v>
      </c>
      <c r="AS159" s="12">
        <v>940000</v>
      </c>
      <c r="AT159" s="1"/>
      <c r="AU159" s="1"/>
      <c r="AV159" s="1"/>
      <c r="AW159" s="1"/>
      <c r="AX159" s="2"/>
      <c r="AY159" s="2"/>
      <c r="AZ159" s="2"/>
      <c r="BA159" s="2"/>
      <c r="BB159" s="2"/>
      <c r="BC159" s="2"/>
      <c r="BD159" s="2"/>
      <c r="BE159" s="2"/>
      <c r="BK159" s="84"/>
      <c r="BL159" s="2"/>
      <c r="BM159" s="2"/>
      <c r="BN159" s="2"/>
      <c r="BO159" s="2"/>
      <c r="BS159" s="11"/>
      <c r="BT159" s="2"/>
      <c r="BU159" s="3"/>
      <c r="BV159" s="3"/>
      <c r="BW159" s="2"/>
      <c r="BX159" s="2"/>
      <c r="BY159" s="2"/>
      <c r="BZ159" s="2"/>
      <c r="CA159" s="21" t="str">
        <f t="shared" si="179"/>
        <v/>
      </c>
      <c r="CB159" s="1"/>
      <c r="CC159" s="13"/>
      <c r="CD159" s="2"/>
      <c r="CE159" s="1"/>
      <c r="CF159" s="1"/>
      <c r="CG159" s="1"/>
      <c r="CH159" s="1"/>
      <c r="CI159" s="2"/>
      <c r="CJ159" s="2"/>
      <c r="CK159" s="2"/>
      <c r="CL159" s="2"/>
      <c r="CM159" s="2"/>
      <c r="CN159" s="2"/>
      <c r="CO159" s="2"/>
      <c r="CP159" s="2"/>
      <c r="CQ159" s="2"/>
      <c r="CR159" s="2"/>
      <c r="CS159" s="2"/>
      <c r="CT159" s="2"/>
      <c r="CU159" s="2"/>
      <c r="CV159" s="2"/>
      <c r="CW159" s="2"/>
      <c r="CX159" s="2"/>
      <c r="CY159" s="2"/>
      <c r="CZ159" s="2"/>
    </row>
    <row r="160" spans="43:104" ht="15" hidden="1" customHeight="1" x14ac:dyDescent="0.2">
      <c r="AQ160" s="13">
        <v>95</v>
      </c>
      <c r="AR160" s="12">
        <v>1070000</v>
      </c>
      <c r="AS160" s="12">
        <v>950000</v>
      </c>
      <c r="AT160" s="1"/>
      <c r="AU160" s="1"/>
      <c r="AV160" s="1"/>
      <c r="AW160" s="1"/>
      <c r="AX160" s="2"/>
      <c r="AY160" s="2"/>
      <c r="AZ160" s="2"/>
      <c r="BA160" s="2"/>
      <c r="BB160" s="2"/>
      <c r="BC160" s="2"/>
      <c r="BD160" s="2"/>
      <c r="BE160" s="2"/>
      <c r="BK160" s="84"/>
      <c r="BL160" s="2"/>
      <c r="BM160" s="2"/>
      <c r="BN160" s="2"/>
      <c r="BO160" s="2"/>
      <c r="BS160" s="11"/>
      <c r="BT160" s="2"/>
      <c r="BU160" s="3"/>
      <c r="BV160" s="3"/>
      <c r="BW160" s="2"/>
      <c r="BX160" s="2"/>
      <c r="BY160" s="2"/>
      <c r="BZ160" s="2"/>
      <c r="CA160" s="21" t="str">
        <f t="shared" si="179"/>
        <v/>
      </c>
      <c r="CB160" s="2"/>
      <c r="CC160" s="13"/>
      <c r="CD160" s="2"/>
      <c r="CE160" s="1"/>
      <c r="CF160" s="1"/>
      <c r="CG160" s="1"/>
      <c r="CH160" s="1"/>
      <c r="CI160" s="2"/>
      <c r="CJ160" s="2"/>
      <c r="CK160" s="2"/>
      <c r="CL160" s="2"/>
      <c r="CM160" s="2"/>
      <c r="CN160" s="2"/>
      <c r="CO160" s="2"/>
      <c r="CP160" s="2"/>
      <c r="CQ160" s="2"/>
      <c r="CR160" s="2"/>
      <c r="CS160" s="2"/>
      <c r="CT160" s="2"/>
      <c r="CU160" s="2"/>
      <c r="CV160" s="2"/>
      <c r="CW160" s="2"/>
      <c r="CX160" s="2"/>
      <c r="CY160" s="2"/>
      <c r="CZ160" s="2"/>
    </row>
    <row r="161" spans="43:104" ht="15" hidden="1" customHeight="1" x14ac:dyDescent="0.2">
      <c r="AQ161" s="12">
        <v>96</v>
      </c>
      <c r="AR161" s="12">
        <v>1075000</v>
      </c>
      <c r="AS161" s="12">
        <v>960000</v>
      </c>
      <c r="AT161" s="1"/>
      <c r="AU161" s="1"/>
      <c r="AV161" s="1"/>
      <c r="AW161" s="1"/>
      <c r="AX161" s="2"/>
      <c r="AY161" s="2"/>
      <c r="AZ161" s="2"/>
      <c r="BA161" s="2"/>
      <c r="BB161" s="2"/>
      <c r="BC161" s="2"/>
      <c r="BD161" s="2"/>
      <c r="BE161" s="2"/>
      <c r="BK161" s="84"/>
      <c r="BL161" s="2"/>
      <c r="BM161" s="2"/>
      <c r="BN161" s="2"/>
      <c r="BO161" s="2"/>
      <c r="BS161" s="11"/>
      <c r="BT161" s="2"/>
      <c r="BU161" s="3"/>
      <c r="BV161" s="3"/>
      <c r="BW161" s="2"/>
      <c r="BX161" s="2"/>
      <c r="BY161" s="2"/>
      <c r="BZ161" s="2"/>
      <c r="CA161" s="21" t="str">
        <f t="shared" si="179"/>
        <v/>
      </c>
      <c r="CB161" s="2"/>
      <c r="CC161" s="13"/>
      <c r="CD161" s="2"/>
      <c r="CE161" s="1"/>
      <c r="CF161" s="1"/>
      <c r="CG161" s="1"/>
      <c r="CH161" s="1"/>
      <c r="CI161" s="2"/>
      <c r="CJ161" s="2"/>
      <c r="CK161" s="2"/>
      <c r="CL161" s="2"/>
      <c r="CM161" s="2"/>
      <c r="CN161" s="2"/>
      <c r="CO161" s="2"/>
      <c r="CP161" s="2"/>
      <c r="CQ161" s="2"/>
      <c r="CR161" s="2"/>
      <c r="CS161" s="2"/>
      <c r="CT161" s="2"/>
      <c r="CU161" s="2"/>
      <c r="CV161" s="2"/>
      <c r="CW161" s="2"/>
      <c r="CX161" s="2"/>
      <c r="CY161" s="2"/>
      <c r="CZ161" s="2"/>
    </row>
    <row r="162" spans="43:104" ht="15" hidden="1" customHeight="1" x14ac:dyDescent="0.2">
      <c r="AQ162" s="13">
        <v>97</v>
      </c>
      <c r="AR162" s="12">
        <v>1080000</v>
      </c>
      <c r="AS162" s="12">
        <v>970000</v>
      </c>
      <c r="AT162" s="1"/>
      <c r="AU162" s="1"/>
      <c r="AV162" s="1"/>
      <c r="AW162" s="1"/>
      <c r="AX162" s="2"/>
      <c r="AY162" s="2"/>
      <c r="AZ162" s="2"/>
      <c r="BA162" s="2"/>
      <c r="BB162" s="2"/>
      <c r="BC162" s="2"/>
      <c r="BD162" s="2"/>
      <c r="BE162" s="2"/>
      <c r="BK162" s="84"/>
      <c r="BL162" s="2"/>
      <c r="BM162" s="2"/>
      <c r="BN162" s="2"/>
      <c r="BO162" s="2"/>
      <c r="BS162" s="11"/>
      <c r="BT162" s="2"/>
      <c r="BU162" s="3"/>
      <c r="BV162" s="3"/>
      <c r="BW162" s="2"/>
      <c r="BX162" s="2"/>
      <c r="BY162" s="2"/>
      <c r="BZ162" s="2"/>
      <c r="CA162" s="21" t="str">
        <f t="shared" si="179"/>
        <v/>
      </c>
      <c r="CB162" s="2"/>
      <c r="CC162" s="13"/>
      <c r="CD162" s="2"/>
      <c r="CE162" s="1"/>
      <c r="CF162" s="1"/>
      <c r="CG162" s="1"/>
      <c r="CH162" s="1"/>
      <c r="CI162" s="2"/>
      <c r="CJ162" s="2"/>
      <c r="CK162" s="2"/>
      <c r="CL162" s="2"/>
      <c r="CM162" s="2"/>
      <c r="CN162" s="2"/>
      <c r="CO162" s="2"/>
      <c r="CP162" s="2"/>
      <c r="CQ162" s="2"/>
      <c r="CR162" s="2"/>
      <c r="CS162" s="2"/>
      <c r="CT162" s="2"/>
      <c r="CU162" s="2"/>
      <c r="CV162" s="2"/>
      <c r="CW162" s="2"/>
      <c r="CX162" s="2"/>
      <c r="CY162" s="2"/>
      <c r="CZ162" s="2"/>
    </row>
    <row r="163" spans="43:104" ht="15" hidden="1" customHeight="1" x14ac:dyDescent="0.2">
      <c r="AQ163" s="13">
        <v>98</v>
      </c>
      <c r="AR163" s="12">
        <v>1085000</v>
      </c>
      <c r="AS163" s="12">
        <v>980000</v>
      </c>
      <c r="AT163" s="1"/>
      <c r="AU163" s="1"/>
      <c r="AV163" s="1"/>
      <c r="AW163" s="1"/>
      <c r="AX163" s="2"/>
      <c r="AY163" s="2"/>
      <c r="AZ163" s="2"/>
      <c r="BA163" s="2"/>
      <c r="BB163" s="2"/>
      <c r="BC163" s="2"/>
      <c r="BD163" s="2"/>
      <c r="BE163" s="2"/>
      <c r="BK163" s="84"/>
      <c r="BL163" s="2"/>
      <c r="BM163" s="2"/>
      <c r="BN163" s="2"/>
      <c r="BO163" s="2"/>
      <c r="BS163" s="11"/>
      <c r="BT163" s="2"/>
      <c r="BU163" s="3"/>
      <c r="BV163" s="3"/>
      <c r="BW163" s="2"/>
      <c r="BX163" s="2"/>
      <c r="BY163" s="2"/>
      <c r="BZ163" s="2"/>
      <c r="CA163" s="21" t="str">
        <f t="shared" si="179"/>
        <v/>
      </c>
      <c r="CB163" s="2"/>
      <c r="CC163" s="13"/>
      <c r="CD163" s="2"/>
      <c r="CE163" s="1"/>
      <c r="CF163" s="1"/>
      <c r="CG163" s="1"/>
      <c r="CH163" s="1"/>
      <c r="CI163" s="2"/>
      <c r="CJ163" s="2"/>
      <c r="CK163" s="2"/>
      <c r="CL163" s="2"/>
      <c r="CM163" s="2"/>
      <c r="CN163" s="2"/>
      <c r="CO163" s="2"/>
      <c r="CP163" s="2"/>
      <c r="CQ163" s="2"/>
      <c r="CR163" s="2"/>
      <c r="CS163" s="2"/>
      <c r="CT163" s="2"/>
      <c r="CU163" s="2"/>
      <c r="CV163" s="2"/>
      <c r="CW163" s="2"/>
      <c r="CX163" s="2"/>
      <c r="CY163" s="2"/>
      <c r="CZ163" s="2"/>
    </row>
    <row r="164" spans="43:104" ht="15" hidden="1" customHeight="1" x14ac:dyDescent="0.2">
      <c r="AQ164" s="12">
        <v>99</v>
      </c>
      <c r="AR164" s="12">
        <v>1090000</v>
      </c>
      <c r="AS164" s="12">
        <v>990000</v>
      </c>
      <c r="AT164" s="1"/>
      <c r="AU164" s="1"/>
      <c r="AV164" s="1"/>
      <c r="AW164" s="1"/>
      <c r="AX164" s="2"/>
      <c r="AY164" s="2"/>
      <c r="AZ164" s="2"/>
      <c r="BA164" s="2"/>
      <c r="BB164" s="2"/>
      <c r="BC164" s="2"/>
      <c r="BD164" s="2"/>
      <c r="BE164" s="2"/>
      <c r="BK164" s="84"/>
      <c r="BL164" s="2"/>
      <c r="BM164" s="2"/>
      <c r="BN164" s="2"/>
      <c r="BO164" s="2"/>
      <c r="BS164" s="11"/>
      <c r="BT164" s="2"/>
      <c r="BU164" s="3"/>
      <c r="BV164" s="3"/>
      <c r="BW164" s="2"/>
      <c r="BX164" s="2"/>
      <c r="BY164" s="2"/>
      <c r="BZ164" s="2"/>
      <c r="CA164" s="46"/>
      <c r="CB164" s="1"/>
      <c r="CC164" s="2"/>
      <c r="CD164" s="2"/>
      <c r="CE164" s="1"/>
      <c r="CF164" s="1"/>
      <c r="CG164" s="1"/>
      <c r="CH164" s="1"/>
      <c r="CI164" s="2"/>
      <c r="CJ164" s="2"/>
      <c r="CK164" s="2"/>
      <c r="CL164" s="2"/>
      <c r="CM164" s="2"/>
      <c r="CN164" s="2"/>
      <c r="CO164" s="2"/>
      <c r="CP164" s="2"/>
      <c r="CQ164" s="2"/>
      <c r="CR164" s="2"/>
      <c r="CS164" s="2"/>
      <c r="CT164" s="2"/>
      <c r="CU164" s="2"/>
      <c r="CV164" s="2"/>
      <c r="CW164" s="2"/>
      <c r="CX164" s="2"/>
      <c r="CY164" s="2"/>
      <c r="CZ164" s="2"/>
    </row>
    <row r="165" spans="43:104" ht="15" hidden="1" customHeight="1" x14ac:dyDescent="0.2">
      <c r="AQ165" s="12"/>
      <c r="AR165" s="12">
        <v>1095000</v>
      </c>
      <c r="AS165" s="12">
        <v>1000000</v>
      </c>
      <c r="AT165" s="1"/>
      <c r="AU165" s="1"/>
      <c r="AV165" s="1"/>
      <c r="AW165" s="1"/>
      <c r="AX165" s="2"/>
      <c r="AY165" s="2"/>
      <c r="AZ165" s="2"/>
      <c r="BA165" s="2"/>
      <c r="BB165" s="2"/>
      <c r="BC165" s="2"/>
      <c r="BD165" s="2"/>
      <c r="BE165" s="2"/>
      <c r="BK165" s="84"/>
      <c r="BL165" s="2"/>
      <c r="BM165" s="2"/>
      <c r="BN165" s="2"/>
      <c r="BO165" s="2"/>
      <c r="BS165" s="11"/>
      <c r="BT165" s="2"/>
      <c r="BU165" s="3"/>
      <c r="BV165" s="3"/>
      <c r="BW165" s="2"/>
      <c r="BX165" s="2"/>
      <c r="BY165" s="2"/>
      <c r="BZ165" s="2"/>
      <c r="CA165" s="46"/>
      <c r="CB165" s="1"/>
      <c r="CC165" s="1"/>
      <c r="CD165" s="1"/>
      <c r="CE165" s="1"/>
      <c r="CF165" s="1"/>
      <c r="CG165" s="1"/>
      <c r="CH165" s="1"/>
      <c r="CI165" s="2"/>
      <c r="CJ165" s="2"/>
      <c r="CK165" s="2"/>
      <c r="CL165" s="2"/>
      <c r="CM165" s="2"/>
      <c r="CN165" s="2"/>
      <c r="CO165" s="2"/>
      <c r="CP165" s="2"/>
      <c r="CQ165" s="2"/>
      <c r="CR165" s="2"/>
      <c r="CS165" s="2"/>
      <c r="CT165" s="2"/>
      <c r="CU165" s="2"/>
      <c r="CV165" s="2"/>
      <c r="CW165" s="2"/>
      <c r="CX165" s="2"/>
      <c r="CY165" s="2"/>
      <c r="CZ165" s="2"/>
    </row>
    <row r="166" spans="43:104" ht="15" hidden="1" customHeight="1" x14ac:dyDescent="0.2">
      <c r="AQ166" s="12"/>
      <c r="AR166" s="12">
        <v>1100000</v>
      </c>
      <c r="AS166" s="12">
        <v>1010000</v>
      </c>
      <c r="AT166" s="1"/>
      <c r="AU166" s="1"/>
      <c r="AV166" s="1"/>
      <c r="AW166" s="1"/>
      <c r="AX166" s="2"/>
      <c r="AY166" s="2"/>
      <c r="AZ166" s="2"/>
      <c r="BA166" s="2"/>
      <c r="BB166" s="2"/>
      <c r="BC166" s="2"/>
      <c r="BD166" s="2"/>
      <c r="BE166" s="2"/>
      <c r="BK166" s="84"/>
      <c r="BL166" s="2"/>
      <c r="BM166" s="2"/>
      <c r="BN166" s="2"/>
      <c r="BO166" s="2"/>
      <c r="BS166" s="11"/>
      <c r="BT166" s="2"/>
      <c r="BU166" s="3"/>
      <c r="BV166" s="3"/>
      <c r="BW166" s="2"/>
      <c r="BX166" s="2"/>
      <c r="BY166" s="2"/>
      <c r="BZ166" s="2"/>
      <c r="CA166" s="46"/>
      <c r="CB166" s="1"/>
      <c r="CC166" s="1"/>
      <c r="CD166" s="1"/>
      <c r="CE166" s="1"/>
      <c r="CF166" s="1"/>
      <c r="CG166" s="1"/>
      <c r="CH166" s="1"/>
      <c r="CI166" s="2"/>
      <c r="CJ166" s="2"/>
      <c r="CK166" s="2"/>
      <c r="CL166" s="2"/>
      <c r="CM166" s="2"/>
      <c r="CN166" s="2"/>
      <c r="CO166" s="2"/>
      <c r="CP166" s="2"/>
      <c r="CQ166" s="2"/>
      <c r="CR166" s="2"/>
      <c r="CS166" s="2"/>
      <c r="CT166" s="2"/>
      <c r="CU166" s="2"/>
      <c r="CV166" s="2"/>
      <c r="CW166" s="2"/>
      <c r="CX166" s="2"/>
      <c r="CY166" s="2"/>
      <c r="CZ166" s="2"/>
    </row>
    <row r="167" spans="43:104" ht="15" hidden="1" customHeight="1" x14ac:dyDescent="0.2">
      <c r="AQ167" s="13"/>
      <c r="AR167" s="12">
        <v>1105000</v>
      </c>
      <c r="AS167" s="12">
        <v>1020000</v>
      </c>
      <c r="AT167" s="1"/>
      <c r="AU167" s="1"/>
      <c r="AV167" s="1"/>
      <c r="AW167" s="1"/>
      <c r="AX167" s="2"/>
      <c r="AY167" s="2"/>
      <c r="AZ167" s="2"/>
      <c r="BA167" s="2"/>
      <c r="BB167" s="2"/>
      <c r="BC167" s="2"/>
      <c r="BD167" s="2"/>
      <c r="BE167" s="2"/>
      <c r="BK167" s="84"/>
      <c r="BL167" s="2"/>
      <c r="BM167" s="2"/>
      <c r="BN167" s="2"/>
      <c r="BO167" s="2"/>
      <c r="BS167" s="11"/>
      <c r="BT167" s="2"/>
      <c r="BU167" s="3"/>
      <c r="BV167" s="3"/>
      <c r="BW167" s="2"/>
      <c r="BX167" s="2"/>
      <c r="BY167" s="2"/>
      <c r="BZ167" s="2"/>
      <c r="CA167" s="46"/>
      <c r="CB167" s="1"/>
      <c r="CC167" s="1"/>
      <c r="CD167" s="1"/>
      <c r="CE167" s="1"/>
      <c r="CF167" s="1"/>
      <c r="CG167" s="1"/>
      <c r="CH167" s="1"/>
      <c r="CI167" s="2"/>
      <c r="CJ167" s="2"/>
      <c r="CK167" s="2"/>
      <c r="CL167" s="2"/>
      <c r="CM167" s="2"/>
      <c r="CN167" s="2"/>
      <c r="CO167" s="2"/>
      <c r="CP167" s="2"/>
      <c r="CQ167" s="2"/>
      <c r="CR167" s="2"/>
      <c r="CS167" s="2"/>
      <c r="CT167" s="2"/>
      <c r="CU167" s="2"/>
      <c r="CV167" s="2"/>
      <c r="CW167" s="2"/>
      <c r="CX167" s="2"/>
      <c r="CY167" s="2"/>
      <c r="CZ167" s="2"/>
    </row>
    <row r="168" spans="43:104" ht="15" hidden="1" customHeight="1" x14ac:dyDescent="0.2">
      <c r="AQ168" s="13"/>
      <c r="AR168" s="12">
        <v>1110000</v>
      </c>
      <c r="AS168" s="12">
        <v>1030000</v>
      </c>
      <c r="AT168" s="1"/>
      <c r="AU168" s="1"/>
      <c r="AV168" s="1"/>
      <c r="AW168" s="1"/>
      <c r="AX168" s="2"/>
      <c r="AY168" s="2"/>
      <c r="AZ168" s="2"/>
      <c r="BA168" s="2"/>
      <c r="BB168" s="2"/>
      <c r="BC168" s="2"/>
      <c r="BD168" s="2"/>
      <c r="BE168" s="2"/>
      <c r="BK168" s="84"/>
      <c r="BL168" s="2"/>
      <c r="BM168" s="2"/>
      <c r="BN168" s="2"/>
      <c r="BO168" s="2"/>
      <c r="BS168" s="11"/>
      <c r="BT168" s="2"/>
      <c r="BU168" s="3"/>
      <c r="BV168" s="3"/>
      <c r="BW168" s="2"/>
      <c r="BX168" s="2"/>
      <c r="BY168" s="2"/>
      <c r="BZ168" s="2"/>
      <c r="CA168" s="46"/>
      <c r="CB168" s="1"/>
      <c r="CC168" s="7"/>
      <c r="CD168" s="1"/>
      <c r="CE168" s="1"/>
      <c r="CF168" s="1"/>
      <c r="CG168" s="1"/>
      <c r="CH168" s="1"/>
      <c r="CI168" s="2"/>
      <c r="CJ168" s="2"/>
      <c r="CK168" s="2"/>
      <c r="CL168" s="2"/>
      <c r="CM168" s="2"/>
      <c r="CN168" s="2"/>
      <c r="CO168" s="2"/>
      <c r="CP168" s="2"/>
      <c r="CQ168" s="2"/>
      <c r="CR168" s="2"/>
      <c r="CS168" s="2"/>
      <c r="CT168" s="2"/>
      <c r="CU168" s="2"/>
      <c r="CV168" s="2"/>
      <c r="CW168" s="2"/>
      <c r="CX168" s="2"/>
      <c r="CY168" s="2"/>
      <c r="CZ168" s="2"/>
    </row>
    <row r="169" spans="43:104" ht="15" hidden="1" customHeight="1" x14ac:dyDescent="0.2">
      <c r="AQ169" s="85"/>
      <c r="AR169" s="12">
        <v>1115000</v>
      </c>
      <c r="AS169" s="12">
        <v>1040000</v>
      </c>
      <c r="AT169" s="1"/>
      <c r="AU169" s="1"/>
      <c r="AV169" s="1"/>
      <c r="AW169" s="1"/>
      <c r="AX169" s="2"/>
      <c r="AY169" s="2"/>
      <c r="AZ169" s="2"/>
      <c r="BA169" s="2"/>
      <c r="BB169" s="2"/>
      <c r="BC169" s="2"/>
      <c r="BD169" s="2"/>
      <c r="BE169" s="2"/>
      <c r="BK169" s="84"/>
      <c r="BL169" s="2"/>
      <c r="BM169" s="2"/>
      <c r="BN169" s="2"/>
      <c r="BO169" s="2"/>
      <c r="BS169" s="11"/>
      <c r="BT169" s="2"/>
      <c r="BU169" s="3"/>
      <c r="BV169" s="3"/>
      <c r="BW169" s="2"/>
      <c r="BX169" s="2"/>
      <c r="BY169" s="2"/>
      <c r="BZ169" s="2"/>
      <c r="CA169" s="2"/>
      <c r="CB169" s="2"/>
      <c r="CC169" s="2"/>
      <c r="CD169" s="1"/>
      <c r="CE169" s="1"/>
      <c r="CF169" s="1"/>
      <c r="CG169" s="1"/>
      <c r="CH169" s="1"/>
      <c r="CI169" s="2"/>
      <c r="CJ169" s="2"/>
      <c r="CK169" s="2"/>
      <c r="CL169" s="2"/>
      <c r="CM169" s="2"/>
      <c r="CN169" s="2"/>
      <c r="CO169" s="2"/>
      <c r="CP169" s="2"/>
      <c r="CQ169" s="2"/>
      <c r="CR169" s="2"/>
      <c r="CS169" s="2"/>
      <c r="CT169" s="2"/>
      <c r="CU169" s="2"/>
      <c r="CV169" s="2"/>
      <c r="CW169" s="2"/>
      <c r="CX169" s="2"/>
      <c r="CY169" s="2"/>
      <c r="CZ169" s="2"/>
    </row>
    <row r="170" spans="43:104" ht="15" hidden="1" customHeight="1" x14ac:dyDescent="0.2">
      <c r="AQ170" s="12"/>
      <c r="AR170" s="12">
        <v>1120000</v>
      </c>
      <c r="AS170" s="12">
        <v>1050000</v>
      </c>
      <c r="AT170" s="1"/>
      <c r="AU170" s="1"/>
      <c r="AV170" s="1"/>
      <c r="AW170" s="1"/>
      <c r="AX170" s="2"/>
      <c r="AY170" s="2"/>
      <c r="AZ170" s="2"/>
      <c r="BA170" s="2"/>
      <c r="BB170" s="2"/>
      <c r="BC170" s="2"/>
      <c r="BD170" s="2"/>
      <c r="BE170" s="2"/>
      <c r="BK170" s="84"/>
      <c r="BL170" s="2"/>
      <c r="BM170" s="2"/>
      <c r="BN170" s="2"/>
      <c r="BO170" s="2"/>
      <c r="BS170" s="11"/>
      <c r="BT170" s="2"/>
      <c r="BU170" s="3"/>
      <c r="BV170" s="3"/>
      <c r="BW170" s="2"/>
      <c r="BX170" s="2"/>
      <c r="BY170" s="2"/>
      <c r="BZ170" s="2"/>
      <c r="CA170" s="2"/>
      <c r="CB170" s="2"/>
      <c r="CC170" s="2"/>
      <c r="CD170" s="1"/>
      <c r="CE170" s="1"/>
      <c r="CF170" s="1"/>
      <c r="CG170" s="1"/>
      <c r="CH170" s="1"/>
      <c r="CI170" s="2"/>
      <c r="CJ170" s="2"/>
      <c r="CK170" s="2"/>
      <c r="CL170" s="2"/>
      <c r="CM170" s="2"/>
      <c r="CN170" s="2"/>
      <c r="CO170" s="2"/>
      <c r="CP170" s="2"/>
      <c r="CQ170" s="2"/>
      <c r="CR170" s="2"/>
      <c r="CS170" s="2"/>
      <c r="CT170" s="2"/>
      <c r="CU170" s="2"/>
      <c r="CV170" s="2"/>
      <c r="CW170" s="2"/>
      <c r="CX170" s="2"/>
      <c r="CY170" s="2"/>
      <c r="CZ170" s="2"/>
    </row>
    <row r="171" spans="43:104" ht="15" hidden="1" customHeight="1" x14ac:dyDescent="0.2">
      <c r="AQ171" s="12"/>
      <c r="AR171" s="12">
        <v>1125000</v>
      </c>
      <c r="AS171" s="12">
        <v>1060000</v>
      </c>
      <c r="AT171" s="1"/>
      <c r="AU171" s="1"/>
      <c r="AV171" s="1"/>
      <c r="AW171" s="1"/>
      <c r="AX171" s="2"/>
      <c r="AY171" s="2"/>
      <c r="AZ171" s="2"/>
      <c r="BA171" s="2"/>
      <c r="BB171" s="2"/>
      <c r="BC171" s="2"/>
      <c r="BD171" s="2"/>
      <c r="BE171" s="2"/>
      <c r="BK171" s="84"/>
      <c r="BL171" s="2"/>
      <c r="BM171" s="2"/>
      <c r="BN171" s="2"/>
      <c r="BO171" s="2"/>
      <c r="BS171" s="11"/>
      <c r="BT171" s="2"/>
      <c r="BU171" s="3"/>
      <c r="BV171" s="3"/>
      <c r="BW171" s="2"/>
      <c r="BX171" s="2"/>
      <c r="BY171" s="2"/>
      <c r="BZ171" s="2"/>
      <c r="CA171" s="2"/>
      <c r="CB171" s="2"/>
      <c r="CC171" s="2"/>
      <c r="CD171" s="1"/>
      <c r="CE171" s="1"/>
      <c r="CF171" s="1"/>
      <c r="CG171" s="1"/>
      <c r="CH171" s="1"/>
      <c r="CI171" s="2"/>
      <c r="CJ171" s="2"/>
      <c r="CK171" s="2"/>
      <c r="CL171" s="2"/>
      <c r="CM171" s="2"/>
      <c r="CN171" s="2"/>
      <c r="CO171" s="2"/>
      <c r="CP171" s="2"/>
      <c r="CQ171" s="2"/>
      <c r="CR171" s="2"/>
      <c r="CS171" s="2"/>
      <c r="CT171" s="2"/>
      <c r="CU171" s="2"/>
      <c r="CV171" s="2"/>
      <c r="CW171" s="2"/>
      <c r="CX171" s="2"/>
      <c r="CY171" s="2"/>
      <c r="CZ171" s="2"/>
    </row>
    <row r="172" spans="43:104" ht="15" hidden="1" customHeight="1" x14ac:dyDescent="0.2">
      <c r="AQ172" s="13"/>
      <c r="AR172" s="12">
        <v>1130000</v>
      </c>
      <c r="AS172" s="12">
        <v>1070000</v>
      </c>
      <c r="AT172" s="1"/>
      <c r="AU172" s="1"/>
      <c r="AV172" s="1"/>
      <c r="AW172" s="1"/>
      <c r="AX172" s="2"/>
      <c r="AY172" s="2"/>
      <c r="AZ172" s="2"/>
      <c r="BA172" s="2"/>
      <c r="BB172" s="2"/>
      <c r="BC172" s="2"/>
      <c r="BD172" s="2"/>
      <c r="BE172" s="2"/>
      <c r="BK172" s="84"/>
      <c r="BL172" s="2"/>
      <c r="BM172" s="2"/>
      <c r="BN172" s="2"/>
      <c r="BO172" s="2"/>
      <c r="BS172" s="11"/>
      <c r="BT172" s="2"/>
      <c r="BU172" s="3"/>
      <c r="BV172" s="3"/>
      <c r="BW172" s="2"/>
      <c r="BX172" s="2"/>
      <c r="BY172" s="2"/>
      <c r="BZ172" s="2"/>
      <c r="CA172" s="2"/>
      <c r="CB172" s="2"/>
      <c r="CC172" s="2"/>
      <c r="CD172" s="1"/>
      <c r="CE172" s="1"/>
      <c r="CF172" s="1"/>
      <c r="CG172" s="1"/>
      <c r="CH172" s="1"/>
      <c r="CI172" s="2"/>
      <c r="CJ172" s="2"/>
      <c r="CK172" s="2"/>
      <c r="CL172" s="2"/>
      <c r="CM172" s="2"/>
      <c r="CN172" s="2"/>
      <c r="CO172" s="2"/>
      <c r="CP172" s="2"/>
      <c r="CQ172" s="2"/>
      <c r="CR172" s="2"/>
      <c r="CS172" s="2"/>
      <c r="CT172" s="2"/>
      <c r="CU172" s="2"/>
      <c r="CV172" s="2"/>
      <c r="CW172" s="2"/>
      <c r="CX172" s="2"/>
      <c r="CY172" s="2"/>
      <c r="CZ172" s="2"/>
    </row>
    <row r="173" spans="43:104" ht="15" hidden="1" customHeight="1" x14ac:dyDescent="0.2">
      <c r="AQ173" s="13"/>
      <c r="AR173" s="12">
        <v>1135000</v>
      </c>
      <c r="AS173" s="12">
        <v>1080000</v>
      </c>
      <c r="AT173" s="1"/>
      <c r="AU173" s="1"/>
      <c r="AV173" s="1"/>
      <c r="AW173" s="1"/>
      <c r="AX173" s="2"/>
      <c r="AY173" s="2"/>
      <c r="AZ173" s="2"/>
      <c r="BA173" s="2"/>
      <c r="BB173" s="2"/>
      <c r="BC173" s="2"/>
      <c r="BD173" s="2"/>
      <c r="BE173" s="2"/>
      <c r="BK173" s="84"/>
      <c r="BL173" s="2"/>
      <c r="BM173" s="2"/>
      <c r="BN173" s="2"/>
      <c r="BO173" s="2"/>
      <c r="BS173" s="11"/>
      <c r="BT173" s="2"/>
      <c r="BU173" s="3"/>
      <c r="BV173" s="3"/>
      <c r="BW173" s="2"/>
      <c r="BX173" s="2"/>
      <c r="BY173" s="2"/>
      <c r="BZ173" s="2"/>
      <c r="CA173" s="2"/>
      <c r="CB173" s="2"/>
      <c r="CC173" s="2"/>
      <c r="CD173" s="1"/>
      <c r="CE173" s="1"/>
      <c r="CF173" s="1"/>
      <c r="CG173" s="1"/>
      <c r="CH173" s="1"/>
      <c r="CI173" s="2"/>
      <c r="CJ173" s="2"/>
      <c r="CK173" s="2"/>
      <c r="CL173" s="2"/>
      <c r="CM173" s="2"/>
      <c r="CN173" s="2"/>
      <c r="CO173" s="2"/>
      <c r="CP173" s="2"/>
      <c r="CQ173" s="2"/>
      <c r="CR173" s="2"/>
      <c r="CS173" s="2"/>
      <c r="CT173" s="2"/>
      <c r="CU173" s="2"/>
      <c r="CV173" s="2"/>
      <c r="CW173" s="2"/>
      <c r="CX173" s="2"/>
      <c r="CY173" s="2"/>
      <c r="CZ173" s="2"/>
    </row>
    <row r="174" spans="43:104" ht="15" hidden="1" customHeight="1" x14ac:dyDescent="0.2">
      <c r="AQ174" s="85"/>
      <c r="AR174" s="12">
        <v>1140000</v>
      </c>
      <c r="AS174" s="12">
        <v>1090000</v>
      </c>
      <c r="AT174" s="1"/>
      <c r="AU174" s="1"/>
      <c r="AV174" s="1"/>
      <c r="AW174" s="1"/>
      <c r="AX174" s="2"/>
      <c r="AY174" s="2"/>
      <c r="AZ174" s="2"/>
      <c r="BA174" s="2"/>
      <c r="BB174" s="2"/>
      <c r="BC174" s="2"/>
      <c r="BD174" s="2"/>
      <c r="BE174" s="2"/>
      <c r="BK174" s="84"/>
      <c r="BL174" s="2"/>
      <c r="BM174" s="2"/>
      <c r="BN174" s="2"/>
      <c r="BO174" s="2"/>
      <c r="BS174" s="11"/>
      <c r="BT174" s="2"/>
      <c r="BU174" s="3"/>
      <c r="BV174" s="3"/>
      <c r="BW174" s="2"/>
      <c r="BX174" s="2"/>
      <c r="BY174" s="2"/>
      <c r="BZ174" s="2"/>
      <c r="CA174" s="2"/>
      <c r="CB174" s="2"/>
      <c r="CC174" s="2"/>
      <c r="CD174" s="1"/>
      <c r="CE174" s="1"/>
      <c r="CF174" s="1"/>
      <c r="CG174" s="1"/>
      <c r="CH174" s="1"/>
      <c r="CI174" s="2"/>
      <c r="CJ174" s="2"/>
      <c r="CK174" s="2"/>
      <c r="CL174" s="2"/>
      <c r="CM174" s="2"/>
      <c r="CN174" s="2"/>
      <c r="CO174" s="2"/>
      <c r="CP174" s="2"/>
      <c r="CQ174" s="2"/>
      <c r="CR174" s="2"/>
      <c r="CS174" s="2"/>
      <c r="CT174" s="2"/>
      <c r="CU174" s="2"/>
      <c r="CV174" s="2"/>
      <c r="CW174" s="2"/>
      <c r="CX174" s="2"/>
      <c r="CY174" s="2"/>
      <c r="CZ174" s="2"/>
    </row>
    <row r="175" spans="43:104" ht="15" hidden="1" customHeight="1" x14ac:dyDescent="0.2">
      <c r="AQ175" s="12"/>
      <c r="AR175" s="12">
        <v>1145000</v>
      </c>
      <c r="AS175" s="12">
        <v>1100000</v>
      </c>
      <c r="AT175" s="1"/>
      <c r="AU175" s="1"/>
      <c r="AV175" s="1"/>
      <c r="AW175" s="1"/>
      <c r="AX175" s="2"/>
      <c r="AY175" s="2"/>
      <c r="AZ175" s="2"/>
      <c r="BA175" s="2"/>
      <c r="BB175" s="2"/>
      <c r="BC175" s="2"/>
      <c r="BD175" s="2"/>
      <c r="BE175" s="2"/>
      <c r="BK175" s="84"/>
      <c r="BL175" s="2"/>
      <c r="BM175" s="2"/>
      <c r="BN175" s="2"/>
      <c r="BO175" s="2"/>
      <c r="BS175" s="11"/>
      <c r="BT175" s="2"/>
      <c r="BU175" s="3"/>
      <c r="BV175" s="3"/>
      <c r="BW175" s="2"/>
      <c r="BX175" s="2"/>
      <c r="BY175" s="2"/>
      <c r="BZ175" s="2"/>
      <c r="CA175" s="46"/>
      <c r="CB175" s="1"/>
      <c r="CC175" s="1"/>
      <c r="CD175" s="1"/>
      <c r="CE175" s="1"/>
      <c r="CF175" s="1"/>
      <c r="CG175" s="1"/>
      <c r="CH175" s="1"/>
      <c r="CI175" s="2"/>
      <c r="CJ175" s="2"/>
      <c r="CK175" s="2"/>
      <c r="CL175" s="2"/>
      <c r="CM175" s="2"/>
      <c r="CN175" s="2"/>
      <c r="CO175" s="2"/>
      <c r="CP175" s="2"/>
      <c r="CQ175" s="2"/>
      <c r="CR175" s="2"/>
      <c r="CS175" s="2"/>
      <c r="CT175" s="2"/>
      <c r="CU175" s="2"/>
      <c r="CV175" s="2"/>
      <c r="CW175" s="2"/>
      <c r="CX175" s="2"/>
      <c r="CY175" s="2"/>
      <c r="CZ175" s="2"/>
    </row>
    <row r="176" spans="43:104" ht="15" hidden="1" customHeight="1" x14ac:dyDescent="0.2">
      <c r="AQ176" s="12"/>
      <c r="AR176" s="12">
        <v>1150000</v>
      </c>
      <c r="AS176" s="12">
        <v>1110000</v>
      </c>
      <c r="AT176" s="1"/>
      <c r="AU176" s="1"/>
      <c r="AV176" s="1"/>
      <c r="AW176" s="1"/>
      <c r="AX176" s="2"/>
      <c r="AY176" s="2"/>
      <c r="AZ176" s="2"/>
      <c r="BA176" s="2"/>
      <c r="BB176" s="2"/>
      <c r="BC176" s="2"/>
      <c r="BD176" s="2"/>
      <c r="BE176" s="2"/>
      <c r="BK176" s="84"/>
      <c r="BL176" s="2"/>
      <c r="BM176" s="2"/>
      <c r="BN176" s="2"/>
      <c r="BO176" s="2"/>
      <c r="BS176" s="11"/>
      <c r="BT176" s="2"/>
      <c r="BU176" s="3"/>
      <c r="BV176" s="3"/>
      <c r="BW176" s="2"/>
      <c r="BX176" s="2"/>
      <c r="BY176" s="2"/>
      <c r="BZ176" s="2"/>
      <c r="CA176" s="46"/>
      <c r="CB176" s="1"/>
      <c r="CC176" s="1"/>
      <c r="CD176" s="1"/>
      <c r="CE176" s="1"/>
      <c r="CF176" s="1"/>
      <c r="CG176" s="1"/>
      <c r="CH176" s="1"/>
      <c r="CI176" s="2"/>
      <c r="CJ176" s="2"/>
      <c r="CK176" s="2"/>
      <c r="CL176" s="2"/>
      <c r="CM176" s="2"/>
      <c r="CN176" s="2"/>
      <c r="CO176" s="2"/>
      <c r="CP176" s="2"/>
      <c r="CQ176" s="2"/>
      <c r="CR176" s="2"/>
      <c r="CS176" s="2"/>
      <c r="CT176" s="2"/>
      <c r="CU176" s="2"/>
      <c r="CV176" s="2"/>
      <c r="CW176" s="2"/>
      <c r="CX176" s="2"/>
      <c r="CY176" s="2"/>
      <c r="CZ176" s="2"/>
    </row>
    <row r="177" spans="43:104" ht="15" hidden="1" customHeight="1" x14ac:dyDescent="0.2">
      <c r="AQ177" s="13"/>
      <c r="AR177" s="12">
        <v>1155000</v>
      </c>
      <c r="AS177" s="12">
        <v>1120000</v>
      </c>
      <c r="AT177" s="2"/>
      <c r="AU177" s="2"/>
      <c r="AV177" s="2"/>
      <c r="AW177" s="2"/>
      <c r="AX177" s="2"/>
      <c r="AY177" s="2"/>
      <c r="AZ177" s="2"/>
      <c r="BA177" s="2"/>
      <c r="BB177" s="2"/>
      <c r="BC177" s="2"/>
      <c r="BD177" s="2"/>
      <c r="BE177" s="2"/>
      <c r="BK177" s="84"/>
      <c r="BL177" s="2"/>
      <c r="BM177" s="2"/>
      <c r="BN177" s="2"/>
      <c r="BO177" s="2"/>
      <c r="BS177" s="11"/>
      <c r="BT177" s="2"/>
      <c r="BU177" s="3"/>
      <c r="BV177" s="3"/>
      <c r="BW177" s="2"/>
      <c r="BX177" s="2"/>
      <c r="BY177" s="2"/>
      <c r="BZ177" s="2"/>
      <c r="CA177" s="46"/>
      <c r="CB177" s="1"/>
      <c r="CC177" s="7"/>
      <c r="CD177" s="1"/>
      <c r="CE177" s="1"/>
      <c r="CF177" s="1"/>
      <c r="CG177" s="1"/>
      <c r="CH177" s="1"/>
      <c r="CI177" s="2"/>
      <c r="CJ177" s="2"/>
      <c r="CK177" s="2"/>
      <c r="CL177" s="2"/>
      <c r="CM177" s="2"/>
      <c r="CN177" s="2"/>
      <c r="CO177" s="2"/>
      <c r="CP177" s="2"/>
      <c r="CQ177" s="2"/>
      <c r="CR177" s="2"/>
      <c r="CS177" s="2"/>
      <c r="CT177" s="2"/>
      <c r="CU177" s="2"/>
      <c r="CV177" s="2"/>
      <c r="CW177" s="2"/>
      <c r="CX177" s="2"/>
      <c r="CY177" s="2"/>
      <c r="CZ177" s="2"/>
    </row>
    <row r="178" spans="43:104" ht="15" hidden="1" customHeight="1" x14ac:dyDescent="0.2">
      <c r="AQ178" s="13"/>
      <c r="AR178" s="12">
        <v>1160000</v>
      </c>
      <c r="AS178" s="12">
        <v>1130000</v>
      </c>
      <c r="AT178" s="2"/>
      <c r="AU178" s="2"/>
      <c r="AV178" s="2"/>
      <c r="AW178" s="2"/>
      <c r="AX178" s="2"/>
      <c r="AY178" s="2"/>
      <c r="AZ178" s="2"/>
      <c r="BA178" s="2"/>
      <c r="BB178" s="2"/>
      <c r="BC178" s="2"/>
      <c r="BD178" s="2"/>
      <c r="BE178" s="2"/>
      <c r="BK178" s="84"/>
      <c r="BL178" s="2"/>
      <c r="BM178" s="2"/>
      <c r="BN178" s="2"/>
      <c r="BO178" s="2"/>
      <c r="BS178" s="11"/>
      <c r="BT178" s="2"/>
      <c r="BU178" s="3"/>
      <c r="BV178" s="3"/>
      <c r="BW178" s="2"/>
      <c r="BX178" s="2"/>
      <c r="BY178" s="2"/>
      <c r="BZ178" s="2"/>
      <c r="CA178" s="2"/>
      <c r="CB178" s="2"/>
      <c r="CC178" s="2"/>
      <c r="CD178" s="1"/>
      <c r="CE178" s="1"/>
      <c r="CF178" s="1"/>
      <c r="CG178" s="1"/>
      <c r="CH178" s="1"/>
      <c r="CI178" s="2"/>
      <c r="CJ178" s="2"/>
      <c r="CK178" s="2"/>
      <c r="CL178" s="2"/>
      <c r="CM178" s="2"/>
      <c r="CN178" s="2"/>
      <c r="CO178" s="2"/>
      <c r="CP178" s="2"/>
      <c r="CQ178" s="2"/>
      <c r="CR178" s="2"/>
      <c r="CS178" s="2"/>
      <c r="CT178" s="2"/>
      <c r="CU178" s="2"/>
      <c r="CV178" s="2"/>
      <c r="CW178" s="2"/>
      <c r="CX178" s="2"/>
      <c r="CY178" s="2"/>
      <c r="CZ178" s="2"/>
    </row>
    <row r="179" spans="43:104" ht="15" hidden="1" customHeight="1" x14ac:dyDescent="0.2">
      <c r="AQ179" s="85"/>
      <c r="AR179" s="12">
        <v>1165000</v>
      </c>
      <c r="AS179" s="12">
        <v>1140000</v>
      </c>
      <c r="AT179" s="2"/>
      <c r="AU179" s="2"/>
      <c r="AV179" s="2"/>
      <c r="AW179" s="2"/>
      <c r="AX179" s="2"/>
      <c r="AY179" s="2"/>
      <c r="AZ179" s="2"/>
      <c r="BA179" s="2"/>
      <c r="BB179" s="2"/>
      <c r="BC179" s="2"/>
      <c r="BD179" s="2"/>
      <c r="BE179" s="2"/>
      <c r="BK179" s="84"/>
      <c r="BL179" s="2"/>
      <c r="BM179" s="2"/>
      <c r="BN179" s="2"/>
      <c r="BO179" s="2"/>
      <c r="BS179" s="11"/>
      <c r="BT179" s="2"/>
      <c r="BU179" s="3"/>
      <c r="BV179" s="3"/>
      <c r="BW179" s="2"/>
      <c r="BX179" s="2"/>
      <c r="BY179" s="2"/>
      <c r="BZ179" s="2"/>
      <c r="CA179" s="2"/>
      <c r="CB179" s="2"/>
      <c r="CC179" s="2"/>
      <c r="CD179" s="1"/>
      <c r="CE179" s="1"/>
      <c r="CF179" s="1"/>
      <c r="CG179" s="1"/>
      <c r="CH179" s="1"/>
      <c r="CI179" s="2"/>
      <c r="CJ179" s="2"/>
      <c r="CK179" s="2"/>
      <c r="CL179" s="2"/>
      <c r="CM179" s="2"/>
      <c r="CN179" s="2"/>
      <c r="CO179" s="2"/>
      <c r="CP179" s="2"/>
      <c r="CQ179" s="2"/>
      <c r="CR179" s="2"/>
      <c r="CS179" s="2"/>
      <c r="CT179" s="2"/>
      <c r="CU179" s="2"/>
      <c r="CV179" s="2"/>
      <c r="CW179" s="2"/>
      <c r="CX179" s="2"/>
      <c r="CY179" s="2"/>
      <c r="CZ179" s="2"/>
    </row>
    <row r="180" spans="43:104" ht="15" hidden="1" customHeight="1" x14ac:dyDescent="0.2">
      <c r="AQ180" s="12"/>
      <c r="AR180" s="12">
        <v>1170000</v>
      </c>
      <c r="AS180" s="12">
        <v>1150000</v>
      </c>
      <c r="AT180" s="2"/>
      <c r="AU180" s="2"/>
      <c r="AV180" s="2"/>
      <c r="AW180" s="2"/>
      <c r="AX180" s="2"/>
      <c r="AY180" s="2"/>
      <c r="AZ180" s="2"/>
      <c r="BA180" s="2"/>
      <c r="BB180" s="2"/>
      <c r="BC180" s="2"/>
      <c r="BD180" s="2"/>
      <c r="BE180" s="2"/>
      <c r="BK180" s="84"/>
      <c r="BL180" s="2"/>
      <c r="BM180" s="2"/>
      <c r="BN180" s="2"/>
      <c r="BO180" s="2"/>
      <c r="BS180" s="11"/>
      <c r="BT180" s="2"/>
      <c r="BU180" s="3"/>
      <c r="BV180" s="3"/>
      <c r="BW180" s="2"/>
      <c r="BX180" s="2"/>
      <c r="BY180" s="2"/>
      <c r="BZ180" s="2"/>
      <c r="CA180" s="2"/>
      <c r="CB180" s="2"/>
      <c r="CC180" s="2"/>
      <c r="CD180" s="1"/>
      <c r="CE180" s="1"/>
      <c r="CF180" s="1"/>
      <c r="CG180" s="1"/>
      <c r="CH180" s="1"/>
      <c r="CI180" s="2"/>
      <c r="CJ180" s="2"/>
      <c r="CK180" s="2"/>
      <c r="CL180" s="2"/>
      <c r="CM180" s="2"/>
      <c r="CN180" s="2"/>
      <c r="CO180" s="2"/>
      <c r="CP180" s="2"/>
      <c r="CQ180" s="2"/>
      <c r="CR180" s="2"/>
      <c r="CS180" s="2"/>
      <c r="CT180" s="2"/>
      <c r="CU180" s="2"/>
      <c r="CV180" s="2"/>
      <c r="CW180" s="2"/>
      <c r="CX180" s="2"/>
      <c r="CY180" s="2"/>
      <c r="CZ180" s="2"/>
    </row>
    <row r="181" spans="43:104" ht="15" hidden="1" customHeight="1" x14ac:dyDescent="0.2">
      <c r="AQ181" s="12"/>
      <c r="AR181" s="12">
        <v>1175000</v>
      </c>
      <c r="AS181" s="12">
        <v>1160000</v>
      </c>
      <c r="AT181" s="2"/>
      <c r="AU181" s="2"/>
      <c r="AV181" s="2"/>
      <c r="AW181" s="2"/>
      <c r="AX181" s="2"/>
      <c r="AY181" s="2"/>
      <c r="AZ181" s="2"/>
      <c r="BA181" s="2"/>
      <c r="BB181" s="2"/>
      <c r="BC181" s="2"/>
      <c r="BD181" s="2"/>
      <c r="BE181" s="2"/>
      <c r="BK181" s="84"/>
      <c r="BL181" s="2"/>
      <c r="BM181" s="2"/>
      <c r="BN181" s="2"/>
      <c r="BO181" s="2"/>
      <c r="BS181" s="11"/>
      <c r="BT181" s="2"/>
      <c r="BU181" s="3"/>
      <c r="BV181" s="3"/>
      <c r="BW181" s="2"/>
      <c r="BX181" s="2"/>
      <c r="BY181" s="2"/>
      <c r="BZ181" s="2"/>
      <c r="CA181" s="2"/>
      <c r="CB181" s="2"/>
      <c r="CC181" s="2"/>
      <c r="CD181" s="1"/>
      <c r="CE181" s="1"/>
      <c r="CF181" s="1"/>
      <c r="CG181" s="1"/>
      <c r="CH181" s="1"/>
      <c r="CI181" s="2"/>
      <c r="CJ181" s="2"/>
      <c r="CK181" s="2"/>
      <c r="CL181" s="2"/>
      <c r="CM181" s="2"/>
      <c r="CN181" s="2"/>
      <c r="CO181" s="2"/>
      <c r="CP181" s="2"/>
      <c r="CQ181" s="2"/>
      <c r="CR181" s="2"/>
      <c r="CS181" s="2"/>
      <c r="CT181" s="2"/>
      <c r="CU181" s="2"/>
      <c r="CV181" s="2"/>
      <c r="CW181" s="2"/>
      <c r="CX181" s="2"/>
      <c r="CY181" s="2"/>
      <c r="CZ181" s="2"/>
    </row>
    <row r="182" spans="43:104" ht="15" hidden="1" customHeight="1" x14ac:dyDescent="0.2">
      <c r="AQ182" s="13"/>
      <c r="AR182" s="12">
        <v>1180000</v>
      </c>
      <c r="AS182" s="12">
        <v>1170000</v>
      </c>
      <c r="AT182" s="2"/>
      <c r="AU182" s="2"/>
      <c r="AV182" s="2"/>
      <c r="AW182" s="2"/>
      <c r="AX182" s="2"/>
      <c r="AY182" s="2"/>
      <c r="AZ182" s="2"/>
      <c r="BA182" s="2"/>
      <c r="BB182" s="2"/>
      <c r="BC182" s="2"/>
      <c r="BD182" s="2"/>
      <c r="BE182" s="2"/>
      <c r="BK182" s="84"/>
      <c r="BL182" s="2"/>
      <c r="BM182" s="2"/>
      <c r="BN182" s="2"/>
      <c r="BO182" s="2"/>
      <c r="BS182" s="11"/>
      <c r="BT182" s="2"/>
      <c r="BU182" s="3"/>
      <c r="BV182" s="3"/>
      <c r="BW182" s="2"/>
      <c r="BX182" s="2"/>
      <c r="BY182" s="2"/>
      <c r="BZ182" s="2"/>
      <c r="CA182" s="46"/>
      <c r="CB182" s="1"/>
      <c r="CC182" s="1"/>
      <c r="CD182" s="1"/>
      <c r="CE182" s="1"/>
      <c r="CF182" s="1"/>
      <c r="CG182" s="1"/>
      <c r="CH182" s="1"/>
      <c r="CI182" s="2"/>
      <c r="CJ182" s="2"/>
      <c r="CK182" s="2"/>
      <c r="CL182" s="2"/>
      <c r="CM182" s="2"/>
      <c r="CN182" s="2"/>
      <c r="CO182" s="2"/>
      <c r="CP182" s="2"/>
      <c r="CQ182" s="2"/>
      <c r="CR182" s="2"/>
      <c r="CS182" s="2"/>
      <c r="CT182" s="2"/>
      <c r="CU182" s="2"/>
      <c r="CV182" s="2"/>
      <c r="CW182" s="2"/>
      <c r="CX182" s="2"/>
      <c r="CY182" s="2"/>
      <c r="CZ182" s="2"/>
    </row>
    <row r="183" spans="43:104" ht="15" hidden="1" customHeight="1" x14ac:dyDescent="0.2">
      <c r="AQ183" s="13"/>
      <c r="AR183" s="12">
        <v>1185000</v>
      </c>
      <c r="AS183" s="12">
        <v>1180000</v>
      </c>
      <c r="AT183" s="2"/>
      <c r="AU183" s="2"/>
      <c r="AV183" s="2"/>
      <c r="AW183" s="2"/>
      <c r="AX183" s="2"/>
      <c r="AY183" s="2"/>
      <c r="AZ183" s="2"/>
      <c r="BA183" s="2"/>
      <c r="BB183" s="2"/>
      <c r="BC183" s="2"/>
      <c r="BD183" s="2"/>
      <c r="BE183" s="2"/>
      <c r="BK183" s="84"/>
      <c r="BL183" s="2"/>
      <c r="BM183" s="2"/>
      <c r="BN183" s="2"/>
      <c r="BO183" s="2"/>
      <c r="BS183" s="11"/>
      <c r="BT183" s="2"/>
      <c r="BU183" s="3"/>
      <c r="BV183" s="3"/>
      <c r="BW183" s="2"/>
      <c r="BX183" s="2"/>
      <c r="BY183" s="2"/>
      <c r="BZ183" s="2"/>
      <c r="CA183" s="2"/>
      <c r="CB183" s="2"/>
      <c r="CC183" s="2"/>
      <c r="CD183" s="1"/>
      <c r="CE183" s="1"/>
      <c r="CF183" s="1"/>
      <c r="CG183" s="1"/>
      <c r="CH183" s="1"/>
      <c r="CI183" s="2"/>
      <c r="CJ183" s="2"/>
      <c r="CK183" s="2"/>
      <c r="CL183" s="2"/>
      <c r="CM183" s="2"/>
      <c r="CN183" s="2"/>
      <c r="CO183" s="2"/>
      <c r="CP183" s="2"/>
      <c r="CQ183" s="2"/>
      <c r="CR183" s="2"/>
      <c r="CS183" s="2"/>
      <c r="CT183" s="2"/>
      <c r="CU183" s="2"/>
      <c r="CV183" s="2"/>
      <c r="CW183" s="2"/>
      <c r="CX183" s="2"/>
      <c r="CY183" s="2"/>
      <c r="CZ183" s="2"/>
    </row>
    <row r="184" spans="43:104" ht="15" hidden="1" customHeight="1" x14ac:dyDescent="0.2">
      <c r="AQ184" s="85"/>
      <c r="AR184" s="12">
        <v>1190000</v>
      </c>
      <c r="AS184" s="12">
        <v>1190000</v>
      </c>
      <c r="AT184" s="2"/>
      <c r="AU184" s="2"/>
      <c r="AV184" s="2"/>
      <c r="AW184" s="2"/>
      <c r="AX184" s="2"/>
      <c r="AY184" s="2"/>
      <c r="AZ184" s="2"/>
      <c r="BA184" s="2"/>
      <c r="BB184" s="2"/>
      <c r="BC184" s="2"/>
      <c r="BD184" s="2"/>
      <c r="BE184" s="2"/>
      <c r="BK184" s="84"/>
      <c r="BL184" s="2"/>
      <c r="BM184" s="2"/>
      <c r="BN184" s="2"/>
      <c r="BO184" s="2"/>
      <c r="BS184" s="11"/>
      <c r="BT184" s="2"/>
      <c r="BU184" s="3"/>
      <c r="BV184" s="3"/>
      <c r="BW184" s="2"/>
      <c r="BX184" s="2"/>
      <c r="BY184" s="2"/>
      <c r="BZ184" s="2"/>
      <c r="CA184" s="2"/>
      <c r="CB184" s="2"/>
      <c r="CC184" s="2"/>
      <c r="CD184" s="1"/>
      <c r="CE184" s="1"/>
      <c r="CF184" s="1"/>
      <c r="CG184" s="1"/>
      <c r="CH184" s="1"/>
      <c r="CI184" s="2"/>
      <c r="CJ184" s="2"/>
      <c r="CK184" s="2"/>
      <c r="CL184" s="2"/>
      <c r="CM184" s="2"/>
      <c r="CN184" s="2"/>
      <c r="CO184" s="2"/>
      <c r="CP184" s="2"/>
      <c r="CQ184" s="2"/>
      <c r="CR184" s="2"/>
      <c r="CS184" s="2"/>
      <c r="CT184" s="2"/>
      <c r="CU184" s="2"/>
      <c r="CV184" s="2"/>
      <c r="CW184" s="2"/>
      <c r="CX184" s="2"/>
      <c r="CY184" s="2"/>
      <c r="CZ184" s="2"/>
    </row>
    <row r="185" spans="43:104" ht="15" hidden="1" customHeight="1" x14ac:dyDescent="0.2">
      <c r="AQ185" s="12"/>
      <c r="AR185" s="12">
        <v>1195000</v>
      </c>
      <c r="AS185" s="12">
        <v>1200000</v>
      </c>
      <c r="AT185" s="2"/>
      <c r="AU185" s="2"/>
      <c r="AV185" s="2"/>
      <c r="AW185" s="2"/>
      <c r="AX185" s="2"/>
      <c r="AY185" s="2"/>
      <c r="AZ185" s="2"/>
      <c r="BA185" s="2"/>
      <c r="BB185" s="2"/>
      <c r="BC185" s="2"/>
      <c r="BD185" s="2"/>
      <c r="BE185" s="2"/>
      <c r="BK185" s="84"/>
      <c r="BL185" s="2"/>
      <c r="BM185" s="2"/>
      <c r="BN185" s="2"/>
      <c r="BO185" s="2"/>
      <c r="BS185" s="11"/>
      <c r="BT185" s="2"/>
      <c r="BU185" s="3"/>
      <c r="BV185" s="3"/>
      <c r="BW185" s="2"/>
      <c r="BX185" s="2"/>
      <c r="BY185" s="2"/>
      <c r="BZ185" s="2"/>
      <c r="CA185" s="2"/>
      <c r="CB185" s="2"/>
      <c r="CC185" s="2"/>
      <c r="CD185" s="1"/>
      <c r="CE185" s="1"/>
      <c r="CF185" s="1"/>
      <c r="CG185" s="1"/>
      <c r="CH185" s="1"/>
      <c r="CI185" s="2"/>
      <c r="CJ185" s="2"/>
      <c r="CK185" s="2"/>
      <c r="CL185" s="2"/>
      <c r="CM185" s="2"/>
      <c r="CN185" s="2"/>
      <c r="CO185" s="2"/>
      <c r="CP185" s="2"/>
      <c r="CQ185" s="2"/>
      <c r="CR185" s="2"/>
      <c r="CS185" s="2"/>
      <c r="CT185" s="2"/>
      <c r="CU185" s="2"/>
      <c r="CV185" s="2"/>
      <c r="CW185" s="2"/>
      <c r="CX185" s="2"/>
      <c r="CY185" s="2"/>
      <c r="CZ185" s="2"/>
    </row>
    <row r="186" spans="43:104" ht="15" hidden="1" customHeight="1" x14ac:dyDescent="0.2">
      <c r="AQ186" s="12"/>
      <c r="AR186" s="12">
        <v>1200000</v>
      </c>
      <c r="AS186" s="12">
        <v>1210000</v>
      </c>
      <c r="AT186" s="2"/>
      <c r="AU186" s="2"/>
      <c r="AV186" s="2"/>
      <c r="AW186" s="2"/>
      <c r="AX186" s="2"/>
      <c r="AY186" s="2"/>
      <c r="AZ186" s="2"/>
      <c r="BA186" s="2"/>
      <c r="BB186" s="2"/>
      <c r="BC186" s="2"/>
      <c r="BD186" s="2"/>
      <c r="BE186" s="2"/>
      <c r="BK186" s="84"/>
      <c r="BL186" s="2"/>
      <c r="BM186" s="2"/>
      <c r="BN186" s="2"/>
      <c r="BO186" s="2"/>
      <c r="BS186" s="11"/>
      <c r="BT186" s="2"/>
      <c r="BU186" s="3"/>
      <c r="BV186" s="3"/>
      <c r="BW186" s="2"/>
      <c r="BX186" s="2"/>
      <c r="BY186" s="2"/>
      <c r="BZ186" s="2"/>
      <c r="CA186" s="46"/>
      <c r="CB186" s="1"/>
      <c r="CC186" s="1"/>
      <c r="CD186" s="1"/>
      <c r="CE186" s="1"/>
      <c r="CF186" s="1"/>
      <c r="CG186" s="1"/>
      <c r="CH186" s="1"/>
      <c r="CI186" s="2"/>
      <c r="CJ186" s="2"/>
      <c r="CK186" s="2"/>
      <c r="CL186" s="2"/>
      <c r="CM186" s="2"/>
      <c r="CN186" s="2"/>
      <c r="CO186" s="2"/>
      <c r="CP186" s="2"/>
      <c r="CQ186" s="2"/>
      <c r="CR186" s="2"/>
      <c r="CS186" s="2"/>
      <c r="CT186" s="2"/>
      <c r="CU186" s="2"/>
      <c r="CV186" s="2"/>
      <c r="CW186" s="2"/>
      <c r="CX186" s="2"/>
      <c r="CY186" s="2"/>
      <c r="CZ186" s="2"/>
    </row>
    <row r="187" spans="43:104" ht="15" hidden="1" customHeight="1" x14ac:dyDescent="0.2">
      <c r="AQ187" s="13"/>
      <c r="AR187" s="12">
        <v>1205000</v>
      </c>
      <c r="AS187" s="12">
        <v>1220000</v>
      </c>
      <c r="AT187" s="2"/>
      <c r="AU187" s="2"/>
      <c r="AV187" s="2"/>
      <c r="AW187" s="2"/>
      <c r="AX187" s="2"/>
      <c r="AY187" s="2"/>
      <c r="AZ187" s="2"/>
      <c r="BA187" s="2"/>
      <c r="BB187" s="2"/>
      <c r="BC187" s="2"/>
      <c r="BD187" s="2"/>
      <c r="BE187" s="2"/>
      <c r="BK187" s="84"/>
      <c r="BL187" s="2"/>
      <c r="BM187" s="2"/>
      <c r="BN187" s="2"/>
      <c r="BO187" s="2"/>
      <c r="BS187" s="11"/>
      <c r="BT187" s="2"/>
      <c r="BU187" s="3"/>
      <c r="BV187" s="3"/>
      <c r="BW187" s="2"/>
      <c r="BX187" s="2"/>
      <c r="BY187" s="2"/>
      <c r="BZ187" s="2"/>
      <c r="CA187" s="46"/>
      <c r="CB187" s="1"/>
      <c r="CC187" s="1"/>
      <c r="CD187" s="1"/>
      <c r="CE187" s="1"/>
      <c r="CF187" s="1"/>
      <c r="CG187" s="1"/>
      <c r="CH187" s="1"/>
      <c r="CI187" s="2"/>
      <c r="CJ187" s="2"/>
      <c r="CK187" s="2"/>
      <c r="CL187" s="2"/>
      <c r="CM187" s="2"/>
      <c r="CN187" s="2"/>
      <c r="CO187" s="2"/>
      <c r="CP187" s="2"/>
      <c r="CQ187" s="2"/>
      <c r="CR187" s="2"/>
      <c r="CS187" s="2"/>
      <c r="CT187" s="2"/>
      <c r="CU187" s="2"/>
      <c r="CV187" s="2"/>
      <c r="CW187" s="2"/>
      <c r="CX187" s="2"/>
      <c r="CY187" s="2"/>
      <c r="CZ187" s="2"/>
    </row>
    <row r="188" spans="43:104" ht="15" hidden="1" customHeight="1" x14ac:dyDescent="0.2">
      <c r="AQ188" s="13"/>
      <c r="AR188" s="12">
        <v>1210000</v>
      </c>
      <c r="AS188" s="12">
        <v>1230000</v>
      </c>
      <c r="AT188" s="2"/>
      <c r="AU188" s="2"/>
      <c r="AV188" s="2"/>
      <c r="AW188" s="2"/>
      <c r="AX188" s="2"/>
      <c r="AY188" s="2"/>
      <c r="AZ188" s="2"/>
      <c r="BA188" s="2"/>
      <c r="BB188" s="2"/>
      <c r="BC188" s="2"/>
      <c r="BD188" s="2"/>
      <c r="BE188" s="2"/>
      <c r="BK188" s="84"/>
      <c r="BL188" s="2"/>
      <c r="BM188" s="2"/>
      <c r="BN188" s="2"/>
      <c r="BO188" s="2"/>
      <c r="BS188" s="11"/>
      <c r="BT188" s="2"/>
      <c r="BU188" s="3"/>
      <c r="BV188" s="3"/>
      <c r="BW188" s="2"/>
      <c r="BX188" s="2"/>
      <c r="BY188" s="2"/>
      <c r="BZ188" s="2"/>
      <c r="CA188" s="46"/>
      <c r="CB188" s="1"/>
      <c r="CC188" s="1"/>
      <c r="CD188" s="1"/>
      <c r="CE188" s="1"/>
      <c r="CF188" s="1"/>
      <c r="CG188" s="1"/>
      <c r="CH188" s="1"/>
      <c r="CI188" s="2"/>
      <c r="CJ188" s="2"/>
      <c r="CK188" s="2"/>
      <c r="CL188" s="2"/>
      <c r="CM188" s="2"/>
      <c r="CN188" s="2"/>
      <c r="CO188" s="2"/>
      <c r="CP188" s="2"/>
      <c r="CQ188" s="2"/>
      <c r="CR188" s="2"/>
      <c r="CS188" s="2"/>
      <c r="CT188" s="2"/>
      <c r="CU188" s="2"/>
      <c r="CV188" s="2"/>
      <c r="CW188" s="2"/>
      <c r="CX188" s="2"/>
      <c r="CY188" s="2"/>
      <c r="CZ188" s="2"/>
    </row>
    <row r="189" spans="43:104" ht="15" hidden="1" customHeight="1" x14ac:dyDescent="0.2">
      <c r="AQ189" s="85"/>
      <c r="AR189" s="12">
        <v>1215000</v>
      </c>
      <c r="AS189" s="12">
        <v>1240000</v>
      </c>
      <c r="AT189" s="2"/>
      <c r="AU189" s="2"/>
      <c r="AV189" s="2"/>
      <c r="AW189" s="2"/>
      <c r="AX189" s="2"/>
      <c r="AY189" s="2"/>
      <c r="AZ189" s="2"/>
      <c r="BA189" s="2"/>
      <c r="BB189" s="2"/>
      <c r="BC189" s="2"/>
      <c r="BD189" s="2"/>
      <c r="BE189" s="2"/>
      <c r="BK189" s="84"/>
      <c r="BL189" s="2"/>
      <c r="BM189" s="2"/>
      <c r="BN189" s="2"/>
      <c r="BO189" s="2"/>
      <c r="BS189" s="11"/>
      <c r="BT189" s="2"/>
      <c r="BU189" s="3"/>
      <c r="BV189" s="3"/>
      <c r="BW189" s="2"/>
      <c r="BX189" s="2"/>
      <c r="BY189" s="2"/>
      <c r="BZ189" s="2"/>
      <c r="CA189" s="46"/>
      <c r="CB189" s="1"/>
      <c r="CC189" s="1"/>
      <c r="CD189" s="1"/>
      <c r="CE189" s="1"/>
      <c r="CF189" s="1"/>
      <c r="CG189" s="1"/>
      <c r="CH189" s="1"/>
      <c r="CI189" s="2"/>
      <c r="CJ189" s="2"/>
      <c r="CK189" s="2"/>
      <c r="CL189" s="2"/>
      <c r="CM189" s="2"/>
      <c r="CN189" s="2"/>
      <c r="CO189" s="2"/>
      <c r="CP189" s="2"/>
      <c r="CQ189" s="2"/>
      <c r="CR189" s="2"/>
      <c r="CS189" s="2"/>
      <c r="CT189" s="2"/>
      <c r="CU189" s="2"/>
      <c r="CV189" s="2"/>
      <c r="CW189" s="2"/>
      <c r="CX189" s="2"/>
      <c r="CY189" s="2"/>
      <c r="CZ189" s="2"/>
    </row>
    <row r="190" spans="43:104" ht="15" hidden="1" customHeight="1" x14ac:dyDescent="0.2">
      <c r="AQ190" s="12"/>
      <c r="AR190" s="12">
        <v>1220000</v>
      </c>
      <c r="AS190" s="12">
        <v>1250000</v>
      </c>
      <c r="AT190" s="2"/>
      <c r="AU190" s="2"/>
      <c r="AV190" s="2"/>
      <c r="AW190" s="2"/>
      <c r="AX190" s="2"/>
      <c r="AY190" s="2"/>
      <c r="AZ190" s="2"/>
      <c r="BA190" s="2"/>
      <c r="BB190" s="2"/>
      <c r="BC190" s="2"/>
      <c r="BD190" s="2"/>
      <c r="BE190" s="2"/>
      <c r="BK190" s="84"/>
      <c r="BL190" s="2"/>
      <c r="BM190" s="2"/>
      <c r="BN190" s="2"/>
      <c r="BO190" s="2"/>
      <c r="BS190" s="11"/>
      <c r="BT190" s="2"/>
      <c r="BU190" s="3"/>
      <c r="BV190" s="3"/>
      <c r="BW190" s="2"/>
      <c r="BX190" s="2"/>
      <c r="BY190" s="2"/>
      <c r="BZ190" s="2"/>
      <c r="CA190" s="46"/>
      <c r="CB190" s="1"/>
      <c r="CC190" s="1"/>
      <c r="CD190" s="1"/>
      <c r="CE190" s="1"/>
      <c r="CF190" s="1"/>
      <c r="CG190" s="1"/>
      <c r="CH190" s="1"/>
      <c r="CI190" s="2"/>
      <c r="CJ190" s="2"/>
      <c r="CK190" s="2"/>
      <c r="CL190" s="2"/>
      <c r="CM190" s="2"/>
      <c r="CN190" s="2"/>
      <c r="CO190" s="2"/>
      <c r="CP190" s="2"/>
      <c r="CQ190" s="2"/>
      <c r="CR190" s="2"/>
      <c r="CS190" s="2"/>
      <c r="CT190" s="2"/>
      <c r="CU190" s="2"/>
      <c r="CV190" s="2"/>
      <c r="CW190" s="2"/>
      <c r="CX190" s="2"/>
      <c r="CY190" s="2"/>
      <c r="CZ190" s="2"/>
    </row>
    <row r="191" spans="43:104" ht="15" hidden="1" customHeight="1" x14ac:dyDescent="0.2">
      <c r="AQ191" s="12"/>
      <c r="AR191" s="12">
        <v>1225000</v>
      </c>
      <c r="AS191" s="12">
        <v>1260000</v>
      </c>
      <c r="AT191" s="2"/>
      <c r="AU191" s="2"/>
      <c r="AV191" s="2"/>
      <c r="AW191" s="2"/>
      <c r="AX191" s="2"/>
      <c r="AY191" s="2"/>
      <c r="AZ191" s="2"/>
      <c r="BA191" s="2"/>
      <c r="BB191" s="2"/>
      <c r="BC191" s="2"/>
      <c r="BD191" s="2"/>
      <c r="BE191" s="2"/>
      <c r="BK191" s="84"/>
      <c r="BL191" s="2"/>
      <c r="BM191" s="2"/>
      <c r="BN191" s="2"/>
      <c r="BO191" s="2"/>
      <c r="BS191" s="11"/>
      <c r="BT191" s="2"/>
      <c r="BU191" s="3"/>
      <c r="BV191" s="3"/>
      <c r="BW191" s="2"/>
      <c r="BX191" s="2"/>
      <c r="BY191" s="2"/>
      <c r="BZ191" s="2"/>
      <c r="CA191" s="46"/>
      <c r="CB191" s="1"/>
      <c r="CC191" s="1"/>
      <c r="CD191" s="1"/>
      <c r="CE191" s="1"/>
      <c r="CF191" s="1"/>
      <c r="CG191" s="1"/>
      <c r="CH191" s="1"/>
      <c r="CI191" s="2"/>
      <c r="CJ191" s="2"/>
      <c r="CK191" s="2"/>
      <c r="CL191" s="2"/>
      <c r="CM191" s="2"/>
      <c r="CN191" s="2"/>
      <c r="CO191" s="2"/>
      <c r="CP191" s="2"/>
      <c r="CQ191" s="2"/>
      <c r="CR191" s="2"/>
      <c r="CS191" s="2"/>
      <c r="CT191" s="2"/>
      <c r="CU191" s="2"/>
      <c r="CV191" s="2"/>
      <c r="CW191" s="2"/>
      <c r="CX191" s="2"/>
      <c r="CY191" s="2"/>
      <c r="CZ191" s="2"/>
    </row>
    <row r="192" spans="43:104" ht="15" hidden="1" customHeight="1" x14ac:dyDescent="0.2">
      <c r="AQ192" s="13"/>
      <c r="AR192" s="12">
        <v>1230000</v>
      </c>
      <c r="AS192" s="12">
        <v>1270000</v>
      </c>
      <c r="AT192" s="2"/>
      <c r="AU192" s="2"/>
      <c r="AV192" s="2"/>
      <c r="AW192" s="2"/>
      <c r="AX192" s="2"/>
      <c r="AY192" s="2"/>
      <c r="AZ192" s="2"/>
      <c r="BA192" s="2"/>
      <c r="BB192" s="2"/>
      <c r="BC192" s="2"/>
      <c r="BD192" s="2"/>
      <c r="BE192" s="2"/>
      <c r="BK192" s="84"/>
      <c r="BL192" s="2"/>
      <c r="BM192" s="2"/>
      <c r="BN192" s="2"/>
      <c r="BO192" s="2"/>
      <c r="BS192" s="11"/>
      <c r="BT192" s="2"/>
      <c r="BU192" s="3"/>
      <c r="BV192" s="3"/>
      <c r="BW192" s="2"/>
      <c r="BX192" s="2"/>
      <c r="BY192" s="2"/>
      <c r="BZ192" s="2"/>
      <c r="CA192" s="46"/>
      <c r="CB192" s="1"/>
      <c r="CC192" s="7"/>
      <c r="CD192" s="1"/>
      <c r="CE192" s="1"/>
      <c r="CF192" s="1"/>
      <c r="CG192" s="1"/>
      <c r="CH192" s="1"/>
      <c r="CI192" s="2"/>
      <c r="CJ192" s="2"/>
      <c r="CK192" s="2"/>
      <c r="CL192" s="2"/>
      <c r="CM192" s="2"/>
      <c r="CN192" s="2"/>
      <c r="CO192" s="2"/>
      <c r="CP192" s="2"/>
      <c r="CQ192" s="2"/>
      <c r="CR192" s="2"/>
      <c r="CS192" s="2"/>
      <c r="CT192" s="2"/>
      <c r="CU192" s="2"/>
      <c r="CV192" s="2"/>
      <c r="CW192" s="2"/>
      <c r="CX192" s="2"/>
      <c r="CY192" s="2"/>
      <c r="CZ192" s="2"/>
    </row>
    <row r="193" spans="43:104" ht="15" hidden="1" customHeight="1" x14ac:dyDescent="0.2">
      <c r="AQ193" s="13"/>
      <c r="AR193" s="12">
        <v>1235000</v>
      </c>
      <c r="AS193" s="12">
        <v>1280000</v>
      </c>
      <c r="AT193" s="2"/>
      <c r="AU193" s="2"/>
      <c r="AV193" s="2"/>
      <c r="AW193" s="2"/>
      <c r="AX193" s="2"/>
      <c r="AY193" s="2"/>
      <c r="AZ193" s="2"/>
      <c r="BA193" s="2"/>
      <c r="BB193" s="2"/>
      <c r="BC193" s="2"/>
      <c r="BD193" s="2"/>
      <c r="BE193" s="2"/>
      <c r="BK193" s="84"/>
      <c r="BL193" s="2"/>
      <c r="BM193" s="2"/>
      <c r="BN193" s="2"/>
      <c r="BO193" s="2"/>
      <c r="BS193" s="11"/>
      <c r="BT193" s="2"/>
      <c r="BU193" s="3"/>
      <c r="BV193" s="3"/>
      <c r="BW193" s="2"/>
      <c r="BX193" s="2"/>
      <c r="BY193" s="2"/>
      <c r="BZ193" s="2"/>
      <c r="CA193" s="2"/>
      <c r="CB193" s="2"/>
      <c r="CC193" s="2"/>
      <c r="CD193" s="1"/>
      <c r="CE193" s="1"/>
      <c r="CF193" s="1"/>
      <c r="CG193" s="1"/>
      <c r="CH193" s="1"/>
      <c r="CI193" s="2"/>
      <c r="CJ193" s="2"/>
      <c r="CK193" s="2"/>
      <c r="CL193" s="2"/>
      <c r="CM193" s="2"/>
      <c r="CN193" s="2"/>
      <c r="CO193" s="2"/>
      <c r="CP193" s="2"/>
      <c r="CQ193" s="2"/>
      <c r="CR193" s="2"/>
      <c r="CS193" s="2"/>
      <c r="CT193" s="2"/>
      <c r="CU193" s="2"/>
      <c r="CV193" s="2"/>
      <c r="CW193" s="2"/>
      <c r="CX193" s="2"/>
      <c r="CY193" s="2"/>
      <c r="CZ193" s="2"/>
    </row>
    <row r="194" spans="43:104" ht="15" hidden="1" customHeight="1" x14ac:dyDescent="0.2">
      <c r="AQ194" s="85"/>
      <c r="AR194" s="12">
        <v>1240000</v>
      </c>
      <c r="AS194" s="12">
        <v>1290000</v>
      </c>
      <c r="AT194" s="2"/>
      <c r="AU194" s="2"/>
      <c r="AV194" s="2"/>
      <c r="AW194" s="2"/>
      <c r="AX194" s="2"/>
      <c r="AY194" s="2"/>
      <c r="AZ194" s="2"/>
      <c r="BA194" s="2"/>
      <c r="BB194" s="2"/>
      <c r="BC194" s="2"/>
      <c r="BD194" s="2"/>
      <c r="BE194" s="2"/>
      <c r="BK194" s="84"/>
      <c r="BL194" s="2"/>
      <c r="BM194" s="2"/>
      <c r="BN194" s="2"/>
      <c r="BO194" s="2"/>
      <c r="BS194" s="11"/>
      <c r="BT194" s="2"/>
      <c r="BU194" s="3"/>
      <c r="BV194" s="3"/>
      <c r="BW194" s="2"/>
      <c r="BX194" s="2"/>
      <c r="BY194" s="2"/>
      <c r="BZ194" s="2"/>
      <c r="CA194" s="2"/>
      <c r="CB194" s="2"/>
      <c r="CC194" s="2"/>
      <c r="CD194" s="1"/>
      <c r="CE194" s="1"/>
      <c r="CF194" s="1"/>
      <c r="CG194" s="1"/>
      <c r="CH194" s="1"/>
      <c r="CI194" s="2"/>
      <c r="CJ194" s="2"/>
      <c r="CK194" s="2"/>
      <c r="CL194" s="2"/>
      <c r="CM194" s="2"/>
      <c r="CN194" s="2"/>
      <c r="CO194" s="2"/>
      <c r="CP194" s="2"/>
      <c r="CQ194" s="2"/>
      <c r="CR194" s="2"/>
      <c r="CS194" s="2"/>
      <c r="CT194" s="2"/>
      <c r="CU194" s="2"/>
      <c r="CV194" s="2"/>
      <c r="CW194" s="2"/>
      <c r="CX194" s="2"/>
      <c r="CY194" s="2"/>
      <c r="CZ194" s="2"/>
    </row>
    <row r="195" spans="43:104" ht="15" hidden="1" customHeight="1" x14ac:dyDescent="0.2">
      <c r="AQ195" s="12"/>
      <c r="AR195" s="12">
        <v>1245000</v>
      </c>
      <c r="AS195" s="12">
        <v>1300000</v>
      </c>
      <c r="AT195" s="2"/>
      <c r="AU195" s="2"/>
      <c r="AV195" s="2"/>
      <c r="AW195" s="2"/>
      <c r="AX195" s="2"/>
      <c r="AY195" s="2"/>
      <c r="AZ195" s="2"/>
      <c r="BA195" s="2"/>
      <c r="BB195" s="2"/>
      <c r="BC195" s="2"/>
      <c r="BD195" s="2"/>
      <c r="BE195" s="2"/>
      <c r="BK195" s="84"/>
      <c r="BL195" s="2"/>
      <c r="BM195" s="2"/>
      <c r="BN195" s="2"/>
      <c r="BO195" s="2"/>
      <c r="BS195" s="11"/>
      <c r="BT195" s="2"/>
      <c r="BU195" s="3"/>
      <c r="BV195" s="3"/>
      <c r="BW195" s="2"/>
      <c r="BX195" s="2"/>
      <c r="BY195" s="2"/>
      <c r="BZ195" s="2"/>
      <c r="CA195" s="2"/>
      <c r="CB195" s="2"/>
      <c r="CC195" s="2"/>
      <c r="CD195" s="1"/>
      <c r="CE195" s="1"/>
      <c r="CF195" s="1"/>
      <c r="CG195" s="1"/>
      <c r="CH195" s="1"/>
      <c r="CI195" s="2"/>
      <c r="CJ195" s="2"/>
      <c r="CK195" s="2"/>
      <c r="CL195" s="2"/>
      <c r="CM195" s="2"/>
      <c r="CN195" s="2"/>
      <c r="CO195" s="2"/>
      <c r="CP195" s="2"/>
      <c r="CQ195" s="2"/>
      <c r="CR195" s="2"/>
      <c r="CS195" s="2"/>
      <c r="CT195" s="2"/>
      <c r="CU195" s="2"/>
      <c r="CV195" s="2"/>
      <c r="CW195" s="2"/>
      <c r="CX195" s="2"/>
      <c r="CY195" s="2"/>
      <c r="CZ195" s="2"/>
    </row>
    <row r="196" spans="43:104" ht="15" hidden="1" customHeight="1" x14ac:dyDescent="0.2">
      <c r="AQ196" s="12"/>
      <c r="AR196" s="12">
        <v>1250000</v>
      </c>
      <c r="AS196" s="12">
        <v>1310000</v>
      </c>
      <c r="AT196" s="2"/>
      <c r="AU196" s="2"/>
      <c r="AV196" s="2"/>
      <c r="AW196" s="2"/>
      <c r="AX196" s="2"/>
      <c r="AY196" s="2"/>
      <c r="AZ196" s="2"/>
      <c r="BA196" s="2"/>
      <c r="BB196" s="2"/>
      <c r="BC196" s="2"/>
      <c r="BD196" s="2"/>
      <c r="BE196" s="2"/>
      <c r="BK196" s="84"/>
      <c r="BL196" s="2"/>
      <c r="BM196" s="2"/>
      <c r="BN196" s="2"/>
      <c r="BO196" s="2"/>
      <c r="BS196" s="11"/>
      <c r="BT196" s="2"/>
      <c r="BU196" s="3"/>
      <c r="BV196" s="3"/>
      <c r="BW196" s="2"/>
      <c r="BX196" s="2"/>
      <c r="BY196" s="2"/>
      <c r="BZ196" s="2"/>
      <c r="CA196" s="2"/>
      <c r="CB196" s="2"/>
      <c r="CC196" s="2"/>
      <c r="CD196" s="1"/>
      <c r="CE196" s="1"/>
      <c r="CF196" s="1"/>
      <c r="CG196" s="1"/>
      <c r="CH196" s="1"/>
      <c r="CI196" s="2"/>
      <c r="CJ196" s="2"/>
      <c r="CK196" s="2"/>
      <c r="CL196" s="2"/>
      <c r="CM196" s="2"/>
      <c r="CN196" s="2"/>
      <c r="CO196" s="2"/>
      <c r="CP196" s="2"/>
      <c r="CQ196" s="2"/>
      <c r="CR196" s="2"/>
      <c r="CS196" s="2"/>
      <c r="CT196" s="2"/>
      <c r="CU196" s="2"/>
      <c r="CV196" s="2"/>
      <c r="CW196" s="2"/>
      <c r="CX196" s="2"/>
      <c r="CY196" s="2"/>
      <c r="CZ196" s="2"/>
    </row>
    <row r="197" spans="43:104" ht="15" hidden="1" customHeight="1" x14ac:dyDescent="0.2">
      <c r="AQ197" s="13"/>
      <c r="AR197" s="12">
        <v>1255000</v>
      </c>
      <c r="AS197" s="12">
        <v>1320000</v>
      </c>
      <c r="AT197" s="2"/>
      <c r="AU197" s="2"/>
      <c r="AV197" s="2"/>
      <c r="AW197" s="2"/>
      <c r="AX197" s="2"/>
      <c r="AY197" s="2"/>
      <c r="AZ197" s="2"/>
      <c r="BA197" s="2"/>
      <c r="BB197" s="2"/>
      <c r="BC197" s="2"/>
      <c r="BD197" s="2"/>
      <c r="BE197" s="2"/>
      <c r="BK197" s="84"/>
      <c r="BL197" s="2"/>
      <c r="BM197" s="2"/>
      <c r="BN197" s="2"/>
      <c r="BO197" s="2"/>
      <c r="BS197" s="11"/>
      <c r="BT197" s="2"/>
      <c r="BU197" s="2"/>
      <c r="BV197" s="3"/>
      <c r="BW197" s="2"/>
      <c r="BX197" s="2"/>
      <c r="BY197" s="2"/>
      <c r="BZ197" s="46"/>
      <c r="CA197" s="1"/>
      <c r="CB197" s="1"/>
      <c r="CC197" s="1"/>
      <c r="CD197" s="1"/>
      <c r="CE197" s="1"/>
      <c r="CF197" s="1"/>
      <c r="CG197" s="1"/>
      <c r="CH197" s="1"/>
      <c r="CI197" s="2"/>
      <c r="CJ197" s="2"/>
      <c r="CK197" s="2"/>
      <c r="CL197" s="2"/>
      <c r="CM197" s="2"/>
      <c r="CN197" s="2"/>
      <c r="CO197" s="2"/>
      <c r="CP197" s="2"/>
      <c r="CQ197" s="2"/>
      <c r="CR197" s="2"/>
      <c r="CS197" s="2"/>
      <c r="CT197" s="2"/>
      <c r="CU197" s="2"/>
      <c r="CV197" s="2"/>
      <c r="CW197" s="2"/>
      <c r="CX197" s="2"/>
      <c r="CY197" s="2"/>
      <c r="CZ197" s="2"/>
    </row>
    <row r="198" spans="43:104" ht="15" hidden="1" customHeight="1" x14ac:dyDescent="0.2">
      <c r="AQ198" s="13"/>
      <c r="AR198" s="12">
        <v>1260000</v>
      </c>
      <c r="AS198" s="12">
        <v>1330000</v>
      </c>
      <c r="AT198" s="2"/>
      <c r="AU198" s="2"/>
      <c r="AV198" s="2"/>
      <c r="AW198" s="2"/>
      <c r="AX198" s="2"/>
      <c r="AY198" s="2"/>
      <c r="AZ198" s="2"/>
      <c r="BA198" s="2"/>
      <c r="BB198" s="2"/>
      <c r="BC198" s="2"/>
      <c r="BD198" s="2"/>
      <c r="BE198" s="2"/>
      <c r="BK198" s="84"/>
      <c r="BL198" s="2"/>
      <c r="BM198" s="2"/>
      <c r="BN198" s="2"/>
      <c r="BO198" s="2"/>
      <c r="BS198" s="11"/>
      <c r="BT198" s="2"/>
      <c r="BU198" s="3"/>
      <c r="BV198" s="3"/>
      <c r="BW198" s="2"/>
      <c r="BX198" s="2"/>
      <c r="BY198" s="2"/>
      <c r="BZ198" s="2"/>
      <c r="CA198" s="46"/>
      <c r="CB198" s="1"/>
      <c r="CC198" s="1"/>
      <c r="CD198" s="1"/>
      <c r="CE198" s="1"/>
      <c r="CF198" s="1"/>
      <c r="CG198" s="1"/>
      <c r="CH198" s="1"/>
      <c r="CI198" s="2"/>
      <c r="CJ198" s="2"/>
      <c r="CK198" s="2"/>
      <c r="CL198" s="2"/>
      <c r="CM198" s="2"/>
      <c r="CN198" s="2"/>
      <c r="CO198" s="2"/>
      <c r="CP198" s="2"/>
      <c r="CQ198" s="2"/>
      <c r="CR198" s="2"/>
      <c r="CS198" s="2"/>
      <c r="CT198" s="2"/>
      <c r="CU198" s="2"/>
      <c r="CV198" s="2"/>
      <c r="CW198" s="2"/>
      <c r="CX198" s="2"/>
      <c r="CY198" s="2"/>
      <c r="CZ198" s="2"/>
    </row>
    <row r="199" spans="43:104" ht="15" hidden="1" customHeight="1" x14ac:dyDescent="0.2">
      <c r="AQ199" s="85"/>
      <c r="AR199" s="12">
        <v>1265000</v>
      </c>
      <c r="AS199" s="12">
        <v>1340000</v>
      </c>
      <c r="AT199" s="2"/>
      <c r="AU199" s="2"/>
      <c r="AV199" s="2"/>
      <c r="AW199" s="2"/>
      <c r="AX199" s="2"/>
      <c r="AY199" s="2"/>
      <c r="AZ199" s="2"/>
      <c r="BA199" s="2"/>
      <c r="BB199" s="2"/>
      <c r="BC199" s="2"/>
      <c r="BD199" s="2"/>
      <c r="BE199" s="2"/>
      <c r="BK199" s="84"/>
      <c r="BL199" s="2"/>
      <c r="BM199" s="2"/>
      <c r="BN199" s="2"/>
      <c r="BO199" s="2"/>
      <c r="BS199" s="11"/>
      <c r="BT199" s="2"/>
      <c r="BU199" s="3"/>
      <c r="BV199" s="3"/>
      <c r="BW199" s="2"/>
      <c r="BX199" s="2"/>
      <c r="BY199" s="2"/>
      <c r="BZ199" s="2"/>
      <c r="CA199" s="46"/>
      <c r="CB199" s="1"/>
      <c r="CC199" s="1"/>
      <c r="CD199" s="1"/>
      <c r="CE199" s="1"/>
      <c r="CF199" s="1"/>
      <c r="CG199" s="1"/>
      <c r="CH199" s="1"/>
      <c r="CI199" s="2"/>
      <c r="CJ199" s="2"/>
      <c r="CK199" s="2"/>
      <c r="CL199" s="2"/>
      <c r="CM199" s="2"/>
      <c r="CN199" s="2"/>
      <c r="CO199" s="2"/>
      <c r="CP199" s="2"/>
      <c r="CQ199" s="2"/>
      <c r="CR199" s="2"/>
      <c r="CS199" s="2"/>
      <c r="CT199" s="2"/>
      <c r="CU199" s="2"/>
      <c r="CV199" s="2"/>
      <c r="CW199" s="2"/>
      <c r="CX199" s="2"/>
      <c r="CY199" s="2"/>
      <c r="CZ199" s="2"/>
    </row>
    <row r="200" spans="43:104" ht="15" hidden="1" customHeight="1" x14ac:dyDescent="0.2">
      <c r="AQ200" s="12"/>
      <c r="AR200" s="12">
        <v>1270000</v>
      </c>
      <c r="AS200" s="12">
        <v>1350000</v>
      </c>
      <c r="AT200" s="2"/>
      <c r="AU200" s="2"/>
      <c r="AV200" s="2"/>
      <c r="AW200" s="2"/>
      <c r="AX200" s="2"/>
      <c r="AY200" s="2"/>
      <c r="AZ200" s="2"/>
      <c r="BA200" s="2"/>
      <c r="BB200" s="2"/>
      <c r="BC200" s="2"/>
      <c r="BD200" s="2"/>
      <c r="BE200" s="2"/>
      <c r="BK200" s="84"/>
      <c r="BL200" s="2"/>
      <c r="BM200" s="2"/>
      <c r="BN200" s="2"/>
      <c r="BO200" s="2"/>
      <c r="BS200" s="11"/>
      <c r="BT200" s="2"/>
      <c r="BU200" s="3"/>
      <c r="BV200" s="3"/>
      <c r="BW200" s="2"/>
      <c r="BX200" s="2"/>
      <c r="BY200" s="2"/>
      <c r="BZ200" s="2"/>
      <c r="CA200" s="46"/>
      <c r="CB200" s="1"/>
      <c r="CC200" s="1"/>
      <c r="CD200" s="1"/>
      <c r="CE200" s="1"/>
      <c r="CF200" s="1"/>
      <c r="CG200" s="1"/>
      <c r="CH200" s="1"/>
      <c r="CI200" s="2"/>
      <c r="CJ200" s="2"/>
      <c r="CK200" s="2"/>
      <c r="CL200" s="2"/>
      <c r="CM200" s="2"/>
      <c r="CN200" s="2"/>
      <c r="CO200" s="2"/>
      <c r="CP200" s="2"/>
      <c r="CQ200" s="2"/>
      <c r="CR200" s="2"/>
      <c r="CS200" s="2"/>
      <c r="CT200" s="2"/>
      <c r="CU200" s="2"/>
      <c r="CV200" s="2"/>
      <c r="CW200" s="2"/>
      <c r="CX200" s="2"/>
      <c r="CY200" s="2"/>
      <c r="CZ200" s="2"/>
    </row>
    <row r="201" spans="43:104" ht="15" hidden="1" customHeight="1" x14ac:dyDescent="0.2">
      <c r="AQ201" s="12"/>
      <c r="AR201" s="12">
        <v>1275000</v>
      </c>
      <c r="AS201" s="12">
        <v>1360000</v>
      </c>
      <c r="AT201" s="2"/>
      <c r="AU201" s="2"/>
      <c r="AV201" s="2"/>
      <c r="AW201" s="2"/>
      <c r="AX201" s="2"/>
      <c r="AY201" s="2"/>
      <c r="AZ201" s="2"/>
      <c r="BA201" s="2"/>
      <c r="BB201" s="2"/>
      <c r="BC201" s="2"/>
      <c r="BD201" s="2"/>
      <c r="BE201" s="2"/>
      <c r="BK201" s="84"/>
      <c r="BL201" s="2"/>
      <c r="BM201" s="2"/>
      <c r="BN201" s="2"/>
      <c r="BO201" s="2"/>
      <c r="BS201" s="11"/>
      <c r="BT201" s="2"/>
      <c r="BU201" s="3"/>
      <c r="BV201" s="3"/>
      <c r="BW201" s="2"/>
      <c r="BX201" s="2"/>
      <c r="BY201" s="2"/>
      <c r="BZ201" s="2"/>
      <c r="CA201" s="46"/>
      <c r="CB201" s="1"/>
      <c r="CC201" s="1"/>
      <c r="CD201" s="1"/>
      <c r="CE201" s="1"/>
      <c r="CF201" s="1"/>
      <c r="CG201" s="1"/>
      <c r="CH201" s="1"/>
      <c r="CI201" s="2"/>
      <c r="CJ201" s="2"/>
      <c r="CK201" s="2"/>
      <c r="CL201" s="2"/>
      <c r="CM201" s="2"/>
      <c r="CN201" s="2"/>
      <c r="CO201" s="2"/>
      <c r="CP201" s="2"/>
      <c r="CQ201" s="2"/>
      <c r="CR201" s="2"/>
      <c r="CS201" s="2"/>
      <c r="CT201" s="2"/>
      <c r="CU201" s="2"/>
      <c r="CV201" s="2"/>
      <c r="CW201" s="2"/>
      <c r="CX201" s="2"/>
      <c r="CY201" s="2"/>
      <c r="CZ201" s="2"/>
    </row>
    <row r="202" spans="43:104" ht="15" hidden="1" customHeight="1" x14ac:dyDescent="0.2">
      <c r="AQ202" s="13"/>
      <c r="AR202" s="12">
        <v>1280000</v>
      </c>
      <c r="AS202" s="12">
        <v>1370000</v>
      </c>
      <c r="AT202" s="2"/>
      <c r="AU202" s="2"/>
      <c r="AV202" s="2"/>
      <c r="AW202" s="2"/>
      <c r="AX202" s="2"/>
      <c r="AY202" s="2"/>
      <c r="AZ202" s="2"/>
      <c r="BA202" s="2"/>
      <c r="BB202" s="2"/>
      <c r="BC202" s="2"/>
      <c r="BD202" s="2"/>
      <c r="BE202" s="2"/>
      <c r="BK202" s="84"/>
      <c r="BL202" s="2"/>
      <c r="BM202" s="2"/>
      <c r="BN202" s="2"/>
      <c r="BO202" s="2"/>
      <c r="BS202" s="11"/>
      <c r="BT202" s="2"/>
      <c r="BU202" s="3"/>
      <c r="BV202" s="3"/>
      <c r="BW202" s="2"/>
      <c r="BX202" s="2"/>
      <c r="BY202" s="2"/>
      <c r="BZ202" s="2"/>
      <c r="CA202" s="46"/>
      <c r="CB202" s="1"/>
      <c r="CC202" s="7"/>
      <c r="CD202" s="1"/>
      <c r="CE202" s="1"/>
      <c r="CF202" s="1"/>
      <c r="CG202" s="1"/>
      <c r="CH202" s="1"/>
      <c r="CI202" s="2"/>
      <c r="CJ202" s="2"/>
      <c r="CK202" s="2"/>
      <c r="CL202" s="2"/>
      <c r="CM202" s="2"/>
      <c r="CN202" s="2"/>
      <c r="CO202" s="2"/>
      <c r="CP202" s="2"/>
      <c r="CQ202" s="2"/>
      <c r="CR202" s="2"/>
      <c r="CS202" s="2"/>
      <c r="CT202" s="2"/>
      <c r="CU202" s="2"/>
      <c r="CV202" s="2"/>
      <c r="CW202" s="2"/>
      <c r="CX202" s="2"/>
      <c r="CY202" s="2"/>
      <c r="CZ202" s="2"/>
    </row>
    <row r="203" spans="43:104" ht="15" hidden="1" customHeight="1" x14ac:dyDescent="0.2">
      <c r="AQ203" s="13"/>
      <c r="AR203" s="12">
        <v>1285000</v>
      </c>
      <c r="AS203" s="12">
        <v>1380000</v>
      </c>
      <c r="AT203" s="2"/>
      <c r="AU203" s="2"/>
      <c r="AV203" s="2"/>
      <c r="AW203" s="2"/>
      <c r="AX203" s="2"/>
      <c r="AY203" s="2"/>
      <c r="AZ203" s="2"/>
      <c r="BA203" s="2"/>
      <c r="BB203" s="2"/>
      <c r="BC203" s="2"/>
      <c r="BD203" s="2"/>
      <c r="BE203" s="2"/>
      <c r="BK203" s="84"/>
      <c r="BL203" s="2"/>
      <c r="BM203" s="2"/>
      <c r="BN203" s="2"/>
      <c r="BO203" s="2"/>
      <c r="BS203" s="11"/>
      <c r="BT203" s="2"/>
      <c r="BU203" s="3"/>
      <c r="BV203" s="3"/>
      <c r="BW203" s="2"/>
      <c r="BX203" s="2"/>
      <c r="BY203" s="2"/>
      <c r="BZ203" s="2"/>
      <c r="CA203" s="2"/>
      <c r="CB203" s="2"/>
      <c r="CC203" s="2"/>
      <c r="CD203" s="1"/>
      <c r="CE203" s="1"/>
      <c r="CF203" s="1"/>
      <c r="CG203" s="1"/>
      <c r="CH203" s="1"/>
      <c r="CI203" s="2"/>
      <c r="CJ203" s="2"/>
      <c r="CK203" s="2"/>
      <c r="CL203" s="2"/>
      <c r="CM203" s="2"/>
      <c r="CN203" s="2"/>
      <c r="CO203" s="2"/>
      <c r="CP203" s="2"/>
      <c r="CQ203" s="2"/>
      <c r="CR203" s="2"/>
      <c r="CS203" s="2"/>
      <c r="CT203" s="2"/>
      <c r="CU203" s="2"/>
      <c r="CV203" s="2"/>
      <c r="CW203" s="2"/>
      <c r="CX203" s="2"/>
      <c r="CY203" s="2"/>
      <c r="CZ203" s="2"/>
    </row>
    <row r="204" spans="43:104" ht="15" hidden="1" customHeight="1" x14ac:dyDescent="0.2">
      <c r="AQ204" s="85"/>
      <c r="AR204" s="12">
        <v>1290000</v>
      </c>
      <c r="AS204" s="12">
        <v>1390000</v>
      </c>
      <c r="AT204" s="2"/>
      <c r="AU204" s="2"/>
      <c r="AV204" s="2"/>
      <c r="AW204" s="2"/>
      <c r="AX204" s="2"/>
      <c r="AY204" s="2"/>
      <c r="AZ204" s="2"/>
      <c r="BA204" s="2"/>
      <c r="BB204" s="2"/>
      <c r="BC204" s="2"/>
      <c r="BD204" s="2"/>
      <c r="BE204" s="2"/>
      <c r="BK204" s="84"/>
      <c r="BL204" s="2"/>
      <c r="BM204" s="2"/>
      <c r="BN204" s="2"/>
      <c r="BO204" s="2"/>
      <c r="BS204" s="11"/>
      <c r="BT204" s="2"/>
      <c r="BU204" s="3"/>
      <c r="BV204" s="3"/>
      <c r="BW204" s="2"/>
      <c r="BX204" s="2"/>
      <c r="BY204" s="2"/>
      <c r="BZ204" s="2"/>
      <c r="CA204" s="2"/>
      <c r="CB204" s="2"/>
      <c r="CC204" s="2"/>
      <c r="CD204" s="1"/>
      <c r="CE204" s="1"/>
      <c r="CF204" s="1"/>
      <c r="CG204" s="1"/>
      <c r="CH204" s="1"/>
      <c r="CI204" s="2"/>
      <c r="CJ204" s="2"/>
      <c r="CK204" s="2"/>
      <c r="CL204" s="2"/>
      <c r="CM204" s="2"/>
      <c r="CN204" s="2"/>
      <c r="CO204" s="2"/>
      <c r="CP204" s="2"/>
      <c r="CQ204" s="2"/>
      <c r="CR204" s="2"/>
      <c r="CS204" s="2"/>
      <c r="CT204" s="2"/>
      <c r="CU204" s="2"/>
      <c r="CV204" s="2"/>
      <c r="CW204" s="2"/>
      <c r="CX204" s="2"/>
      <c r="CY204" s="2"/>
      <c r="CZ204" s="2"/>
    </row>
    <row r="205" spans="43:104" ht="15" hidden="1" customHeight="1" x14ac:dyDescent="0.2">
      <c r="AQ205" s="12"/>
      <c r="AR205" s="12">
        <v>1295000</v>
      </c>
      <c r="AS205" s="12">
        <v>1400000</v>
      </c>
      <c r="AT205" s="2"/>
      <c r="AU205" s="2"/>
      <c r="AV205" s="2"/>
      <c r="AW205" s="2"/>
      <c r="AX205" s="2"/>
      <c r="AY205" s="2"/>
      <c r="AZ205" s="2"/>
      <c r="BA205" s="2"/>
      <c r="BB205" s="2"/>
      <c r="BC205" s="2"/>
      <c r="BD205" s="2"/>
      <c r="BE205" s="2"/>
      <c r="BK205" s="84"/>
      <c r="BL205" s="2"/>
      <c r="BM205" s="2"/>
      <c r="BN205" s="2"/>
      <c r="BO205" s="2"/>
      <c r="BS205" s="11"/>
      <c r="BT205" s="2"/>
      <c r="BU205" s="3"/>
      <c r="BV205" s="3"/>
      <c r="BW205" s="2"/>
      <c r="BX205" s="2"/>
      <c r="BY205" s="2"/>
      <c r="BZ205" s="2"/>
      <c r="CA205" s="2"/>
      <c r="CB205" s="2"/>
      <c r="CC205" s="2"/>
      <c r="CD205" s="1"/>
      <c r="CE205" s="1"/>
      <c r="CF205" s="1"/>
      <c r="CG205" s="1"/>
      <c r="CH205" s="1"/>
      <c r="CI205" s="2"/>
      <c r="CJ205" s="2"/>
      <c r="CK205" s="2"/>
      <c r="CL205" s="2"/>
      <c r="CM205" s="2"/>
      <c r="CN205" s="2"/>
      <c r="CO205" s="2"/>
      <c r="CP205" s="2"/>
      <c r="CQ205" s="2"/>
      <c r="CR205" s="2"/>
      <c r="CS205" s="2"/>
      <c r="CT205" s="2"/>
      <c r="CU205" s="2"/>
      <c r="CV205" s="2"/>
      <c r="CW205" s="2"/>
      <c r="CX205" s="2"/>
      <c r="CY205" s="2"/>
      <c r="CZ205" s="2"/>
    </row>
    <row r="206" spans="43:104" ht="15" hidden="1" customHeight="1" x14ac:dyDescent="0.2">
      <c r="AQ206" s="12"/>
      <c r="AR206" s="12">
        <v>1300000</v>
      </c>
      <c r="AS206" s="12">
        <v>1410000</v>
      </c>
      <c r="AT206" s="2"/>
      <c r="AU206" s="2"/>
      <c r="AV206" s="2"/>
      <c r="AW206" s="2"/>
      <c r="AX206" s="2"/>
      <c r="AY206" s="2"/>
      <c r="AZ206" s="2"/>
      <c r="BA206" s="2"/>
      <c r="BB206" s="2"/>
      <c r="BC206" s="2"/>
      <c r="BD206" s="2"/>
      <c r="BE206" s="2"/>
      <c r="BK206" s="84"/>
      <c r="BL206" s="2"/>
      <c r="BM206" s="2"/>
      <c r="BN206" s="2"/>
      <c r="BO206" s="2"/>
      <c r="BS206" s="11"/>
      <c r="BT206" s="2"/>
      <c r="BU206" s="3"/>
      <c r="BV206" s="3"/>
      <c r="BW206" s="2"/>
      <c r="BX206" s="2"/>
      <c r="BY206" s="2"/>
      <c r="BZ206" s="2"/>
      <c r="CA206" s="2"/>
      <c r="CB206" s="2"/>
      <c r="CC206" s="2"/>
      <c r="CD206" s="1"/>
      <c r="CE206" s="1"/>
      <c r="CF206" s="1"/>
      <c r="CG206" s="1"/>
      <c r="CH206" s="1"/>
      <c r="CI206" s="2"/>
      <c r="CJ206" s="2"/>
      <c r="CK206" s="2"/>
      <c r="CL206" s="2"/>
      <c r="CM206" s="2"/>
      <c r="CN206" s="2"/>
      <c r="CO206" s="2"/>
      <c r="CP206" s="2"/>
      <c r="CQ206" s="2"/>
      <c r="CR206" s="2"/>
      <c r="CS206" s="2"/>
      <c r="CT206" s="2"/>
      <c r="CU206" s="2"/>
      <c r="CV206" s="2"/>
      <c r="CW206" s="2"/>
      <c r="CX206" s="2"/>
      <c r="CY206" s="2"/>
      <c r="CZ206" s="2"/>
    </row>
    <row r="207" spans="43:104" ht="15" hidden="1" customHeight="1" x14ac:dyDescent="0.2">
      <c r="AQ207" s="13"/>
      <c r="AR207" s="12">
        <v>1305000</v>
      </c>
      <c r="AS207" s="12">
        <v>1420000</v>
      </c>
      <c r="AT207" s="2"/>
      <c r="AU207" s="2"/>
      <c r="AV207" s="2"/>
      <c r="AW207" s="2"/>
      <c r="AX207" s="2"/>
      <c r="AY207" s="2"/>
      <c r="AZ207" s="2"/>
      <c r="BA207" s="2"/>
      <c r="BB207" s="2"/>
      <c r="BC207" s="2"/>
      <c r="BD207" s="2"/>
      <c r="BE207" s="2"/>
      <c r="BK207" s="84"/>
      <c r="BL207" s="2"/>
      <c r="BM207" s="2"/>
      <c r="BN207" s="2"/>
      <c r="BO207" s="2"/>
      <c r="BS207" s="11"/>
      <c r="BT207" s="2"/>
      <c r="BU207" s="3"/>
      <c r="BV207" s="3"/>
      <c r="BW207" s="2"/>
      <c r="BX207" s="2"/>
      <c r="BY207" s="2"/>
      <c r="BZ207" s="2"/>
      <c r="CA207" s="2"/>
      <c r="CB207" s="2"/>
      <c r="CC207" s="2"/>
      <c r="CD207" s="1"/>
      <c r="CE207" s="1"/>
      <c r="CF207" s="1"/>
      <c r="CG207" s="1"/>
      <c r="CH207" s="1"/>
      <c r="CI207" s="2"/>
      <c r="CJ207" s="2"/>
      <c r="CK207" s="2"/>
      <c r="CL207" s="2"/>
      <c r="CM207" s="2"/>
      <c r="CN207" s="2"/>
      <c r="CO207" s="2"/>
      <c r="CP207" s="2"/>
      <c r="CQ207" s="2"/>
      <c r="CR207" s="2"/>
      <c r="CS207" s="2"/>
      <c r="CT207" s="2"/>
      <c r="CU207" s="2"/>
      <c r="CV207" s="2"/>
      <c r="CW207" s="2"/>
      <c r="CX207" s="2"/>
      <c r="CY207" s="2"/>
      <c r="CZ207" s="2"/>
    </row>
    <row r="208" spans="43:104" ht="15" hidden="1" customHeight="1" x14ac:dyDescent="0.2">
      <c r="AQ208" s="13"/>
      <c r="AR208" s="12">
        <v>1310000</v>
      </c>
      <c r="AS208" s="12">
        <v>1430000</v>
      </c>
      <c r="AT208" s="2"/>
      <c r="AU208" s="2"/>
      <c r="AV208" s="2"/>
      <c r="AW208" s="2"/>
      <c r="AX208" s="2"/>
      <c r="AY208" s="2"/>
      <c r="AZ208" s="2"/>
      <c r="BA208" s="2"/>
      <c r="BB208" s="2"/>
      <c r="BC208" s="2"/>
      <c r="BD208" s="2"/>
      <c r="BE208" s="2"/>
      <c r="BK208" s="84"/>
      <c r="BL208" s="2"/>
      <c r="BM208" s="2"/>
      <c r="BN208" s="2"/>
      <c r="BO208" s="2"/>
      <c r="BS208" s="11"/>
      <c r="BT208" s="2"/>
      <c r="BU208" s="3"/>
      <c r="BV208" s="3"/>
      <c r="BW208" s="2"/>
      <c r="BX208" s="2"/>
      <c r="BY208" s="2"/>
      <c r="BZ208" s="2"/>
      <c r="CA208" s="46"/>
      <c r="CB208" s="1"/>
      <c r="CC208" s="1"/>
      <c r="CD208" s="1"/>
      <c r="CE208" s="1"/>
      <c r="CF208" s="1"/>
      <c r="CG208" s="1"/>
      <c r="CH208" s="1"/>
      <c r="CI208" s="2"/>
      <c r="CJ208" s="2"/>
      <c r="CK208" s="2"/>
      <c r="CL208" s="2"/>
      <c r="CM208" s="2"/>
      <c r="CN208" s="2"/>
      <c r="CO208" s="2"/>
      <c r="CP208" s="2"/>
      <c r="CQ208" s="2"/>
      <c r="CR208" s="2"/>
      <c r="CS208" s="2"/>
      <c r="CT208" s="2"/>
      <c r="CU208" s="2"/>
      <c r="CV208" s="2"/>
      <c r="CW208" s="2"/>
      <c r="CX208" s="2"/>
      <c r="CY208" s="2"/>
      <c r="CZ208" s="2"/>
    </row>
    <row r="209" spans="43:104" ht="15" hidden="1" customHeight="1" x14ac:dyDescent="0.2">
      <c r="AQ209" s="85"/>
      <c r="AR209" s="12">
        <v>1315000</v>
      </c>
      <c r="AS209" s="12">
        <v>1440000</v>
      </c>
      <c r="AT209" s="2"/>
      <c r="AU209" s="2"/>
      <c r="AV209" s="2"/>
      <c r="AW209" s="2"/>
      <c r="AX209" s="2"/>
      <c r="AY209" s="2"/>
      <c r="AZ209" s="2"/>
      <c r="BA209" s="2"/>
      <c r="BB209" s="2"/>
      <c r="BC209" s="2"/>
      <c r="BD209" s="2"/>
      <c r="BE209" s="2"/>
      <c r="BK209" s="84"/>
      <c r="BL209" s="2"/>
      <c r="BM209" s="2"/>
      <c r="BN209" s="2"/>
      <c r="BO209" s="2"/>
      <c r="BS209" s="11"/>
      <c r="BT209" s="2"/>
      <c r="BU209" s="3"/>
      <c r="BV209" s="3"/>
      <c r="BW209" s="2"/>
      <c r="BX209" s="2"/>
      <c r="BY209" s="2"/>
      <c r="BZ209" s="46"/>
      <c r="CA209" s="1"/>
      <c r="CB209" s="1"/>
      <c r="CC209" s="1"/>
      <c r="CD209" s="1"/>
      <c r="CE209" s="1"/>
      <c r="CF209" s="1"/>
      <c r="CG209" s="1"/>
      <c r="CH209" s="1"/>
      <c r="CI209" s="2"/>
      <c r="CJ209" s="2"/>
      <c r="CK209" s="2"/>
      <c r="CL209" s="2"/>
      <c r="CM209" s="2"/>
      <c r="CN209" s="2"/>
      <c r="CO209" s="2"/>
      <c r="CP209" s="2"/>
      <c r="CQ209" s="2"/>
      <c r="CR209" s="2"/>
      <c r="CS209" s="2"/>
      <c r="CT209" s="2"/>
      <c r="CU209" s="2"/>
      <c r="CV209" s="2"/>
      <c r="CW209" s="2"/>
      <c r="CX209" s="2"/>
      <c r="CY209" s="2"/>
      <c r="CZ209" s="2"/>
    </row>
    <row r="210" spans="43:104" ht="15" hidden="1" customHeight="1" x14ac:dyDescent="0.2">
      <c r="AQ210" s="12"/>
      <c r="AR210" s="12">
        <v>1320000</v>
      </c>
      <c r="AS210" s="12">
        <v>1450000</v>
      </c>
      <c r="AT210" s="2"/>
      <c r="AU210" s="2"/>
      <c r="AV210" s="2"/>
      <c r="AW210" s="2"/>
      <c r="AX210" s="2"/>
      <c r="AY210" s="2"/>
      <c r="AZ210" s="2"/>
      <c r="BA210" s="2"/>
      <c r="BB210" s="2"/>
      <c r="BC210" s="2"/>
      <c r="BD210" s="2"/>
      <c r="BE210" s="2"/>
      <c r="BK210" s="84"/>
      <c r="BL210" s="2"/>
      <c r="BM210" s="2"/>
      <c r="BN210" s="2"/>
      <c r="BO210" s="2"/>
      <c r="BS210" s="11"/>
      <c r="BT210" s="2"/>
      <c r="BU210" s="3"/>
      <c r="BV210" s="3"/>
      <c r="BW210" s="2"/>
      <c r="BX210" s="2"/>
      <c r="BY210" s="2"/>
      <c r="BZ210" s="2"/>
      <c r="CA210" s="46"/>
      <c r="CB210" s="1"/>
      <c r="CC210" s="1"/>
      <c r="CD210" s="1"/>
      <c r="CE210" s="1"/>
      <c r="CF210" s="1"/>
      <c r="CG210" s="1"/>
      <c r="CH210" s="1"/>
      <c r="CI210" s="2"/>
      <c r="CJ210" s="2"/>
      <c r="CK210" s="2"/>
      <c r="CL210" s="2"/>
      <c r="CM210" s="2"/>
      <c r="CN210" s="2"/>
      <c r="CO210" s="2"/>
      <c r="CP210" s="2"/>
      <c r="CQ210" s="2"/>
      <c r="CR210" s="2"/>
      <c r="CS210" s="2"/>
      <c r="CT210" s="2"/>
      <c r="CU210" s="2"/>
      <c r="CV210" s="2"/>
      <c r="CW210" s="2"/>
      <c r="CX210" s="2"/>
      <c r="CY210" s="2"/>
      <c r="CZ210" s="2"/>
    </row>
    <row r="211" spans="43:104" ht="15" hidden="1" customHeight="1" x14ac:dyDescent="0.2">
      <c r="AQ211" s="12"/>
      <c r="AR211" s="12">
        <v>1325000</v>
      </c>
      <c r="AS211" s="12">
        <v>1460000</v>
      </c>
      <c r="AT211" s="2"/>
      <c r="AU211" s="2"/>
      <c r="AV211" s="2"/>
      <c r="AW211" s="2"/>
      <c r="AX211" s="2"/>
      <c r="AY211" s="2"/>
      <c r="AZ211" s="2"/>
      <c r="BA211" s="2"/>
      <c r="BB211" s="2"/>
      <c r="BC211" s="2"/>
      <c r="BD211" s="2"/>
      <c r="BE211" s="2"/>
      <c r="BK211" s="84"/>
      <c r="BL211" s="2"/>
      <c r="BM211" s="2"/>
      <c r="BN211" s="2"/>
      <c r="BO211" s="2"/>
      <c r="BS211" s="11"/>
      <c r="BT211" s="2"/>
      <c r="BU211" s="3"/>
      <c r="BV211" s="3"/>
      <c r="BW211" s="2"/>
      <c r="BX211" s="2"/>
      <c r="BY211" s="2"/>
      <c r="BZ211" s="2"/>
      <c r="CA211" s="46"/>
      <c r="CB211" s="1"/>
      <c r="CC211" s="1"/>
      <c r="CD211" s="1"/>
      <c r="CE211" s="1"/>
      <c r="CF211" s="1"/>
      <c r="CG211" s="1"/>
      <c r="CH211" s="1"/>
      <c r="CI211" s="2"/>
      <c r="CJ211" s="2"/>
      <c r="CK211" s="2"/>
      <c r="CL211" s="2"/>
      <c r="CM211" s="2"/>
      <c r="CN211" s="2"/>
      <c r="CO211" s="2"/>
      <c r="CP211" s="2"/>
      <c r="CQ211" s="2"/>
      <c r="CR211" s="2"/>
      <c r="CS211" s="2"/>
      <c r="CT211" s="2"/>
      <c r="CU211" s="2"/>
      <c r="CV211" s="2"/>
      <c r="CW211" s="2"/>
      <c r="CX211" s="2"/>
      <c r="CY211" s="2"/>
      <c r="CZ211" s="2"/>
    </row>
    <row r="212" spans="43:104" ht="15" hidden="1" customHeight="1" x14ac:dyDescent="0.2">
      <c r="AQ212" s="13"/>
      <c r="AR212" s="12">
        <v>1330000</v>
      </c>
      <c r="AS212" s="12">
        <v>1470000</v>
      </c>
      <c r="AT212" s="2"/>
      <c r="AU212" s="2"/>
      <c r="AV212" s="2"/>
      <c r="AW212" s="2"/>
      <c r="AX212" s="2"/>
      <c r="AY212" s="2"/>
      <c r="AZ212" s="2"/>
      <c r="BA212" s="2"/>
      <c r="BB212" s="2"/>
      <c r="BC212" s="2"/>
      <c r="BD212" s="2"/>
      <c r="BE212" s="2"/>
      <c r="BK212" s="84"/>
      <c r="BL212" s="2"/>
      <c r="BM212" s="2"/>
      <c r="BN212" s="2"/>
      <c r="BO212" s="2"/>
      <c r="BS212" s="11"/>
      <c r="BT212" s="2"/>
      <c r="BU212" s="3"/>
      <c r="BV212" s="3"/>
      <c r="BW212" s="2"/>
      <c r="BX212" s="2"/>
      <c r="BY212" s="2"/>
      <c r="BZ212" s="2"/>
      <c r="CA212" s="46"/>
      <c r="CB212" s="1"/>
      <c r="CC212" s="1"/>
      <c r="CD212" s="1"/>
      <c r="CE212" s="1"/>
      <c r="CF212" s="1"/>
      <c r="CG212" s="1"/>
      <c r="CH212" s="1"/>
      <c r="CI212" s="2"/>
      <c r="CJ212" s="2"/>
      <c r="CK212" s="2"/>
      <c r="CL212" s="2"/>
      <c r="CM212" s="2"/>
      <c r="CN212" s="2"/>
      <c r="CO212" s="2"/>
      <c r="CP212" s="2"/>
      <c r="CQ212" s="2"/>
      <c r="CR212" s="2"/>
      <c r="CS212" s="2"/>
      <c r="CT212" s="2"/>
      <c r="CU212" s="2"/>
      <c r="CV212" s="2"/>
      <c r="CW212" s="2"/>
      <c r="CX212" s="2"/>
      <c r="CY212" s="2"/>
      <c r="CZ212" s="2"/>
    </row>
    <row r="213" spans="43:104" ht="15" hidden="1" customHeight="1" x14ac:dyDescent="0.2">
      <c r="AQ213" s="13"/>
      <c r="AR213" s="12">
        <v>1335000</v>
      </c>
      <c r="AS213" s="12">
        <v>1480000</v>
      </c>
      <c r="AT213" s="2"/>
      <c r="AU213" s="2"/>
      <c r="AV213" s="2"/>
      <c r="AW213" s="2"/>
      <c r="AX213" s="2"/>
      <c r="AY213" s="2"/>
      <c r="AZ213" s="2"/>
      <c r="BA213" s="2"/>
      <c r="BB213" s="2"/>
      <c r="BC213" s="2"/>
      <c r="BD213" s="2"/>
      <c r="BE213" s="2"/>
      <c r="BK213" s="84"/>
      <c r="BL213" s="2"/>
      <c r="BM213" s="2"/>
      <c r="BN213" s="2"/>
      <c r="BO213" s="2"/>
      <c r="BS213" s="11"/>
      <c r="BT213" s="2"/>
      <c r="BU213" s="3"/>
      <c r="BV213" s="3"/>
      <c r="BW213" s="2"/>
      <c r="BX213" s="2"/>
      <c r="BY213" s="2"/>
      <c r="BZ213" s="2"/>
      <c r="CA213" s="46"/>
      <c r="CB213" s="1"/>
      <c r="CC213" s="7"/>
      <c r="CD213" s="1"/>
      <c r="CE213" s="1"/>
      <c r="CF213" s="1"/>
      <c r="CG213" s="1"/>
      <c r="CH213" s="1"/>
      <c r="CI213" s="2"/>
      <c r="CJ213" s="2"/>
      <c r="CK213" s="2"/>
      <c r="CL213" s="2"/>
      <c r="CM213" s="2"/>
      <c r="CN213" s="2"/>
      <c r="CO213" s="2"/>
      <c r="CP213" s="2"/>
      <c r="CQ213" s="2"/>
      <c r="CR213" s="2"/>
      <c r="CS213" s="2"/>
      <c r="CT213" s="2"/>
      <c r="CU213" s="2"/>
      <c r="CV213" s="2"/>
      <c r="CW213" s="2"/>
      <c r="CX213" s="2"/>
      <c r="CY213" s="2"/>
      <c r="CZ213" s="2"/>
    </row>
    <row r="214" spans="43:104" ht="15" hidden="1" customHeight="1" x14ac:dyDescent="0.2">
      <c r="AQ214" s="85"/>
      <c r="AR214" s="12">
        <v>1340000</v>
      </c>
      <c r="AS214" s="12">
        <v>1490000</v>
      </c>
      <c r="AT214" s="2"/>
      <c r="AU214" s="2"/>
      <c r="AV214" s="2"/>
      <c r="AW214" s="2"/>
      <c r="AX214" s="2"/>
      <c r="AY214" s="2"/>
      <c r="AZ214" s="2"/>
      <c r="BA214" s="2"/>
      <c r="BB214" s="2"/>
      <c r="BC214" s="2"/>
      <c r="BD214" s="2"/>
      <c r="BE214" s="2"/>
      <c r="BK214" s="84"/>
      <c r="BL214" s="2"/>
      <c r="BM214" s="2"/>
      <c r="BN214" s="2"/>
      <c r="BO214" s="2"/>
      <c r="BS214" s="11"/>
      <c r="BT214" s="2"/>
      <c r="BU214" s="3"/>
      <c r="BV214" s="3"/>
      <c r="BW214" s="2"/>
      <c r="BX214" s="2"/>
      <c r="BY214" s="2"/>
      <c r="BZ214" s="2"/>
      <c r="CA214" s="46"/>
      <c r="CB214" s="1"/>
      <c r="CC214" s="7"/>
      <c r="CD214" s="1"/>
      <c r="CE214" s="1"/>
      <c r="CF214" s="1"/>
      <c r="CG214" s="1"/>
      <c r="CH214" s="1"/>
      <c r="CI214" s="2"/>
      <c r="CJ214" s="2"/>
      <c r="CK214" s="2"/>
      <c r="CL214" s="2"/>
      <c r="CM214" s="2"/>
      <c r="CN214" s="2"/>
      <c r="CO214" s="2"/>
      <c r="CP214" s="2"/>
      <c r="CQ214" s="2"/>
      <c r="CR214" s="2"/>
      <c r="CS214" s="2"/>
      <c r="CT214" s="2"/>
      <c r="CU214" s="2"/>
      <c r="CV214" s="2"/>
      <c r="CW214" s="2"/>
      <c r="CX214" s="2"/>
      <c r="CY214" s="2"/>
      <c r="CZ214" s="2"/>
    </row>
    <row r="215" spans="43:104" ht="15" hidden="1" customHeight="1" x14ac:dyDescent="0.2">
      <c r="AQ215" s="12"/>
      <c r="AR215" s="12">
        <v>1345000</v>
      </c>
      <c r="AS215" s="12">
        <v>1500000</v>
      </c>
      <c r="AT215" s="2"/>
      <c r="AU215" s="2"/>
      <c r="AV215" s="2"/>
      <c r="AW215" s="2"/>
      <c r="AX215" s="2"/>
      <c r="AY215" s="2"/>
      <c r="AZ215" s="2"/>
      <c r="BA215" s="2"/>
      <c r="BB215" s="2"/>
      <c r="BC215" s="2"/>
      <c r="BD215" s="2"/>
      <c r="BE215" s="2"/>
      <c r="BK215" s="84"/>
      <c r="BL215" s="2"/>
      <c r="BM215" s="2"/>
      <c r="BN215" s="2"/>
      <c r="BO215" s="2"/>
      <c r="BS215" s="11"/>
      <c r="BT215" s="2"/>
      <c r="BU215" s="3"/>
      <c r="BV215" s="3"/>
      <c r="BW215" s="2"/>
      <c r="BX215" s="2"/>
      <c r="BY215" s="2"/>
      <c r="BZ215" s="2"/>
      <c r="CA215" s="2"/>
      <c r="CB215" s="2"/>
      <c r="CC215" s="2"/>
      <c r="CD215" s="1"/>
      <c r="CE215" s="1"/>
      <c r="CF215" s="1"/>
      <c r="CG215" s="1"/>
      <c r="CH215" s="1"/>
      <c r="CI215" s="2"/>
      <c r="CJ215" s="2"/>
      <c r="CK215" s="2"/>
      <c r="CL215" s="2"/>
      <c r="CM215" s="2"/>
      <c r="CN215" s="2"/>
      <c r="CO215" s="2"/>
      <c r="CP215" s="2"/>
      <c r="CQ215" s="2"/>
      <c r="CR215" s="2"/>
      <c r="CS215" s="2"/>
      <c r="CT215" s="2"/>
      <c r="CU215" s="2"/>
      <c r="CV215" s="2"/>
      <c r="CW215" s="2"/>
      <c r="CX215" s="2"/>
      <c r="CY215" s="2"/>
      <c r="CZ215" s="2"/>
    </row>
    <row r="216" spans="43:104" ht="15" hidden="1" customHeight="1" x14ac:dyDescent="0.2">
      <c r="AQ216" s="12"/>
      <c r="AR216" s="12">
        <v>1350000</v>
      </c>
      <c r="AS216" s="12">
        <v>1510000</v>
      </c>
      <c r="AT216" s="2"/>
      <c r="AU216" s="2"/>
      <c r="AV216" s="2"/>
      <c r="AW216" s="2"/>
      <c r="AX216" s="2"/>
      <c r="AY216" s="2"/>
      <c r="AZ216" s="2"/>
      <c r="BA216" s="2"/>
      <c r="BB216" s="2"/>
      <c r="BC216" s="2"/>
      <c r="BD216" s="2"/>
      <c r="BE216" s="2"/>
      <c r="BK216" s="84"/>
      <c r="BL216" s="2"/>
      <c r="BM216" s="2"/>
      <c r="BN216" s="2"/>
      <c r="BO216" s="2"/>
      <c r="BS216" s="11"/>
      <c r="BT216" s="2"/>
      <c r="BU216" s="3"/>
      <c r="BV216" s="3"/>
      <c r="BW216" s="2"/>
      <c r="BX216" s="2"/>
      <c r="BY216" s="2"/>
      <c r="BZ216" s="2"/>
      <c r="CA216" s="2"/>
      <c r="CB216" s="2"/>
      <c r="CC216" s="2"/>
      <c r="CD216" s="1"/>
      <c r="CE216" s="1"/>
      <c r="CF216" s="1"/>
      <c r="CG216" s="1"/>
      <c r="CH216" s="1"/>
      <c r="CI216" s="2"/>
      <c r="CJ216" s="2"/>
      <c r="CK216" s="2"/>
      <c r="CL216" s="2"/>
      <c r="CM216" s="2"/>
      <c r="CN216" s="2"/>
      <c r="CO216" s="2"/>
      <c r="CP216" s="2"/>
      <c r="CQ216" s="2"/>
      <c r="CR216" s="2"/>
      <c r="CS216" s="2"/>
      <c r="CT216" s="2"/>
      <c r="CU216" s="2"/>
      <c r="CV216" s="2"/>
      <c r="CW216" s="2"/>
      <c r="CX216" s="2"/>
      <c r="CY216" s="2"/>
      <c r="CZ216" s="2"/>
    </row>
    <row r="217" spans="43:104" ht="15" hidden="1" customHeight="1" x14ac:dyDescent="0.2">
      <c r="AQ217" s="13"/>
      <c r="AR217" s="12">
        <v>1355000</v>
      </c>
      <c r="AS217" s="12">
        <v>1520000</v>
      </c>
      <c r="AT217" s="2"/>
      <c r="AU217" s="2"/>
      <c r="AV217" s="2"/>
      <c r="AW217" s="2"/>
      <c r="AX217" s="2"/>
      <c r="AY217" s="2"/>
      <c r="AZ217" s="2"/>
      <c r="BA217" s="2"/>
      <c r="BB217" s="2"/>
      <c r="BC217" s="2"/>
      <c r="BD217" s="2"/>
      <c r="BE217" s="2"/>
      <c r="BK217" s="84"/>
      <c r="BL217" s="2"/>
      <c r="BM217" s="2"/>
      <c r="BN217" s="2"/>
      <c r="BO217" s="2"/>
      <c r="BS217" s="11"/>
      <c r="BT217" s="2"/>
      <c r="BU217" s="3"/>
      <c r="BV217" s="3"/>
      <c r="BW217" s="2"/>
      <c r="BX217" s="2"/>
      <c r="BY217" s="2"/>
      <c r="BZ217" s="2"/>
      <c r="CA217" s="2"/>
      <c r="CB217" s="2"/>
      <c r="CC217" s="2"/>
      <c r="CD217" s="1"/>
      <c r="CE217" s="1"/>
      <c r="CF217" s="1"/>
      <c r="CG217" s="1"/>
      <c r="CH217" s="1"/>
      <c r="CI217" s="2"/>
      <c r="CJ217" s="2"/>
      <c r="CK217" s="2"/>
      <c r="CL217" s="2"/>
      <c r="CM217" s="2"/>
      <c r="CN217" s="2"/>
      <c r="CO217" s="2"/>
      <c r="CP217" s="2"/>
      <c r="CQ217" s="2"/>
      <c r="CR217" s="2"/>
      <c r="CS217" s="2"/>
      <c r="CT217" s="2"/>
      <c r="CU217" s="2"/>
      <c r="CV217" s="2"/>
      <c r="CW217" s="2"/>
      <c r="CX217" s="2"/>
      <c r="CY217" s="2"/>
      <c r="CZ217" s="2"/>
    </row>
    <row r="218" spans="43:104" ht="15" hidden="1" customHeight="1" x14ac:dyDescent="0.2">
      <c r="AQ218" s="13"/>
      <c r="AR218" s="12">
        <v>1360000</v>
      </c>
      <c r="AS218" s="12">
        <v>1530000</v>
      </c>
      <c r="AT218" s="2"/>
      <c r="AU218" s="2"/>
      <c r="AV218" s="2"/>
      <c r="AW218" s="2"/>
      <c r="AX218" s="2"/>
      <c r="AY218" s="2"/>
      <c r="AZ218" s="2"/>
      <c r="BA218" s="2"/>
      <c r="BB218" s="2"/>
      <c r="BC218" s="2"/>
      <c r="BD218" s="2"/>
      <c r="BE218" s="2"/>
      <c r="BK218" s="84"/>
      <c r="BL218" s="2"/>
      <c r="BM218" s="2"/>
      <c r="BN218" s="2"/>
      <c r="BO218" s="2"/>
      <c r="BS218" s="11"/>
      <c r="BT218" s="2"/>
      <c r="BU218" s="3"/>
      <c r="BV218" s="3"/>
      <c r="BW218" s="2"/>
      <c r="BX218" s="2"/>
      <c r="BY218" s="2"/>
      <c r="BZ218" s="2"/>
      <c r="CA218" s="2"/>
      <c r="CB218" s="2"/>
      <c r="CC218" s="2"/>
      <c r="CD218" s="1"/>
      <c r="CE218" s="1"/>
      <c r="CF218" s="1"/>
      <c r="CG218" s="1"/>
      <c r="CH218" s="1"/>
      <c r="CI218" s="2"/>
      <c r="CJ218" s="2"/>
      <c r="CK218" s="2"/>
      <c r="CL218" s="2"/>
      <c r="CM218" s="2"/>
      <c r="CN218" s="2"/>
      <c r="CO218" s="2"/>
      <c r="CP218" s="2"/>
      <c r="CQ218" s="2"/>
      <c r="CR218" s="2"/>
      <c r="CS218" s="2"/>
      <c r="CT218" s="2"/>
      <c r="CU218" s="2"/>
      <c r="CV218" s="2"/>
      <c r="CW218" s="2"/>
      <c r="CX218" s="2"/>
      <c r="CY218" s="2"/>
      <c r="CZ218" s="2"/>
    </row>
    <row r="219" spans="43:104" ht="15" hidden="1" customHeight="1" x14ac:dyDescent="0.2">
      <c r="AQ219" s="85"/>
      <c r="AR219" s="12">
        <v>1365000</v>
      </c>
      <c r="AS219" s="12">
        <v>1540000</v>
      </c>
      <c r="AT219" s="2"/>
      <c r="AU219" s="2"/>
      <c r="AV219" s="2"/>
      <c r="AW219" s="2"/>
      <c r="AX219" s="2"/>
      <c r="AY219" s="2"/>
      <c r="AZ219" s="2"/>
      <c r="BA219" s="2"/>
      <c r="BB219" s="2"/>
      <c r="BC219" s="2"/>
      <c r="BD219" s="2"/>
      <c r="BE219" s="2"/>
      <c r="BK219" s="84"/>
      <c r="BL219" s="2"/>
      <c r="BM219" s="2"/>
      <c r="BN219" s="2"/>
      <c r="BO219" s="2"/>
      <c r="BS219" s="11"/>
      <c r="BT219" s="2"/>
      <c r="BU219" s="3"/>
      <c r="BV219" s="3"/>
      <c r="BW219" s="2"/>
      <c r="BX219" s="2"/>
      <c r="BY219" s="2"/>
      <c r="BZ219" s="2"/>
      <c r="CA219" s="46"/>
      <c r="CB219" s="1"/>
      <c r="CC219" s="1"/>
      <c r="CD219" s="1"/>
      <c r="CE219" s="1"/>
      <c r="CF219" s="1"/>
      <c r="CG219" s="1"/>
      <c r="CH219" s="1"/>
      <c r="CI219" s="2"/>
      <c r="CJ219" s="2"/>
      <c r="CK219" s="2"/>
      <c r="CL219" s="2"/>
      <c r="CM219" s="2"/>
      <c r="CN219" s="2"/>
      <c r="CO219" s="2"/>
      <c r="CP219" s="2"/>
      <c r="CQ219" s="2"/>
      <c r="CR219" s="2"/>
      <c r="CS219" s="2"/>
      <c r="CT219" s="2"/>
      <c r="CU219" s="2"/>
      <c r="CV219" s="2"/>
      <c r="CW219" s="2"/>
      <c r="CX219" s="2"/>
      <c r="CY219" s="2"/>
      <c r="CZ219" s="2"/>
    </row>
    <row r="220" spans="43:104" ht="15" hidden="1" customHeight="1" x14ac:dyDescent="0.2">
      <c r="AQ220" s="12"/>
      <c r="AR220" s="12">
        <v>1370000</v>
      </c>
      <c r="AS220" s="12">
        <v>1550000</v>
      </c>
      <c r="AT220" s="2"/>
      <c r="AU220" s="2"/>
      <c r="AV220" s="2"/>
      <c r="AW220" s="2"/>
      <c r="AX220" s="2"/>
      <c r="AY220" s="2"/>
      <c r="AZ220" s="2"/>
      <c r="BA220" s="2"/>
      <c r="BB220" s="2"/>
      <c r="BC220" s="2"/>
      <c r="BD220" s="2"/>
      <c r="BE220" s="2"/>
      <c r="BK220" s="84"/>
      <c r="BL220" s="2"/>
      <c r="BM220" s="2"/>
      <c r="BN220" s="2"/>
      <c r="BO220" s="2"/>
      <c r="BS220" s="11"/>
      <c r="BT220" s="2"/>
      <c r="BU220" s="3"/>
      <c r="BV220" s="3"/>
      <c r="BW220" s="2"/>
      <c r="BX220" s="2"/>
      <c r="BY220" s="2"/>
      <c r="BZ220" s="46"/>
      <c r="CA220" s="1"/>
      <c r="CB220" s="1"/>
      <c r="CC220" s="1"/>
      <c r="CD220" s="1"/>
      <c r="CE220" s="1"/>
      <c r="CF220" s="1"/>
      <c r="CG220" s="1"/>
      <c r="CH220" s="1"/>
      <c r="CI220" s="2"/>
      <c r="CJ220" s="2"/>
      <c r="CK220" s="2"/>
      <c r="CL220" s="2"/>
      <c r="CM220" s="2"/>
      <c r="CN220" s="2"/>
      <c r="CO220" s="2"/>
      <c r="CP220" s="2"/>
      <c r="CQ220" s="2"/>
      <c r="CR220" s="2"/>
      <c r="CS220" s="2"/>
      <c r="CT220" s="2"/>
      <c r="CU220" s="2"/>
      <c r="CV220" s="2"/>
      <c r="CW220" s="2"/>
      <c r="CX220" s="2"/>
      <c r="CY220" s="2"/>
      <c r="CZ220" s="2"/>
    </row>
    <row r="221" spans="43:104" ht="15" hidden="1" customHeight="1" x14ac:dyDescent="0.2">
      <c r="AQ221" s="12"/>
      <c r="AR221" s="12">
        <v>1375000</v>
      </c>
      <c r="AS221" s="12">
        <v>1560000</v>
      </c>
      <c r="AT221" s="2"/>
      <c r="AU221" s="2"/>
      <c r="AV221" s="2"/>
      <c r="AW221" s="2"/>
      <c r="AX221" s="2"/>
      <c r="AY221" s="2"/>
      <c r="AZ221" s="2"/>
      <c r="BA221" s="2"/>
      <c r="BB221" s="2"/>
      <c r="BC221" s="2"/>
      <c r="BD221" s="2"/>
      <c r="BE221" s="2"/>
      <c r="BK221" s="84"/>
      <c r="BL221" s="2"/>
      <c r="BM221" s="2"/>
      <c r="BN221" s="2"/>
      <c r="BO221" s="2"/>
      <c r="BS221" s="11"/>
      <c r="BT221" s="2"/>
      <c r="BU221" s="3"/>
      <c r="BV221" s="3"/>
      <c r="BW221" s="2"/>
      <c r="BX221" s="2"/>
      <c r="BY221" s="2"/>
      <c r="BZ221" s="2"/>
      <c r="CA221" s="46"/>
      <c r="CB221" s="1"/>
      <c r="CC221" s="7"/>
      <c r="CD221" s="1"/>
      <c r="CE221" s="1"/>
      <c r="CF221" s="1"/>
      <c r="CG221" s="1"/>
      <c r="CH221" s="1"/>
      <c r="CI221" s="2"/>
      <c r="CJ221" s="2"/>
      <c r="CK221" s="2"/>
      <c r="CL221" s="2"/>
      <c r="CM221" s="2"/>
      <c r="CN221" s="2"/>
      <c r="CO221" s="2"/>
      <c r="CP221" s="2"/>
      <c r="CQ221" s="2"/>
      <c r="CR221" s="2"/>
      <c r="CS221" s="2"/>
      <c r="CT221" s="2"/>
      <c r="CU221" s="2"/>
      <c r="CV221" s="2"/>
      <c r="CW221" s="2"/>
      <c r="CX221" s="2"/>
      <c r="CY221" s="2"/>
      <c r="CZ221" s="2"/>
    </row>
    <row r="222" spans="43:104" ht="15" hidden="1" customHeight="1" x14ac:dyDescent="0.2">
      <c r="AQ222" s="13"/>
      <c r="AR222" s="12">
        <v>1380000</v>
      </c>
      <c r="AS222" s="12">
        <v>1570000</v>
      </c>
      <c r="AT222" s="2"/>
      <c r="AU222" s="2"/>
      <c r="AV222" s="2"/>
      <c r="AW222" s="2"/>
      <c r="AX222" s="2"/>
      <c r="AY222" s="2"/>
      <c r="AZ222" s="2"/>
      <c r="BA222" s="2"/>
      <c r="BB222" s="2"/>
      <c r="BC222" s="2"/>
      <c r="BD222" s="2"/>
      <c r="BE222" s="2"/>
      <c r="BK222" s="84"/>
      <c r="BL222" s="2"/>
      <c r="BM222" s="2"/>
      <c r="BN222" s="2"/>
      <c r="BO222" s="2"/>
      <c r="BS222" s="11"/>
      <c r="BT222" s="2"/>
      <c r="BU222" s="3"/>
      <c r="BV222" s="3"/>
      <c r="BW222" s="2"/>
      <c r="BX222" s="2"/>
      <c r="BY222" s="2"/>
      <c r="BZ222" s="2"/>
      <c r="CA222" s="2"/>
      <c r="CB222" s="2"/>
      <c r="CC222" s="2"/>
      <c r="CD222" s="1"/>
      <c r="CE222" s="1"/>
      <c r="CF222" s="1"/>
      <c r="CG222" s="1"/>
      <c r="CH222" s="1"/>
      <c r="CI222" s="2"/>
      <c r="CJ222" s="2"/>
      <c r="CK222" s="2"/>
      <c r="CL222" s="2"/>
      <c r="CM222" s="2"/>
      <c r="CN222" s="2"/>
      <c r="CO222" s="2"/>
      <c r="CP222" s="2"/>
      <c r="CQ222" s="2"/>
      <c r="CR222" s="2"/>
      <c r="CS222" s="2"/>
      <c r="CT222" s="2"/>
      <c r="CU222" s="2"/>
      <c r="CV222" s="2"/>
      <c r="CW222" s="2"/>
      <c r="CX222" s="2"/>
      <c r="CY222" s="2"/>
      <c r="CZ222" s="2"/>
    </row>
    <row r="223" spans="43:104" ht="15" hidden="1" customHeight="1" x14ac:dyDescent="0.2">
      <c r="AQ223" s="13"/>
      <c r="AR223" s="12">
        <v>1385000</v>
      </c>
      <c r="AS223" s="12">
        <v>1580000</v>
      </c>
      <c r="AT223" s="2"/>
      <c r="AU223" s="2"/>
      <c r="AV223" s="2"/>
      <c r="AW223" s="2"/>
      <c r="AX223" s="2"/>
      <c r="AY223" s="2"/>
      <c r="AZ223" s="2"/>
      <c r="BA223" s="2"/>
      <c r="BB223" s="2"/>
      <c r="BC223" s="2"/>
      <c r="BD223" s="2"/>
      <c r="BE223" s="2"/>
      <c r="BK223" s="84"/>
      <c r="BL223" s="2"/>
      <c r="BM223" s="2"/>
      <c r="BN223" s="2"/>
      <c r="BO223" s="2"/>
      <c r="BS223" s="11"/>
      <c r="BT223" s="2"/>
      <c r="BU223" s="3"/>
      <c r="BV223" s="3"/>
      <c r="BW223" s="2"/>
      <c r="BX223" s="2"/>
      <c r="BY223" s="2"/>
      <c r="BZ223" s="2"/>
      <c r="CA223" s="2"/>
      <c r="CB223" s="2"/>
      <c r="CC223" s="2"/>
      <c r="CD223" s="1"/>
      <c r="CE223" s="1"/>
      <c r="CF223" s="1"/>
      <c r="CG223" s="1"/>
      <c r="CH223" s="1"/>
      <c r="CI223" s="2"/>
      <c r="CJ223" s="2"/>
      <c r="CK223" s="2"/>
      <c r="CL223" s="2"/>
      <c r="CM223" s="2"/>
      <c r="CN223" s="2"/>
      <c r="CO223" s="2"/>
      <c r="CP223" s="2"/>
      <c r="CQ223" s="2"/>
      <c r="CR223" s="2"/>
      <c r="CS223" s="2"/>
      <c r="CT223" s="2"/>
      <c r="CU223" s="2"/>
      <c r="CV223" s="2"/>
      <c r="CW223" s="2"/>
      <c r="CX223" s="2"/>
      <c r="CY223" s="2"/>
      <c r="CZ223" s="2"/>
    </row>
    <row r="224" spans="43:104" ht="15" hidden="1" customHeight="1" x14ac:dyDescent="0.2">
      <c r="AQ224" s="85"/>
      <c r="AR224" s="12">
        <v>1390000</v>
      </c>
      <c r="AS224" s="12">
        <v>1590000</v>
      </c>
      <c r="AT224" s="2"/>
      <c r="AU224" s="2"/>
      <c r="AV224" s="2"/>
      <c r="AW224" s="2"/>
      <c r="AX224" s="2"/>
      <c r="AY224" s="2"/>
      <c r="AZ224" s="2"/>
      <c r="BA224" s="2"/>
      <c r="BB224" s="2"/>
      <c r="BC224" s="2"/>
      <c r="BD224" s="2"/>
      <c r="BE224" s="2"/>
      <c r="BK224" s="84"/>
      <c r="BL224" s="2"/>
      <c r="BM224" s="2"/>
      <c r="BN224" s="2"/>
      <c r="BO224" s="2"/>
      <c r="BS224" s="11"/>
      <c r="BT224" s="2"/>
      <c r="BU224" s="3"/>
      <c r="BV224" s="3"/>
      <c r="BW224" s="2"/>
      <c r="BX224" s="2"/>
      <c r="BY224" s="2"/>
      <c r="BZ224" s="2"/>
      <c r="CA224" s="2"/>
      <c r="CB224" s="2"/>
      <c r="CC224" s="2"/>
      <c r="CD224" s="1"/>
      <c r="CE224" s="1"/>
      <c r="CF224" s="1"/>
      <c r="CG224" s="1"/>
      <c r="CH224" s="1"/>
      <c r="CI224" s="2"/>
      <c r="CJ224" s="2"/>
      <c r="CK224" s="2"/>
      <c r="CL224" s="2"/>
      <c r="CM224" s="2"/>
      <c r="CN224" s="2"/>
      <c r="CO224" s="2"/>
      <c r="CP224" s="2"/>
      <c r="CQ224" s="2"/>
      <c r="CR224" s="2"/>
      <c r="CS224" s="2"/>
      <c r="CT224" s="2"/>
      <c r="CU224" s="2"/>
      <c r="CV224" s="2"/>
      <c r="CW224" s="2"/>
      <c r="CX224" s="2"/>
      <c r="CY224" s="2"/>
      <c r="CZ224" s="2"/>
    </row>
    <row r="225" spans="43:104" ht="15" hidden="1" customHeight="1" x14ac:dyDescent="0.2">
      <c r="AQ225" s="12"/>
      <c r="AR225" s="12">
        <v>1395000</v>
      </c>
      <c r="AS225" s="12">
        <v>1600000</v>
      </c>
      <c r="AT225" s="2"/>
      <c r="AU225" s="2"/>
      <c r="AV225" s="2"/>
      <c r="AW225" s="2"/>
      <c r="AX225" s="2"/>
      <c r="AY225" s="2"/>
      <c r="AZ225" s="2"/>
      <c r="BA225" s="2"/>
      <c r="BB225" s="2"/>
      <c r="BC225" s="2"/>
      <c r="BD225" s="2"/>
      <c r="BE225" s="2"/>
      <c r="BK225" s="84"/>
      <c r="BL225" s="2"/>
      <c r="BM225" s="2"/>
      <c r="BN225" s="2"/>
      <c r="BO225" s="2"/>
      <c r="BS225" s="11"/>
      <c r="BT225" s="2"/>
      <c r="BU225" s="3"/>
      <c r="BV225" s="3"/>
      <c r="BW225" s="2"/>
      <c r="BX225" s="2"/>
      <c r="BY225" s="2"/>
      <c r="BZ225" s="2"/>
      <c r="CA225" s="2"/>
      <c r="CB225" s="2"/>
      <c r="CC225" s="2"/>
      <c r="CD225" s="1"/>
      <c r="CE225" s="1"/>
      <c r="CF225" s="1"/>
      <c r="CG225" s="1"/>
      <c r="CH225" s="1"/>
      <c r="CI225" s="2"/>
      <c r="CJ225" s="2"/>
      <c r="CK225" s="2"/>
      <c r="CL225" s="2"/>
      <c r="CM225" s="2"/>
      <c r="CN225" s="2"/>
      <c r="CO225" s="2"/>
      <c r="CP225" s="2"/>
      <c r="CQ225" s="2"/>
      <c r="CR225" s="2"/>
      <c r="CS225" s="2"/>
      <c r="CT225" s="2"/>
      <c r="CU225" s="2"/>
      <c r="CV225" s="2"/>
      <c r="CW225" s="2"/>
      <c r="CX225" s="2"/>
      <c r="CY225" s="2"/>
      <c r="CZ225" s="2"/>
    </row>
    <row r="226" spans="43:104" ht="15" hidden="1" customHeight="1" x14ac:dyDescent="0.2">
      <c r="AQ226" s="12"/>
      <c r="AR226" s="12">
        <v>1400000</v>
      </c>
      <c r="AS226" s="12">
        <v>1610000</v>
      </c>
      <c r="AT226" s="2"/>
      <c r="AU226" s="2"/>
      <c r="AV226" s="2"/>
      <c r="AW226" s="2"/>
      <c r="AX226" s="2"/>
      <c r="AY226" s="2"/>
      <c r="AZ226" s="2"/>
      <c r="BA226" s="2"/>
      <c r="BB226" s="2"/>
      <c r="BC226" s="2"/>
      <c r="BD226" s="2"/>
      <c r="BE226" s="2"/>
      <c r="BK226" s="84"/>
      <c r="BL226" s="2"/>
      <c r="BM226" s="2"/>
      <c r="BN226" s="2"/>
      <c r="BO226" s="2"/>
      <c r="BS226" s="11"/>
      <c r="BT226" s="2"/>
      <c r="BU226" s="3"/>
      <c r="BV226" s="3"/>
      <c r="BW226" s="2"/>
      <c r="BX226" s="2"/>
      <c r="BY226" s="2"/>
      <c r="BZ226" s="2"/>
      <c r="CA226" s="2"/>
      <c r="CB226" s="2"/>
      <c r="CC226" s="2"/>
      <c r="CD226" s="1"/>
      <c r="CE226" s="1"/>
      <c r="CF226" s="1"/>
      <c r="CG226" s="1"/>
      <c r="CH226" s="1"/>
      <c r="CI226" s="2"/>
      <c r="CJ226" s="2"/>
      <c r="CK226" s="2"/>
      <c r="CL226" s="2"/>
      <c r="CM226" s="2"/>
      <c r="CN226" s="2"/>
      <c r="CO226" s="2"/>
      <c r="CP226" s="2"/>
      <c r="CQ226" s="2"/>
      <c r="CR226" s="2"/>
      <c r="CS226" s="2"/>
      <c r="CT226" s="2"/>
      <c r="CU226" s="2"/>
      <c r="CV226" s="2"/>
      <c r="CW226" s="2"/>
      <c r="CX226" s="2"/>
      <c r="CY226" s="2"/>
      <c r="CZ226" s="2"/>
    </row>
    <row r="227" spans="43:104" ht="15" hidden="1" customHeight="1" x14ac:dyDescent="0.2">
      <c r="AQ227" s="13"/>
      <c r="AR227" s="12">
        <v>1405000</v>
      </c>
      <c r="AS227" s="12">
        <v>1620000</v>
      </c>
      <c r="AT227" s="2"/>
      <c r="AU227" s="2"/>
      <c r="AV227" s="2"/>
      <c r="AW227" s="2"/>
      <c r="AX227" s="2"/>
      <c r="AY227" s="2"/>
      <c r="AZ227" s="2"/>
      <c r="BA227" s="2"/>
      <c r="BB227" s="2"/>
      <c r="BC227" s="2"/>
      <c r="BD227" s="2"/>
      <c r="BE227" s="2"/>
      <c r="BK227" s="84"/>
      <c r="BL227" s="2"/>
      <c r="BM227" s="2"/>
      <c r="BN227" s="2"/>
      <c r="BO227" s="2"/>
      <c r="BS227" s="11"/>
      <c r="BT227" s="2"/>
      <c r="BU227" s="3"/>
      <c r="BV227" s="3"/>
      <c r="BW227" s="2"/>
      <c r="BX227" s="2"/>
      <c r="BY227" s="2"/>
      <c r="BZ227" s="2"/>
      <c r="CA227" s="2"/>
      <c r="CB227" s="2"/>
      <c r="CC227" s="2"/>
      <c r="CD227" s="1"/>
      <c r="CE227" s="1"/>
      <c r="CF227" s="1"/>
      <c r="CG227" s="1"/>
      <c r="CH227" s="1"/>
      <c r="CI227" s="2"/>
      <c r="CJ227" s="2"/>
      <c r="CK227" s="2"/>
      <c r="CL227" s="2"/>
      <c r="CM227" s="2"/>
      <c r="CN227" s="2"/>
      <c r="CO227" s="2"/>
      <c r="CP227" s="2"/>
      <c r="CQ227" s="2"/>
      <c r="CR227" s="2"/>
      <c r="CS227" s="2"/>
      <c r="CT227" s="2"/>
      <c r="CU227" s="2"/>
      <c r="CV227" s="2"/>
      <c r="CW227" s="2"/>
      <c r="CX227" s="2"/>
      <c r="CY227" s="2"/>
      <c r="CZ227" s="2"/>
    </row>
    <row r="228" spans="43:104" ht="15" hidden="1" customHeight="1" x14ac:dyDescent="0.2">
      <c r="AQ228" s="13"/>
      <c r="AR228" s="12">
        <v>1410000</v>
      </c>
      <c r="AS228" s="12">
        <v>1630000</v>
      </c>
      <c r="AT228" s="2"/>
      <c r="AU228" s="2"/>
      <c r="AV228" s="2"/>
      <c r="AW228" s="2"/>
      <c r="AX228" s="2"/>
      <c r="AY228" s="2"/>
      <c r="AZ228" s="2"/>
      <c r="BA228" s="2"/>
      <c r="BB228" s="2"/>
      <c r="BC228" s="2"/>
      <c r="BD228" s="2"/>
      <c r="BE228" s="2"/>
      <c r="BK228" s="2"/>
      <c r="BM228" s="2"/>
      <c r="BN228" s="2"/>
      <c r="BO228" s="2"/>
      <c r="BS228" s="11"/>
      <c r="BT228" s="2"/>
      <c r="BU228" s="3"/>
      <c r="BV228" s="3"/>
      <c r="BW228" s="2"/>
      <c r="BX228" s="2"/>
      <c r="BY228" s="2"/>
      <c r="BZ228" s="2"/>
      <c r="CA228" s="2"/>
      <c r="CB228" s="2"/>
      <c r="CC228" s="2"/>
      <c r="CD228" s="1"/>
      <c r="CE228" s="1"/>
      <c r="CF228" s="1"/>
      <c r="CG228" s="1"/>
      <c r="CH228" s="1"/>
      <c r="CI228" s="2"/>
      <c r="CJ228" s="2"/>
      <c r="CK228" s="2"/>
      <c r="CL228" s="2"/>
      <c r="CM228" s="2"/>
      <c r="CN228" s="2"/>
      <c r="CO228" s="2"/>
      <c r="CP228" s="2"/>
      <c r="CQ228" s="2"/>
      <c r="CR228" s="2"/>
      <c r="CS228" s="2"/>
      <c r="CT228" s="2"/>
      <c r="CU228" s="2"/>
      <c r="CV228" s="2"/>
      <c r="CW228" s="2"/>
      <c r="CX228" s="2"/>
      <c r="CY228" s="2"/>
      <c r="CZ228" s="2"/>
    </row>
    <row r="229" spans="43:104" ht="15" hidden="1" customHeight="1" x14ac:dyDescent="0.2">
      <c r="AQ229" s="85"/>
      <c r="AR229" s="12">
        <v>1415000</v>
      </c>
      <c r="AS229" s="12">
        <v>1640000</v>
      </c>
      <c r="AT229" s="2"/>
      <c r="AU229" s="2"/>
      <c r="AV229" s="2"/>
      <c r="AW229" s="2"/>
      <c r="AX229" s="2"/>
      <c r="AY229" s="2"/>
      <c r="AZ229" s="2"/>
      <c r="BA229" s="2"/>
      <c r="BB229" s="2"/>
      <c r="BC229" s="2"/>
      <c r="BD229" s="2"/>
      <c r="BE229" s="2"/>
      <c r="BK229" s="2"/>
      <c r="BM229" s="2"/>
      <c r="BN229" s="2"/>
      <c r="BO229" s="2"/>
      <c r="BS229" s="11"/>
      <c r="BT229" s="2"/>
      <c r="BU229" s="3"/>
      <c r="BV229" s="3"/>
      <c r="BW229" s="2"/>
      <c r="BX229" s="2"/>
      <c r="BY229" s="2"/>
      <c r="BZ229" s="2"/>
      <c r="CA229" s="2"/>
      <c r="CB229" s="2"/>
      <c r="CC229" s="2"/>
      <c r="CD229" s="1"/>
      <c r="CE229" s="1"/>
      <c r="CF229" s="1"/>
      <c r="CG229" s="1"/>
      <c r="CH229" s="1"/>
      <c r="CI229" s="2"/>
      <c r="CJ229" s="2"/>
      <c r="CK229" s="2"/>
      <c r="CL229" s="2"/>
      <c r="CM229" s="2"/>
      <c r="CN229" s="2"/>
      <c r="CO229" s="2"/>
      <c r="CP229" s="2"/>
      <c r="CQ229" s="2"/>
      <c r="CR229" s="2"/>
      <c r="CS229" s="2"/>
      <c r="CT229" s="2"/>
      <c r="CU229" s="2"/>
      <c r="CV229" s="2"/>
      <c r="CW229" s="2"/>
      <c r="CX229" s="2"/>
      <c r="CY229" s="2"/>
      <c r="CZ229" s="2"/>
    </row>
    <row r="230" spans="43:104" ht="15" hidden="1" customHeight="1" x14ac:dyDescent="0.2">
      <c r="AQ230" s="12"/>
      <c r="AR230" s="12">
        <v>1420000</v>
      </c>
      <c r="AS230" s="12">
        <v>1650000</v>
      </c>
      <c r="AT230" s="2"/>
      <c r="AU230" s="2"/>
      <c r="AV230" s="2"/>
      <c r="AW230" s="2"/>
      <c r="AX230" s="2"/>
      <c r="AY230" s="2"/>
      <c r="AZ230" s="2"/>
      <c r="BA230" s="2"/>
      <c r="BB230" s="2"/>
      <c r="BC230" s="2"/>
      <c r="BD230" s="2"/>
      <c r="BE230" s="2"/>
      <c r="BK230" s="2"/>
      <c r="BM230" s="2"/>
      <c r="BN230" s="2"/>
      <c r="BO230" s="2"/>
      <c r="BS230" s="11"/>
      <c r="BT230" s="2"/>
      <c r="BU230" s="3"/>
      <c r="BV230" s="3"/>
      <c r="BW230" s="2"/>
      <c r="BX230" s="2"/>
      <c r="BY230" s="2"/>
      <c r="BZ230" s="2"/>
      <c r="CA230" s="46"/>
      <c r="CB230" s="1"/>
      <c r="CC230" s="1"/>
      <c r="CD230" s="1"/>
      <c r="CE230" s="1"/>
      <c r="CF230" s="1"/>
      <c r="CG230" s="1"/>
      <c r="CH230" s="1"/>
      <c r="CI230" s="2"/>
      <c r="CJ230" s="2"/>
      <c r="CK230" s="2"/>
      <c r="CL230" s="2"/>
      <c r="CM230" s="2"/>
      <c r="CN230" s="2"/>
      <c r="CO230" s="2"/>
      <c r="CP230" s="2"/>
      <c r="CQ230" s="2"/>
      <c r="CR230" s="2"/>
      <c r="CS230" s="2"/>
      <c r="CT230" s="2"/>
      <c r="CU230" s="2"/>
      <c r="CV230" s="2"/>
      <c r="CW230" s="2"/>
      <c r="CX230" s="2"/>
      <c r="CY230" s="2"/>
      <c r="CZ230" s="2"/>
    </row>
    <row r="231" spans="43:104" ht="15" hidden="1" customHeight="1" x14ac:dyDescent="0.2">
      <c r="AQ231" s="12"/>
      <c r="AR231" s="12">
        <v>1425000</v>
      </c>
      <c r="AS231" s="12">
        <v>1660000</v>
      </c>
      <c r="AT231" s="2"/>
      <c r="AU231" s="2"/>
      <c r="AV231" s="2"/>
      <c r="AW231" s="2"/>
      <c r="AX231" s="2"/>
      <c r="AY231" s="2"/>
      <c r="AZ231" s="2"/>
      <c r="BA231" s="2"/>
      <c r="BB231" s="2"/>
      <c r="BC231" s="2"/>
      <c r="BD231" s="2"/>
      <c r="BE231" s="2"/>
      <c r="BK231" s="2"/>
      <c r="BM231" s="2"/>
      <c r="BN231" s="2"/>
      <c r="BO231" s="2"/>
      <c r="BS231" s="11"/>
      <c r="BT231" s="2"/>
      <c r="BU231" s="3"/>
      <c r="BV231" s="3"/>
      <c r="BW231" s="2"/>
      <c r="BX231" s="2"/>
      <c r="BY231" s="2"/>
      <c r="BZ231" s="2"/>
      <c r="CA231" s="46"/>
      <c r="CB231" s="1"/>
      <c r="CC231" s="1"/>
      <c r="CD231" s="1"/>
      <c r="CE231" s="1"/>
      <c r="CF231" s="1"/>
      <c r="CG231" s="1"/>
      <c r="CH231" s="1"/>
      <c r="CI231" s="2"/>
      <c r="CJ231" s="2"/>
      <c r="CK231" s="2"/>
      <c r="CL231" s="2"/>
      <c r="CM231" s="2"/>
      <c r="CN231" s="2"/>
      <c r="CO231" s="2"/>
      <c r="CP231" s="2"/>
      <c r="CQ231" s="2"/>
      <c r="CR231" s="2"/>
      <c r="CS231" s="2"/>
      <c r="CT231" s="2"/>
      <c r="CU231" s="2"/>
      <c r="CV231" s="2"/>
      <c r="CW231" s="2"/>
      <c r="CX231" s="2"/>
      <c r="CY231" s="2"/>
      <c r="CZ231" s="2"/>
    </row>
    <row r="232" spans="43:104" ht="15" hidden="1" customHeight="1" x14ac:dyDescent="0.2">
      <c r="AQ232" s="13"/>
      <c r="AR232" s="12">
        <v>1430000</v>
      </c>
      <c r="AS232" s="12">
        <v>1670000</v>
      </c>
      <c r="AT232" s="2"/>
      <c r="AU232" s="2"/>
      <c r="AV232" s="2"/>
      <c r="AW232" s="2"/>
      <c r="AX232" s="2"/>
      <c r="AY232" s="2"/>
      <c r="AZ232" s="2"/>
      <c r="BA232" s="2"/>
      <c r="BB232" s="2"/>
      <c r="BC232" s="2"/>
      <c r="BD232" s="2"/>
      <c r="BE232" s="2"/>
      <c r="BK232" s="2"/>
      <c r="BM232" s="2"/>
      <c r="BN232" s="2"/>
      <c r="BO232" s="2"/>
      <c r="BS232" s="11"/>
      <c r="BT232" s="2"/>
      <c r="BU232" s="3"/>
      <c r="BV232" s="3"/>
      <c r="BW232" s="2"/>
      <c r="BX232" s="2"/>
      <c r="BY232" s="2"/>
      <c r="BZ232" s="2"/>
      <c r="CA232" s="46"/>
      <c r="CB232" s="1"/>
      <c r="CC232" s="1"/>
      <c r="CD232" s="1"/>
      <c r="CE232" s="1"/>
      <c r="CF232" s="1"/>
      <c r="CG232" s="1"/>
      <c r="CH232" s="1"/>
      <c r="CI232" s="2"/>
      <c r="CJ232" s="2"/>
      <c r="CK232" s="2"/>
      <c r="CL232" s="2"/>
      <c r="CM232" s="2"/>
      <c r="CN232" s="2"/>
      <c r="CO232" s="2"/>
      <c r="CP232" s="2"/>
      <c r="CQ232" s="2"/>
      <c r="CR232" s="2"/>
      <c r="CS232" s="2"/>
      <c r="CT232" s="2"/>
      <c r="CU232" s="2"/>
      <c r="CV232" s="2"/>
      <c r="CW232" s="2"/>
      <c r="CX232" s="2"/>
      <c r="CY232" s="2"/>
      <c r="CZ232" s="2"/>
    </row>
    <row r="233" spans="43:104" ht="15" hidden="1" customHeight="1" x14ac:dyDescent="0.2">
      <c r="AQ233" s="13"/>
      <c r="AR233" s="12">
        <v>1435000</v>
      </c>
      <c r="AS233" s="12">
        <v>1680000</v>
      </c>
      <c r="AT233" s="2"/>
      <c r="AU233" s="2"/>
      <c r="AV233" s="2"/>
      <c r="AW233" s="2"/>
      <c r="AX233" s="2"/>
      <c r="AY233" s="2"/>
      <c r="AZ233" s="2"/>
      <c r="BA233" s="2"/>
      <c r="BB233" s="2"/>
      <c r="BC233" s="2"/>
      <c r="BD233" s="2"/>
      <c r="BE233" s="2"/>
      <c r="BK233" s="2"/>
      <c r="BM233" s="2"/>
      <c r="BN233" s="2"/>
      <c r="BO233" s="2"/>
      <c r="BS233" s="11"/>
      <c r="BT233" s="2"/>
      <c r="BU233" s="3"/>
      <c r="BV233" s="3"/>
      <c r="BW233" s="2"/>
      <c r="BX233" s="2"/>
      <c r="BY233" s="2"/>
      <c r="BZ233" s="2"/>
      <c r="CA233" s="46"/>
      <c r="CB233" s="1"/>
      <c r="CC233" s="1"/>
      <c r="CD233" s="1"/>
      <c r="CE233" s="1"/>
      <c r="CF233" s="1"/>
      <c r="CG233" s="1"/>
      <c r="CH233" s="1"/>
      <c r="CI233" s="2"/>
      <c r="CJ233" s="2"/>
      <c r="CK233" s="2"/>
      <c r="CL233" s="2"/>
      <c r="CM233" s="2"/>
      <c r="CN233" s="2"/>
      <c r="CO233" s="2"/>
      <c r="CP233" s="2"/>
      <c r="CQ233" s="2"/>
      <c r="CR233" s="2"/>
      <c r="CS233" s="2"/>
      <c r="CT233" s="2"/>
      <c r="CU233" s="2"/>
      <c r="CV233" s="2"/>
      <c r="CW233" s="2"/>
      <c r="CX233" s="2"/>
      <c r="CY233" s="2"/>
      <c r="CZ233" s="2"/>
    </row>
    <row r="234" spans="43:104" ht="15" hidden="1" customHeight="1" x14ac:dyDescent="0.2">
      <c r="AQ234" s="85"/>
      <c r="AR234" s="12">
        <v>1440000</v>
      </c>
      <c r="AS234" s="12">
        <v>1690000</v>
      </c>
      <c r="AT234" s="2"/>
      <c r="AU234" s="2"/>
      <c r="AV234" s="2"/>
      <c r="AW234" s="2"/>
      <c r="AX234" s="2"/>
      <c r="AY234" s="2"/>
      <c r="AZ234" s="2"/>
      <c r="BA234" s="2"/>
      <c r="BB234" s="2"/>
      <c r="BC234" s="2"/>
      <c r="BD234" s="2"/>
      <c r="BE234" s="2"/>
      <c r="BK234" s="2"/>
      <c r="BM234" s="2"/>
      <c r="BN234" s="2"/>
      <c r="BO234" s="2"/>
      <c r="BS234" s="11"/>
      <c r="BT234" s="2"/>
      <c r="BU234" s="3"/>
      <c r="BV234" s="3"/>
      <c r="BW234" s="2"/>
      <c r="BX234" s="2"/>
      <c r="BY234" s="2"/>
      <c r="BZ234" s="46"/>
      <c r="CA234" s="1"/>
      <c r="CB234" s="1"/>
      <c r="CC234" s="1"/>
      <c r="CD234" s="1"/>
      <c r="CE234" s="1"/>
      <c r="CF234" s="1"/>
      <c r="CG234" s="1"/>
      <c r="CH234" s="1"/>
      <c r="CI234" s="2"/>
      <c r="CJ234" s="2"/>
      <c r="CK234" s="2"/>
      <c r="CL234" s="2"/>
      <c r="CM234" s="2"/>
      <c r="CN234" s="2"/>
      <c r="CO234" s="2"/>
      <c r="CP234" s="2"/>
      <c r="CQ234" s="2"/>
      <c r="CR234" s="2"/>
      <c r="CS234" s="2"/>
      <c r="CT234" s="2"/>
      <c r="CU234" s="2"/>
      <c r="CV234" s="2"/>
      <c r="CW234" s="2"/>
      <c r="CX234" s="2"/>
      <c r="CY234" s="2"/>
      <c r="CZ234" s="2"/>
    </row>
    <row r="235" spans="43:104" ht="15" hidden="1" customHeight="1" x14ac:dyDescent="0.2">
      <c r="AQ235" s="12"/>
      <c r="AR235" s="12">
        <v>1445000</v>
      </c>
      <c r="AS235" s="12">
        <v>1700000</v>
      </c>
      <c r="AT235" s="2"/>
      <c r="AU235" s="2"/>
      <c r="AV235" s="2"/>
      <c r="AW235" s="2"/>
      <c r="AX235" s="2"/>
      <c r="AY235" s="2"/>
      <c r="AZ235" s="2"/>
      <c r="BA235" s="2"/>
      <c r="BB235" s="2"/>
      <c r="BC235" s="2"/>
      <c r="BD235" s="2"/>
      <c r="BE235" s="2"/>
      <c r="BK235" s="2"/>
      <c r="BM235" s="2"/>
      <c r="BN235" s="2"/>
      <c r="BO235" s="2"/>
      <c r="BS235" s="11"/>
      <c r="BT235" s="2"/>
      <c r="BU235" s="3"/>
      <c r="BV235" s="3"/>
      <c r="BW235" s="2"/>
      <c r="BX235" s="2"/>
      <c r="BY235" s="2"/>
      <c r="BZ235" s="2"/>
      <c r="CA235" s="46"/>
      <c r="CB235" s="1"/>
      <c r="CC235" s="7"/>
      <c r="CD235" s="1"/>
      <c r="CE235" s="1"/>
      <c r="CF235" s="1"/>
      <c r="CG235" s="1"/>
      <c r="CH235" s="1"/>
      <c r="CI235" s="2"/>
      <c r="CJ235" s="2"/>
      <c r="CK235" s="2"/>
      <c r="CL235" s="2"/>
      <c r="CM235" s="2"/>
      <c r="CN235" s="2"/>
      <c r="CO235" s="2"/>
      <c r="CP235" s="2"/>
      <c r="CQ235" s="2"/>
      <c r="CR235" s="2"/>
      <c r="CS235" s="2"/>
      <c r="CT235" s="2"/>
      <c r="CU235" s="2"/>
      <c r="CV235" s="2"/>
      <c r="CW235" s="2"/>
      <c r="CX235" s="2"/>
      <c r="CY235" s="2"/>
      <c r="CZ235" s="2"/>
    </row>
    <row r="236" spans="43:104" ht="15" hidden="1" customHeight="1" x14ac:dyDescent="0.2">
      <c r="AQ236" s="12"/>
      <c r="AR236" s="12">
        <v>1450000</v>
      </c>
      <c r="AS236" s="12">
        <v>1710000</v>
      </c>
      <c r="AT236" s="2"/>
      <c r="AU236" s="2"/>
      <c r="AV236" s="2"/>
      <c r="AW236" s="2"/>
      <c r="AX236" s="2"/>
      <c r="AY236" s="2"/>
      <c r="AZ236" s="2"/>
      <c r="BA236" s="2"/>
      <c r="BB236" s="2"/>
      <c r="BC236" s="2"/>
      <c r="BD236" s="2"/>
      <c r="BE236" s="2"/>
      <c r="BK236" s="2"/>
      <c r="BM236" s="2"/>
      <c r="BN236" s="2"/>
      <c r="BO236" s="2"/>
      <c r="BS236" s="11"/>
      <c r="BT236" s="2"/>
      <c r="BU236" s="3"/>
      <c r="BV236" s="3"/>
      <c r="BW236" s="2"/>
      <c r="BX236" s="2"/>
      <c r="BY236" s="2"/>
      <c r="BZ236" s="2"/>
      <c r="CA236" s="2"/>
      <c r="CB236" s="2"/>
      <c r="CC236" s="2"/>
      <c r="CD236" s="1"/>
      <c r="CE236" s="1"/>
      <c r="CF236" s="1"/>
      <c r="CG236" s="1"/>
      <c r="CH236" s="1"/>
      <c r="CI236" s="2"/>
      <c r="CJ236" s="2"/>
      <c r="CK236" s="2"/>
      <c r="CL236" s="2"/>
      <c r="CM236" s="2"/>
      <c r="CN236" s="2"/>
      <c r="CO236" s="2"/>
      <c r="CP236" s="2"/>
      <c r="CQ236" s="2"/>
      <c r="CR236" s="2"/>
      <c r="CS236" s="2"/>
      <c r="CT236" s="2"/>
      <c r="CU236" s="2"/>
      <c r="CV236" s="2"/>
      <c r="CW236" s="2"/>
      <c r="CX236" s="2"/>
      <c r="CY236" s="2"/>
      <c r="CZ236" s="2"/>
    </row>
    <row r="237" spans="43:104" ht="15" hidden="1" customHeight="1" x14ac:dyDescent="0.2">
      <c r="AQ237" s="13"/>
      <c r="AR237" s="12">
        <v>1455000</v>
      </c>
      <c r="AS237" s="12">
        <v>1720000</v>
      </c>
      <c r="AT237" s="2"/>
      <c r="AU237" s="2"/>
      <c r="AV237" s="2"/>
      <c r="AW237" s="2"/>
      <c r="AX237" s="2"/>
      <c r="AY237" s="2"/>
      <c r="AZ237" s="2"/>
      <c r="BA237" s="2"/>
      <c r="BB237" s="2"/>
      <c r="BC237" s="2"/>
      <c r="BD237" s="2"/>
      <c r="BE237" s="2"/>
      <c r="BK237" s="2"/>
      <c r="BM237" s="2"/>
      <c r="BN237" s="2"/>
      <c r="BO237" s="2"/>
      <c r="BS237" s="11"/>
      <c r="BT237" s="2"/>
      <c r="BU237" s="3"/>
      <c r="BV237" s="3"/>
      <c r="BW237" s="2"/>
      <c r="BX237" s="2"/>
      <c r="BY237" s="2"/>
      <c r="BZ237" s="2"/>
      <c r="CA237" s="2"/>
      <c r="CB237" s="2"/>
      <c r="CC237" s="2"/>
      <c r="CD237" s="1"/>
      <c r="CE237" s="1"/>
      <c r="CF237" s="1"/>
      <c r="CG237" s="1"/>
      <c r="CH237" s="1"/>
      <c r="CI237" s="2"/>
      <c r="CJ237" s="2"/>
      <c r="CK237" s="2"/>
      <c r="CL237" s="2"/>
      <c r="CM237" s="2"/>
      <c r="CN237" s="2"/>
      <c r="CO237" s="2"/>
      <c r="CP237" s="2"/>
      <c r="CQ237" s="2"/>
      <c r="CR237" s="2"/>
      <c r="CS237" s="2"/>
      <c r="CT237" s="2"/>
      <c r="CU237" s="2"/>
      <c r="CV237" s="2"/>
      <c r="CW237" s="2"/>
      <c r="CX237" s="2"/>
      <c r="CY237" s="2"/>
      <c r="CZ237" s="2"/>
    </row>
    <row r="238" spans="43:104" ht="15" hidden="1" customHeight="1" x14ac:dyDescent="0.2">
      <c r="AQ238" s="13"/>
      <c r="AR238" s="12">
        <v>1460000</v>
      </c>
      <c r="AS238" s="12">
        <v>1730000</v>
      </c>
      <c r="AT238" s="2"/>
      <c r="AU238" s="2"/>
      <c r="AV238" s="2"/>
      <c r="AW238" s="2"/>
      <c r="AX238" s="2"/>
      <c r="AY238" s="2"/>
      <c r="AZ238" s="2"/>
      <c r="BA238" s="2"/>
      <c r="BB238" s="2"/>
      <c r="BC238" s="2"/>
      <c r="BD238" s="2"/>
      <c r="BE238" s="2"/>
      <c r="BK238" s="2"/>
      <c r="BM238" s="2"/>
      <c r="BN238" s="2"/>
      <c r="BO238" s="2"/>
      <c r="BS238" s="11"/>
      <c r="BT238" s="2"/>
      <c r="BU238" s="3"/>
      <c r="BV238" s="3"/>
      <c r="BW238" s="2"/>
      <c r="BX238" s="2"/>
      <c r="BY238" s="2"/>
      <c r="BZ238" s="2"/>
      <c r="CA238" s="2"/>
      <c r="CB238" s="2"/>
      <c r="CC238" s="2"/>
      <c r="CD238" s="1"/>
      <c r="CE238" s="1"/>
      <c r="CF238" s="1"/>
      <c r="CG238" s="1"/>
      <c r="CH238" s="1"/>
      <c r="CI238" s="2"/>
      <c r="CJ238" s="2"/>
      <c r="CK238" s="2"/>
      <c r="CL238" s="2"/>
      <c r="CM238" s="2"/>
      <c r="CN238" s="2"/>
      <c r="CO238" s="2"/>
      <c r="CP238" s="2"/>
      <c r="CQ238" s="2"/>
      <c r="CR238" s="2"/>
      <c r="CS238" s="2"/>
      <c r="CT238" s="2"/>
      <c r="CU238" s="2"/>
      <c r="CV238" s="2"/>
      <c r="CW238" s="2"/>
      <c r="CX238" s="2"/>
      <c r="CY238" s="2"/>
      <c r="CZ238" s="2"/>
    </row>
    <row r="239" spans="43:104" ht="15" hidden="1" customHeight="1" x14ac:dyDescent="0.2">
      <c r="AQ239" s="85"/>
      <c r="AR239" s="12">
        <v>1465000</v>
      </c>
      <c r="AS239" s="12">
        <v>1740000</v>
      </c>
      <c r="AT239" s="2"/>
      <c r="AU239" s="2"/>
      <c r="AV239" s="2"/>
      <c r="AW239" s="2"/>
      <c r="AX239" s="2"/>
      <c r="AY239" s="2"/>
      <c r="AZ239" s="2"/>
      <c r="BA239" s="2"/>
      <c r="BB239" s="2"/>
      <c r="BC239" s="2"/>
      <c r="BD239" s="2"/>
      <c r="BE239" s="2"/>
      <c r="BK239" s="2"/>
      <c r="BM239" s="2"/>
      <c r="BN239" s="2"/>
      <c r="BO239" s="2"/>
      <c r="BS239" s="11"/>
      <c r="BT239" s="2"/>
      <c r="BU239" s="3"/>
      <c r="BV239" s="3"/>
      <c r="BW239" s="2"/>
      <c r="BX239" s="2"/>
      <c r="BY239" s="2"/>
      <c r="BZ239" s="2"/>
      <c r="CA239" s="2"/>
      <c r="CB239" s="2"/>
      <c r="CC239" s="2"/>
      <c r="CD239" s="1"/>
      <c r="CE239" s="1"/>
      <c r="CF239" s="1"/>
      <c r="CG239" s="1"/>
      <c r="CH239" s="1"/>
      <c r="CI239" s="2"/>
      <c r="CJ239" s="2"/>
      <c r="CK239" s="2"/>
      <c r="CL239" s="2"/>
      <c r="CM239" s="2"/>
      <c r="CN239" s="2"/>
      <c r="CO239" s="2"/>
      <c r="CP239" s="2"/>
      <c r="CQ239" s="2"/>
      <c r="CR239" s="2"/>
      <c r="CS239" s="2"/>
      <c r="CT239" s="2"/>
      <c r="CU239" s="2"/>
      <c r="CV239" s="2"/>
      <c r="CW239" s="2"/>
      <c r="CX239" s="2"/>
      <c r="CY239" s="2"/>
      <c r="CZ239" s="2"/>
    </row>
    <row r="240" spans="43:104" ht="15" hidden="1" customHeight="1" x14ac:dyDescent="0.2">
      <c r="AQ240" s="12"/>
      <c r="AR240" s="12">
        <v>1470000</v>
      </c>
      <c r="AS240" s="12">
        <v>1750000</v>
      </c>
      <c r="AT240" s="2"/>
      <c r="AU240" s="2"/>
      <c r="AV240" s="2"/>
      <c r="AW240" s="2"/>
      <c r="AX240" s="2"/>
      <c r="AY240" s="2"/>
      <c r="AZ240" s="2"/>
      <c r="BA240" s="2"/>
      <c r="BB240" s="2"/>
      <c r="BC240" s="2"/>
      <c r="BD240" s="2"/>
      <c r="BE240" s="2"/>
      <c r="BK240" s="2"/>
      <c r="BM240" s="2"/>
      <c r="BN240" s="2"/>
      <c r="BO240" s="2"/>
      <c r="BS240" s="11"/>
      <c r="BT240" s="2"/>
      <c r="BU240" s="3"/>
      <c r="BV240" s="3"/>
      <c r="BW240" s="2"/>
      <c r="BX240" s="2"/>
      <c r="BY240" s="2"/>
      <c r="BZ240" s="2"/>
      <c r="CA240" s="2"/>
      <c r="CB240" s="2"/>
      <c r="CC240" s="2"/>
      <c r="CD240" s="1"/>
      <c r="CE240" s="1"/>
      <c r="CF240" s="1"/>
      <c r="CG240" s="1"/>
      <c r="CH240" s="1"/>
      <c r="CI240" s="2"/>
      <c r="CJ240" s="2"/>
      <c r="CK240" s="2"/>
      <c r="CL240" s="2"/>
      <c r="CM240" s="2"/>
      <c r="CN240" s="2"/>
      <c r="CO240" s="2"/>
      <c r="CP240" s="2"/>
      <c r="CQ240" s="2"/>
      <c r="CR240" s="2"/>
      <c r="CS240" s="2"/>
      <c r="CT240" s="2"/>
      <c r="CU240" s="2"/>
      <c r="CV240" s="2"/>
      <c r="CW240" s="2"/>
      <c r="CX240" s="2"/>
      <c r="CY240" s="2"/>
      <c r="CZ240" s="2"/>
    </row>
    <row r="241" spans="43:104" ht="15" hidden="1" customHeight="1" x14ac:dyDescent="0.2">
      <c r="AQ241" s="12"/>
      <c r="AR241" s="12">
        <v>1475000</v>
      </c>
      <c r="AS241" s="12">
        <v>1760000</v>
      </c>
      <c r="AT241" s="2"/>
      <c r="AU241" s="2"/>
      <c r="AV241" s="2"/>
      <c r="AW241" s="2"/>
      <c r="AX241" s="2"/>
      <c r="AY241" s="2"/>
      <c r="AZ241" s="2"/>
      <c r="BA241" s="2"/>
      <c r="BB241" s="2"/>
      <c r="BC241" s="2"/>
      <c r="BD241" s="2"/>
      <c r="BE241" s="2"/>
      <c r="BK241" s="2"/>
      <c r="BM241" s="2"/>
      <c r="BN241" s="2"/>
      <c r="BO241" s="2"/>
      <c r="BS241" s="11"/>
      <c r="BT241" s="2"/>
      <c r="BU241" s="3"/>
      <c r="BV241" s="3"/>
      <c r="BW241" s="2"/>
      <c r="BX241" s="2"/>
      <c r="BY241" s="2"/>
      <c r="BZ241" s="2"/>
      <c r="CA241" s="46"/>
      <c r="CB241" s="1"/>
      <c r="CC241" s="1"/>
      <c r="CD241" s="1"/>
      <c r="CE241" s="1"/>
      <c r="CF241" s="1"/>
      <c r="CG241" s="1"/>
      <c r="CH241" s="1"/>
      <c r="CI241" s="2"/>
      <c r="CJ241" s="2"/>
      <c r="CK241" s="2"/>
      <c r="CL241" s="2"/>
      <c r="CM241" s="2"/>
      <c r="CN241" s="2"/>
      <c r="CO241" s="2"/>
      <c r="CP241" s="2"/>
      <c r="CQ241" s="2"/>
      <c r="CR241" s="2"/>
      <c r="CS241" s="2"/>
      <c r="CT241" s="2"/>
      <c r="CU241" s="2"/>
      <c r="CV241" s="2"/>
      <c r="CW241" s="2"/>
      <c r="CX241" s="2"/>
      <c r="CY241" s="2"/>
      <c r="CZ241" s="2"/>
    </row>
    <row r="242" spans="43:104" ht="15" hidden="1" customHeight="1" x14ac:dyDescent="0.2">
      <c r="AQ242" s="13"/>
      <c r="AR242" s="12">
        <v>1480000</v>
      </c>
      <c r="AS242" s="12">
        <v>1770000</v>
      </c>
      <c r="AT242" s="2"/>
      <c r="AU242" s="2"/>
      <c r="AV242" s="2"/>
      <c r="AW242" s="2"/>
      <c r="AX242" s="2"/>
      <c r="AY242" s="2"/>
      <c r="AZ242" s="2"/>
      <c r="BA242" s="2"/>
      <c r="BB242" s="2"/>
      <c r="BC242" s="2"/>
      <c r="BD242" s="2"/>
      <c r="BE242" s="2"/>
      <c r="BK242" s="2"/>
      <c r="BM242" s="2"/>
      <c r="BN242" s="2"/>
      <c r="BO242" s="2"/>
      <c r="BS242" s="11"/>
      <c r="BT242" s="2"/>
      <c r="BU242" s="3"/>
      <c r="BV242" s="3"/>
      <c r="BW242" s="2"/>
      <c r="BX242" s="2"/>
      <c r="BY242" s="2"/>
      <c r="BZ242" s="2"/>
      <c r="CA242" s="46"/>
      <c r="CB242" s="1"/>
      <c r="CC242" s="1"/>
      <c r="CD242" s="1"/>
      <c r="CE242" s="1"/>
      <c r="CF242" s="1"/>
      <c r="CG242" s="1"/>
      <c r="CH242" s="1"/>
      <c r="CI242" s="2"/>
      <c r="CJ242" s="2"/>
      <c r="CK242" s="2"/>
      <c r="CL242" s="2"/>
      <c r="CM242" s="2"/>
      <c r="CN242" s="2"/>
      <c r="CO242" s="2"/>
      <c r="CP242" s="2"/>
      <c r="CQ242" s="2"/>
      <c r="CR242" s="2"/>
      <c r="CS242" s="2"/>
      <c r="CT242" s="2"/>
      <c r="CU242" s="2"/>
      <c r="CV242" s="2"/>
      <c r="CW242" s="2"/>
      <c r="CX242" s="2"/>
      <c r="CY242" s="2"/>
      <c r="CZ242" s="2"/>
    </row>
    <row r="243" spans="43:104" ht="15" hidden="1" customHeight="1" x14ac:dyDescent="0.2">
      <c r="AQ243" s="13"/>
      <c r="AR243" s="12">
        <v>1485000</v>
      </c>
      <c r="AS243" s="12">
        <v>1780000</v>
      </c>
      <c r="AT243" s="2"/>
      <c r="AU243" s="2"/>
      <c r="AV243" s="2"/>
      <c r="AW243" s="2"/>
      <c r="AX243" s="2"/>
      <c r="AY243" s="2"/>
      <c r="AZ243" s="2"/>
      <c r="BA243" s="2"/>
      <c r="BB243" s="2"/>
      <c r="BC243" s="2"/>
      <c r="BD243" s="2"/>
      <c r="BE243" s="2"/>
      <c r="BK243" s="2"/>
      <c r="BM243" s="2"/>
      <c r="BN243" s="2"/>
      <c r="BO243" s="2"/>
      <c r="BS243" s="11"/>
      <c r="BT243" s="2"/>
      <c r="BU243" s="3"/>
      <c r="BV243" s="3"/>
      <c r="BW243" s="2"/>
      <c r="BX243" s="2"/>
      <c r="BY243" s="2"/>
      <c r="BZ243" s="2"/>
      <c r="CA243" s="46"/>
      <c r="CB243" s="1"/>
      <c r="CC243" s="1"/>
      <c r="CD243" s="1"/>
      <c r="CE243" s="1"/>
      <c r="CF243" s="1"/>
      <c r="CG243" s="1"/>
      <c r="CH243" s="1"/>
      <c r="CI243" s="2"/>
      <c r="CJ243" s="2"/>
      <c r="CK243" s="2"/>
      <c r="CL243" s="2"/>
      <c r="CM243" s="2"/>
      <c r="CN243" s="2"/>
      <c r="CO243" s="2"/>
      <c r="CP243" s="2"/>
      <c r="CQ243" s="2"/>
      <c r="CR243" s="2"/>
      <c r="CS243" s="2"/>
      <c r="CT243" s="2"/>
      <c r="CU243" s="2"/>
      <c r="CV243" s="2"/>
      <c r="CW243" s="2"/>
      <c r="CX243" s="2"/>
      <c r="CY243" s="2"/>
      <c r="CZ243" s="2"/>
    </row>
    <row r="244" spans="43:104" ht="15" hidden="1" customHeight="1" x14ac:dyDescent="0.2">
      <c r="AQ244" s="85"/>
      <c r="AR244" s="12">
        <v>1490000</v>
      </c>
      <c r="AS244" s="12">
        <v>1790000</v>
      </c>
      <c r="AT244" s="2"/>
      <c r="AU244" s="2"/>
      <c r="AV244" s="2"/>
      <c r="AW244" s="2"/>
      <c r="AX244" s="2"/>
      <c r="AY244" s="2"/>
      <c r="AZ244" s="2"/>
      <c r="BA244" s="2"/>
      <c r="BB244" s="2"/>
      <c r="BC244" s="2"/>
      <c r="BD244" s="2"/>
      <c r="BE244" s="2"/>
      <c r="BK244" s="2"/>
      <c r="BM244" s="2"/>
      <c r="BN244" s="2"/>
      <c r="BO244" s="2"/>
      <c r="BS244" s="11"/>
      <c r="BT244" s="2"/>
      <c r="BU244" s="3"/>
      <c r="BV244" s="3"/>
      <c r="BW244" s="2"/>
      <c r="BX244" s="2"/>
      <c r="BY244" s="2"/>
      <c r="BZ244" s="2"/>
      <c r="CA244" s="46"/>
      <c r="CB244" s="1"/>
      <c r="CC244" s="1"/>
      <c r="CD244" s="1"/>
      <c r="CE244" s="1"/>
      <c r="CF244" s="1"/>
      <c r="CG244" s="1"/>
      <c r="CH244" s="1"/>
      <c r="CI244" s="2"/>
      <c r="CJ244" s="2"/>
      <c r="CK244" s="2"/>
      <c r="CL244" s="2"/>
      <c r="CM244" s="2"/>
      <c r="CN244" s="2"/>
      <c r="CO244" s="2"/>
      <c r="CP244" s="2"/>
      <c r="CQ244" s="2"/>
      <c r="CR244" s="2"/>
      <c r="CS244" s="2"/>
      <c r="CT244" s="2"/>
      <c r="CU244" s="2"/>
      <c r="CV244" s="2"/>
      <c r="CW244" s="2"/>
      <c r="CX244" s="2"/>
      <c r="CY244" s="2"/>
      <c r="CZ244" s="2"/>
    </row>
    <row r="245" spans="43:104" ht="15" hidden="1" customHeight="1" x14ac:dyDescent="0.2">
      <c r="AQ245" s="12"/>
      <c r="AR245" s="12">
        <v>1495000</v>
      </c>
      <c r="AS245" s="12">
        <v>1800000</v>
      </c>
      <c r="AT245" s="2"/>
      <c r="AU245" s="2"/>
      <c r="AV245" s="2"/>
      <c r="AW245" s="2"/>
      <c r="AX245" s="2"/>
      <c r="AY245" s="2"/>
      <c r="AZ245" s="2"/>
      <c r="BA245" s="2"/>
      <c r="BB245" s="2"/>
      <c r="BC245" s="2"/>
      <c r="BD245" s="2"/>
      <c r="BE245" s="2"/>
      <c r="BK245" s="2"/>
      <c r="BM245" s="2"/>
      <c r="BN245" s="2"/>
      <c r="BO245" s="2"/>
      <c r="BS245" s="11"/>
      <c r="BT245" s="2"/>
      <c r="BU245" s="3"/>
      <c r="BV245" s="3"/>
      <c r="BW245" s="2"/>
      <c r="BX245" s="2"/>
      <c r="BY245" s="2"/>
      <c r="BZ245" s="2"/>
      <c r="CA245" s="46"/>
      <c r="CB245" s="1"/>
      <c r="CC245" s="1"/>
      <c r="CD245" s="1"/>
      <c r="CE245" s="1"/>
      <c r="CF245" s="1"/>
      <c r="CG245" s="1"/>
      <c r="CH245" s="1"/>
      <c r="CI245" s="2"/>
      <c r="CJ245" s="2"/>
      <c r="CK245" s="2"/>
      <c r="CL245" s="2"/>
      <c r="CM245" s="2"/>
      <c r="CN245" s="2"/>
      <c r="CO245" s="2"/>
      <c r="CP245" s="2"/>
      <c r="CQ245" s="2"/>
      <c r="CR245" s="2"/>
      <c r="CS245" s="2"/>
      <c r="CT245" s="2"/>
      <c r="CU245" s="2"/>
      <c r="CV245" s="2"/>
      <c r="CW245" s="2"/>
      <c r="CX245" s="2"/>
      <c r="CY245" s="2"/>
      <c r="CZ245" s="2"/>
    </row>
    <row r="246" spans="43:104" ht="15" hidden="1" customHeight="1" x14ac:dyDescent="0.2">
      <c r="AQ246" s="12"/>
      <c r="AR246" s="12">
        <v>1500000</v>
      </c>
      <c r="AS246" s="12">
        <v>1810000</v>
      </c>
      <c r="AT246" s="2"/>
      <c r="AU246" s="2"/>
      <c r="AV246" s="2"/>
      <c r="AW246" s="2"/>
      <c r="AX246" s="2"/>
      <c r="AY246" s="2"/>
      <c r="AZ246" s="2"/>
      <c r="BA246" s="2"/>
      <c r="BB246" s="2"/>
      <c r="BC246" s="2"/>
      <c r="BD246" s="2"/>
      <c r="BE246" s="2"/>
      <c r="BK246" s="2"/>
      <c r="BM246" s="2"/>
      <c r="BN246" s="2"/>
      <c r="BO246" s="2"/>
      <c r="BS246" s="11"/>
      <c r="BT246" s="2"/>
      <c r="BU246" s="3"/>
      <c r="BV246" s="3"/>
      <c r="BW246" s="2"/>
      <c r="BX246" s="2"/>
      <c r="BY246" s="2"/>
      <c r="BZ246" s="2"/>
      <c r="CA246" s="46"/>
      <c r="CB246" s="1"/>
      <c r="CC246" s="1"/>
      <c r="CD246" s="1"/>
      <c r="CE246" s="1"/>
      <c r="CF246" s="1"/>
      <c r="CG246" s="1"/>
      <c r="CH246" s="1"/>
      <c r="CI246" s="2"/>
      <c r="CJ246" s="2"/>
      <c r="CK246" s="2"/>
      <c r="CL246" s="2"/>
      <c r="CM246" s="2"/>
      <c r="CN246" s="2"/>
      <c r="CO246" s="2"/>
      <c r="CP246" s="2"/>
      <c r="CQ246" s="2"/>
      <c r="CR246" s="2"/>
      <c r="CS246" s="2"/>
      <c r="CT246" s="2"/>
      <c r="CU246" s="2"/>
      <c r="CV246" s="2"/>
      <c r="CW246" s="2"/>
      <c r="CX246" s="2"/>
      <c r="CY246" s="2"/>
      <c r="CZ246" s="2"/>
    </row>
    <row r="247" spans="43:104" ht="15" hidden="1" customHeight="1" x14ac:dyDescent="0.2">
      <c r="AQ247" s="13"/>
      <c r="AR247" s="12">
        <v>1505000</v>
      </c>
      <c r="AS247" s="12">
        <v>1820000</v>
      </c>
      <c r="AT247" s="2"/>
      <c r="AU247" s="2"/>
      <c r="AV247" s="2"/>
      <c r="AW247" s="2"/>
      <c r="AX247" s="2"/>
      <c r="AY247" s="2"/>
      <c r="AZ247" s="2"/>
      <c r="BA247" s="2"/>
      <c r="BB247" s="2"/>
      <c r="BC247" s="2"/>
      <c r="BD247" s="2"/>
      <c r="BE247" s="2"/>
      <c r="BK247" s="2"/>
      <c r="BM247" s="2"/>
      <c r="BN247" s="2"/>
      <c r="BO247" s="2"/>
      <c r="BS247" s="11"/>
      <c r="BT247" s="2"/>
      <c r="BU247" s="3"/>
      <c r="BV247" s="3"/>
      <c r="BW247" s="2"/>
      <c r="BX247" s="2"/>
      <c r="BY247" s="2"/>
      <c r="BZ247" s="2"/>
      <c r="CA247" s="46"/>
      <c r="CB247" s="1"/>
      <c r="CC247" s="1"/>
      <c r="CD247" s="1"/>
      <c r="CE247" s="1"/>
      <c r="CF247" s="1"/>
      <c r="CG247" s="1"/>
      <c r="CH247" s="1"/>
      <c r="CI247" s="2"/>
      <c r="CJ247" s="2"/>
      <c r="CK247" s="2"/>
      <c r="CL247" s="2"/>
      <c r="CM247" s="2"/>
      <c r="CN247" s="2"/>
      <c r="CO247" s="2"/>
      <c r="CP247" s="2"/>
      <c r="CQ247" s="2"/>
      <c r="CR247" s="2"/>
      <c r="CS247" s="2"/>
      <c r="CT247" s="2"/>
      <c r="CU247" s="2"/>
      <c r="CV247" s="2"/>
      <c r="CW247" s="2"/>
      <c r="CX247" s="2"/>
      <c r="CY247" s="2"/>
      <c r="CZ247" s="2"/>
    </row>
    <row r="248" spans="43:104" ht="15" hidden="1" customHeight="1" x14ac:dyDescent="0.2">
      <c r="AQ248" s="13"/>
      <c r="AR248" s="12">
        <v>1510000</v>
      </c>
      <c r="AS248" s="12">
        <v>1830000</v>
      </c>
      <c r="AT248" s="2"/>
      <c r="AU248" s="2"/>
      <c r="AV248" s="2"/>
      <c r="AW248" s="2"/>
      <c r="AX248" s="2"/>
      <c r="AY248" s="2"/>
      <c r="AZ248" s="2"/>
      <c r="BA248" s="2"/>
      <c r="BB248" s="2"/>
      <c r="BC248" s="2"/>
      <c r="BD248" s="2"/>
      <c r="BE248" s="2"/>
      <c r="BK248" s="2"/>
      <c r="BM248" s="2"/>
      <c r="BN248" s="2"/>
      <c r="BO248" s="2"/>
      <c r="BS248" s="11"/>
      <c r="BT248" s="2"/>
      <c r="BU248" s="3"/>
      <c r="BV248" s="3"/>
      <c r="BW248" s="2"/>
      <c r="BX248" s="2"/>
      <c r="BY248" s="2"/>
      <c r="BZ248" s="2"/>
      <c r="CA248" s="46"/>
      <c r="CB248" s="1"/>
      <c r="CC248" s="1"/>
      <c r="CD248" s="1"/>
      <c r="CE248" s="1"/>
      <c r="CF248" s="1"/>
      <c r="CG248" s="1"/>
      <c r="CH248" s="1"/>
      <c r="CI248" s="2"/>
      <c r="CJ248" s="2"/>
      <c r="CK248" s="2"/>
      <c r="CL248" s="2"/>
      <c r="CM248" s="2"/>
      <c r="CN248" s="2"/>
      <c r="CO248" s="2"/>
      <c r="CP248" s="2"/>
      <c r="CQ248" s="2"/>
      <c r="CR248" s="2"/>
      <c r="CS248" s="2"/>
      <c r="CT248" s="2"/>
      <c r="CU248" s="2"/>
      <c r="CV248" s="2"/>
      <c r="CW248" s="2"/>
      <c r="CX248" s="2"/>
      <c r="CY248" s="2"/>
      <c r="CZ248" s="2"/>
    </row>
    <row r="249" spans="43:104" ht="15" hidden="1" customHeight="1" x14ac:dyDescent="0.2">
      <c r="AQ249" s="85"/>
      <c r="AR249" s="12">
        <v>1515000</v>
      </c>
      <c r="AS249" s="12">
        <v>1840000</v>
      </c>
      <c r="AT249" s="2"/>
      <c r="AU249" s="2"/>
      <c r="AV249" s="2"/>
      <c r="AW249" s="2"/>
      <c r="AX249" s="2"/>
      <c r="AY249" s="2"/>
      <c r="AZ249" s="2"/>
      <c r="BA249" s="2"/>
      <c r="BB249" s="2"/>
      <c r="BC249" s="2"/>
      <c r="BD249" s="2"/>
      <c r="BE249" s="2"/>
      <c r="BK249" s="2"/>
      <c r="BM249" s="2"/>
      <c r="BN249" s="2"/>
      <c r="BO249" s="2"/>
      <c r="BS249" s="11"/>
      <c r="BT249" s="2"/>
      <c r="BU249" s="3"/>
      <c r="BV249" s="3"/>
      <c r="BW249" s="2"/>
      <c r="BX249" s="2"/>
      <c r="BY249" s="2"/>
      <c r="BZ249" s="2"/>
      <c r="CA249" s="46"/>
      <c r="CB249" s="1"/>
      <c r="CC249" s="1"/>
      <c r="CD249" s="1"/>
      <c r="CE249" s="1"/>
      <c r="CF249" s="1"/>
      <c r="CG249" s="1"/>
      <c r="CH249" s="1"/>
      <c r="CI249" s="2"/>
      <c r="CJ249" s="2"/>
      <c r="CK249" s="2"/>
      <c r="CL249" s="2"/>
      <c r="CM249" s="2"/>
      <c r="CN249" s="2"/>
      <c r="CO249" s="2"/>
      <c r="CP249" s="2"/>
      <c r="CQ249" s="2"/>
      <c r="CR249" s="2"/>
      <c r="CS249" s="2"/>
      <c r="CT249" s="2"/>
      <c r="CU249" s="2"/>
      <c r="CV249" s="2"/>
      <c r="CW249" s="2"/>
      <c r="CX249" s="2"/>
      <c r="CY249" s="2"/>
      <c r="CZ249" s="2"/>
    </row>
    <row r="250" spans="43:104" ht="15" hidden="1" customHeight="1" x14ac:dyDescent="0.2">
      <c r="AQ250" s="12"/>
      <c r="AR250" s="12">
        <v>1520000</v>
      </c>
      <c r="AS250" s="12">
        <v>1850000</v>
      </c>
      <c r="AT250" s="2"/>
      <c r="AU250" s="2"/>
      <c r="AV250" s="2"/>
      <c r="AW250" s="2"/>
      <c r="AX250" s="2"/>
      <c r="AY250" s="2"/>
      <c r="AZ250" s="2"/>
      <c r="BA250" s="2"/>
      <c r="BB250" s="2"/>
      <c r="BC250" s="2"/>
      <c r="BD250" s="2"/>
      <c r="BE250" s="2"/>
      <c r="BK250" s="2"/>
      <c r="BM250" s="2"/>
      <c r="BN250" s="2"/>
      <c r="BO250" s="2"/>
      <c r="BS250" s="11"/>
      <c r="BT250" s="2"/>
      <c r="BU250" s="3"/>
      <c r="BV250" s="3"/>
      <c r="BW250" s="2"/>
      <c r="BX250" s="2"/>
      <c r="BY250" s="2"/>
      <c r="BZ250" s="46"/>
      <c r="CA250" s="1"/>
      <c r="CB250" s="1"/>
      <c r="CC250" s="1"/>
      <c r="CD250" s="1"/>
      <c r="CE250" s="1"/>
      <c r="CF250" s="1"/>
      <c r="CG250" s="1"/>
      <c r="CH250" s="1"/>
      <c r="CI250" s="2"/>
      <c r="CJ250" s="2"/>
      <c r="CK250" s="2"/>
      <c r="CL250" s="2"/>
      <c r="CM250" s="2"/>
      <c r="CN250" s="2"/>
      <c r="CO250" s="2"/>
      <c r="CP250" s="2"/>
      <c r="CQ250" s="2"/>
      <c r="CR250" s="2"/>
      <c r="CS250" s="2"/>
      <c r="CT250" s="2"/>
      <c r="CU250" s="2"/>
      <c r="CV250" s="2"/>
      <c r="CW250" s="2"/>
      <c r="CX250" s="2"/>
      <c r="CY250" s="2"/>
      <c r="CZ250" s="2"/>
    </row>
    <row r="251" spans="43:104" ht="15" hidden="1" customHeight="1" x14ac:dyDescent="0.2">
      <c r="AQ251" s="12"/>
      <c r="AR251" s="12">
        <v>1525000</v>
      </c>
      <c r="AS251" s="12">
        <v>1860000</v>
      </c>
      <c r="AT251" s="2"/>
      <c r="AU251" s="2"/>
      <c r="AV251" s="2"/>
      <c r="AW251" s="2"/>
      <c r="AX251" s="2"/>
      <c r="AY251" s="2"/>
      <c r="AZ251" s="2"/>
      <c r="BA251" s="2"/>
      <c r="BB251" s="2"/>
      <c r="BC251" s="2"/>
      <c r="BD251" s="2"/>
      <c r="BE251" s="2"/>
      <c r="BK251" s="2"/>
      <c r="BM251" s="2"/>
      <c r="BN251" s="2"/>
      <c r="BO251" s="2"/>
      <c r="BS251" s="11"/>
      <c r="BT251" s="2"/>
      <c r="BU251" s="3"/>
      <c r="BV251" s="3"/>
      <c r="BW251" s="2"/>
      <c r="BX251" s="2"/>
      <c r="BY251" s="2"/>
      <c r="BZ251" s="2"/>
      <c r="CA251" s="2"/>
      <c r="CB251" s="2"/>
      <c r="CC251" s="2"/>
      <c r="CD251" s="1"/>
      <c r="CE251" s="1"/>
      <c r="CF251" s="1"/>
      <c r="CG251" s="1"/>
      <c r="CH251" s="1"/>
      <c r="CI251" s="2"/>
      <c r="CJ251" s="2"/>
      <c r="CK251" s="2"/>
      <c r="CL251" s="2"/>
      <c r="CM251" s="2"/>
      <c r="CN251" s="2"/>
      <c r="CO251" s="2"/>
      <c r="CP251" s="2"/>
      <c r="CQ251" s="2"/>
      <c r="CR251" s="2"/>
      <c r="CS251" s="2"/>
      <c r="CT251" s="2"/>
      <c r="CU251" s="2"/>
      <c r="CV251" s="2"/>
      <c r="CW251" s="2"/>
      <c r="CX251" s="2"/>
      <c r="CY251" s="2"/>
      <c r="CZ251" s="2"/>
    </row>
    <row r="252" spans="43:104" ht="15" hidden="1" customHeight="1" x14ac:dyDescent="0.2">
      <c r="AQ252" s="13"/>
      <c r="AR252" s="12">
        <v>1530000</v>
      </c>
      <c r="AS252" s="12">
        <v>1870000</v>
      </c>
      <c r="AT252" s="2"/>
      <c r="AU252" s="2"/>
      <c r="AV252" s="2"/>
      <c r="AW252" s="2"/>
      <c r="AX252" s="2"/>
      <c r="AY252" s="2"/>
      <c r="AZ252" s="2"/>
      <c r="BA252" s="2"/>
      <c r="BB252" s="2"/>
      <c r="BC252" s="2"/>
      <c r="BD252" s="2"/>
      <c r="BE252" s="2"/>
      <c r="BK252" s="2"/>
      <c r="BM252" s="2"/>
      <c r="BN252" s="2"/>
      <c r="BO252" s="2"/>
      <c r="BS252" s="11"/>
      <c r="BT252" s="2"/>
      <c r="BU252" s="3"/>
      <c r="BV252" s="3"/>
      <c r="BW252" s="2"/>
      <c r="BX252" s="2"/>
      <c r="BY252" s="2"/>
      <c r="BZ252" s="2"/>
      <c r="CA252" s="46"/>
      <c r="CB252" s="1"/>
      <c r="CC252" s="1"/>
      <c r="CD252" s="1"/>
      <c r="CE252" s="1"/>
      <c r="CF252" s="1"/>
      <c r="CG252" s="1"/>
      <c r="CH252" s="1"/>
      <c r="CI252" s="2"/>
      <c r="CJ252" s="2"/>
      <c r="CK252" s="2"/>
      <c r="CL252" s="2"/>
      <c r="CM252" s="2"/>
      <c r="CN252" s="2"/>
      <c r="CO252" s="2"/>
      <c r="CP252" s="2"/>
      <c r="CQ252" s="2"/>
      <c r="CR252" s="2"/>
      <c r="CS252" s="2"/>
      <c r="CT252" s="2"/>
      <c r="CU252" s="2"/>
      <c r="CV252" s="2"/>
      <c r="CW252" s="2"/>
      <c r="CX252" s="2"/>
      <c r="CY252" s="2"/>
      <c r="CZ252" s="2"/>
    </row>
    <row r="253" spans="43:104" ht="15" hidden="1" customHeight="1" x14ac:dyDescent="0.2">
      <c r="AQ253" s="13"/>
      <c r="AR253" s="12">
        <v>1535000</v>
      </c>
      <c r="AS253" s="12">
        <v>1880000</v>
      </c>
      <c r="AT253" s="2"/>
      <c r="AU253" s="2"/>
      <c r="AV253" s="2"/>
      <c r="AW253" s="2"/>
      <c r="AX253" s="2"/>
      <c r="AY253" s="2"/>
      <c r="AZ253" s="2"/>
      <c r="BA253" s="2"/>
      <c r="BB253" s="2"/>
      <c r="BC253" s="2"/>
      <c r="BD253" s="2"/>
      <c r="BE253" s="2"/>
      <c r="BK253" s="2"/>
      <c r="BM253" s="2"/>
      <c r="BN253" s="2"/>
      <c r="BO253" s="2"/>
      <c r="BS253" s="11"/>
      <c r="BT253" s="2"/>
      <c r="BU253" s="3"/>
      <c r="BV253" s="3"/>
      <c r="BW253" s="2"/>
      <c r="BX253" s="2"/>
      <c r="BY253" s="2"/>
      <c r="BZ253" s="2"/>
      <c r="CA253" s="46"/>
      <c r="CB253" s="1"/>
      <c r="CC253" s="1"/>
      <c r="CD253" s="1"/>
      <c r="CE253" s="1"/>
      <c r="CF253" s="1"/>
      <c r="CG253" s="1"/>
      <c r="CH253" s="1"/>
      <c r="CI253" s="2"/>
      <c r="CJ253" s="2"/>
      <c r="CK253" s="2"/>
      <c r="CL253" s="2"/>
      <c r="CM253" s="2"/>
      <c r="CN253" s="2"/>
      <c r="CO253" s="2"/>
      <c r="CP253" s="2"/>
      <c r="CQ253" s="2"/>
      <c r="CR253" s="2"/>
      <c r="CS253" s="2"/>
      <c r="CT253" s="2"/>
      <c r="CU253" s="2"/>
      <c r="CV253" s="2"/>
      <c r="CW253" s="2"/>
      <c r="CX253" s="2"/>
      <c r="CY253" s="2"/>
      <c r="CZ253" s="2"/>
    </row>
    <row r="254" spans="43:104" ht="15" hidden="1" customHeight="1" x14ac:dyDescent="0.2">
      <c r="AQ254" s="85"/>
      <c r="AR254" s="12">
        <v>1540000</v>
      </c>
      <c r="AS254" s="12">
        <v>1890000</v>
      </c>
      <c r="AT254" s="2"/>
      <c r="AU254" s="2"/>
      <c r="AV254" s="2"/>
      <c r="AW254" s="2"/>
      <c r="AX254" s="2"/>
      <c r="AY254" s="2"/>
      <c r="AZ254" s="2"/>
      <c r="BA254" s="2"/>
      <c r="BB254" s="2"/>
      <c r="BC254" s="2"/>
      <c r="BD254" s="2"/>
      <c r="BE254" s="2"/>
      <c r="BK254" s="2"/>
      <c r="BM254" s="2"/>
      <c r="BN254" s="2"/>
      <c r="BO254" s="2"/>
      <c r="BS254" s="11"/>
      <c r="BT254" s="2"/>
      <c r="BU254" s="3"/>
      <c r="BV254" s="3"/>
      <c r="BW254" s="2"/>
      <c r="BX254" s="2"/>
      <c r="BY254" s="2"/>
      <c r="BZ254" s="2"/>
      <c r="CA254" s="46"/>
      <c r="CB254" s="1"/>
      <c r="CC254" s="1"/>
      <c r="CD254" s="1"/>
      <c r="CE254" s="1"/>
      <c r="CF254" s="1"/>
      <c r="CG254" s="1"/>
      <c r="CH254" s="1"/>
      <c r="CI254" s="2"/>
      <c r="CJ254" s="2"/>
      <c r="CK254" s="2"/>
      <c r="CL254" s="2"/>
      <c r="CM254" s="2"/>
      <c r="CN254" s="2"/>
      <c r="CO254" s="2"/>
      <c r="CP254" s="2"/>
      <c r="CQ254" s="2"/>
      <c r="CR254" s="2"/>
      <c r="CS254" s="2"/>
      <c r="CT254" s="2"/>
      <c r="CU254" s="2"/>
      <c r="CV254" s="2"/>
      <c r="CW254" s="2"/>
      <c r="CX254" s="2"/>
      <c r="CY254" s="2"/>
      <c r="CZ254" s="2"/>
    </row>
    <row r="255" spans="43:104" ht="15" hidden="1" customHeight="1" x14ac:dyDescent="0.2">
      <c r="AQ255" s="12"/>
      <c r="AR255" s="12">
        <v>1545000</v>
      </c>
      <c r="AS255" s="12">
        <v>1900000</v>
      </c>
      <c r="AT255" s="2"/>
      <c r="AU255" s="2"/>
      <c r="AV255" s="2"/>
      <c r="AW255" s="2"/>
      <c r="AX255" s="2"/>
      <c r="AY255" s="2"/>
      <c r="AZ255" s="2"/>
      <c r="BA255" s="2"/>
      <c r="BB255" s="2"/>
      <c r="BC255" s="2"/>
      <c r="BD255" s="2"/>
      <c r="BE255" s="2"/>
      <c r="BK255" s="2"/>
      <c r="BM255" s="2"/>
      <c r="BN255" s="2"/>
      <c r="BO255" s="2"/>
      <c r="BS255" s="11"/>
      <c r="BT255" s="2"/>
      <c r="BU255" s="3"/>
      <c r="BV255" s="3"/>
      <c r="BW255" s="2"/>
      <c r="BX255" s="2"/>
      <c r="BY255" s="2"/>
      <c r="BZ255" s="2"/>
      <c r="CA255" s="46"/>
      <c r="CB255" s="1"/>
      <c r="CC255" s="1"/>
      <c r="CD255" s="1"/>
      <c r="CE255" s="1"/>
      <c r="CF255" s="1"/>
      <c r="CG255" s="1"/>
      <c r="CH255" s="1"/>
      <c r="CI255" s="2"/>
      <c r="CJ255" s="2"/>
      <c r="CK255" s="2"/>
      <c r="CL255" s="2"/>
      <c r="CM255" s="2"/>
      <c r="CN255" s="2"/>
      <c r="CO255" s="2"/>
      <c r="CP255" s="2"/>
      <c r="CQ255" s="2"/>
      <c r="CR255" s="2"/>
      <c r="CS255" s="2"/>
      <c r="CT255" s="2"/>
      <c r="CU255" s="2"/>
      <c r="CV255" s="2"/>
      <c r="CW255" s="2"/>
      <c r="CX255" s="2"/>
      <c r="CY255" s="2"/>
      <c r="CZ255" s="2"/>
    </row>
    <row r="256" spans="43:104" ht="15" hidden="1" customHeight="1" x14ac:dyDescent="0.2">
      <c r="AQ256" s="12"/>
      <c r="AR256" s="12">
        <v>1550000</v>
      </c>
      <c r="AS256" s="12">
        <v>1910000</v>
      </c>
      <c r="AT256" s="2"/>
      <c r="AU256" s="2"/>
      <c r="AV256" s="2"/>
      <c r="AW256" s="2"/>
      <c r="AX256" s="2"/>
      <c r="AY256" s="2"/>
      <c r="AZ256" s="2"/>
      <c r="BA256" s="2"/>
      <c r="BB256" s="2"/>
      <c r="BC256" s="2"/>
      <c r="BD256" s="2"/>
      <c r="BE256" s="2"/>
      <c r="BK256" s="2"/>
      <c r="BM256" s="2"/>
      <c r="BN256" s="2"/>
      <c r="BO256" s="2"/>
      <c r="BS256" s="11"/>
      <c r="BT256" s="2"/>
      <c r="BU256" s="3"/>
      <c r="BV256" s="3"/>
      <c r="BW256" s="2"/>
      <c r="BX256" s="2"/>
      <c r="BY256" s="2"/>
      <c r="BZ256" s="2"/>
      <c r="CA256" s="46"/>
      <c r="CB256" s="1"/>
      <c r="CC256" s="1"/>
      <c r="CD256" s="1"/>
      <c r="CE256" s="1"/>
      <c r="CF256" s="1"/>
      <c r="CG256" s="1"/>
      <c r="CH256" s="1"/>
      <c r="CI256" s="2"/>
      <c r="CJ256" s="2"/>
      <c r="CK256" s="2"/>
      <c r="CL256" s="2"/>
      <c r="CM256" s="2"/>
      <c r="CN256" s="2"/>
      <c r="CO256" s="2"/>
      <c r="CP256" s="2"/>
      <c r="CQ256" s="2"/>
      <c r="CR256" s="2"/>
      <c r="CS256" s="2"/>
      <c r="CT256" s="2"/>
      <c r="CU256" s="2"/>
      <c r="CV256" s="2"/>
      <c r="CW256" s="2"/>
      <c r="CX256" s="2"/>
      <c r="CY256" s="2"/>
      <c r="CZ256" s="2"/>
    </row>
    <row r="257" spans="43:104" ht="15" hidden="1" customHeight="1" x14ac:dyDescent="0.2">
      <c r="AQ257" s="13"/>
      <c r="AR257" s="12">
        <v>1555000</v>
      </c>
      <c r="AS257" s="12">
        <v>1920000</v>
      </c>
      <c r="AT257" s="2"/>
      <c r="AU257" s="2"/>
      <c r="AV257" s="2"/>
      <c r="AW257" s="2"/>
      <c r="AX257" s="2"/>
      <c r="AY257" s="2"/>
      <c r="AZ257" s="2"/>
      <c r="BA257" s="2"/>
      <c r="BB257" s="2"/>
      <c r="BC257" s="2"/>
      <c r="BD257" s="2"/>
      <c r="BE257" s="2"/>
      <c r="BK257" s="2"/>
      <c r="BM257" s="2"/>
      <c r="BN257" s="2"/>
      <c r="BO257" s="2"/>
      <c r="BS257" s="11"/>
      <c r="BT257" s="2"/>
      <c r="BU257" s="3"/>
      <c r="BV257" s="3"/>
      <c r="BW257" s="2"/>
      <c r="BX257" s="2"/>
      <c r="BY257" s="2"/>
      <c r="BZ257" s="2"/>
      <c r="CA257" s="2"/>
      <c r="CB257" s="2"/>
      <c r="CC257" s="2"/>
      <c r="CD257" s="1"/>
      <c r="CE257" s="1"/>
      <c r="CF257" s="1"/>
      <c r="CG257" s="1"/>
      <c r="CH257" s="1"/>
      <c r="CI257" s="2"/>
      <c r="CJ257" s="2"/>
      <c r="CK257" s="2"/>
      <c r="CL257" s="2"/>
      <c r="CM257" s="2"/>
      <c r="CN257" s="2"/>
      <c r="CO257" s="2"/>
      <c r="CP257" s="2"/>
      <c r="CQ257" s="2"/>
      <c r="CR257" s="2"/>
      <c r="CS257" s="2"/>
      <c r="CT257" s="2"/>
      <c r="CU257" s="2"/>
      <c r="CV257" s="2"/>
      <c r="CW257" s="2"/>
      <c r="CX257" s="2"/>
      <c r="CY257" s="2"/>
      <c r="CZ257" s="2"/>
    </row>
    <row r="258" spans="43:104" ht="15" hidden="1" customHeight="1" x14ac:dyDescent="0.2">
      <c r="AQ258" s="13"/>
      <c r="AR258" s="12">
        <v>1560000</v>
      </c>
      <c r="AS258" s="12">
        <v>1930000</v>
      </c>
      <c r="AT258" s="2"/>
      <c r="AU258" s="2"/>
      <c r="AV258" s="2"/>
      <c r="AW258" s="2"/>
      <c r="AX258" s="2"/>
      <c r="AY258" s="2"/>
      <c r="AZ258" s="2"/>
      <c r="BA258" s="2"/>
      <c r="BB258" s="2"/>
      <c r="BC258" s="2"/>
      <c r="BD258" s="2"/>
      <c r="BE258" s="2"/>
      <c r="BK258" s="2"/>
      <c r="BM258" s="2"/>
      <c r="BN258" s="2"/>
      <c r="BO258" s="2"/>
      <c r="BS258" s="11"/>
      <c r="BT258" s="2"/>
      <c r="BU258" s="3"/>
      <c r="BV258" s="3"/>
      <c r="BW258" s="2"/>
      <c r="BX258" s="2"/>
      <c r="BY258" s="2"/>
      <c r="BZ258" s="2"/>
      <c r="CA258" s="2"/>
      <c r="CB258" s="2"/>
      <c r="CC258" s="2"/>
      <c r="CD258" s="1"/>
      <c r="CE258" s="1"/>
      <c r="CF258" s="1"/>
      <c r="CG258" s="1"/>
      <c r="CH258" s="1"/>
      <c r="CI258" s="2"/>
      <c r="CJ258" s="2"/>
      <c r="CK258" s="2"/>
      <c r="CL258" s="2"/>
      <c r="CM258" s="2"/>
      <c r="CN258" s="2"/>
      <c r="CO258" s="2"/>
      <c r="CP258" s="2"/>
      <c r="CQ258" s="2"/>
      <c r="CR258" s="2"/>
      <c r="CS258" s="2"/>
      <c r="CT258" s="2"/>
      <c r="CU258" s="2"/>
      <c r="CV258" s="2"/>
      <c r="CW258" s="2"/>
      <c r="CX258" s="2"/>
      <c r="CY258" s="2"/>
      <c r="CZ258" s="2"/>
    </row>
    <row r="259" spans="43:104" ht="15" hidden="1" customHeight="1" x14ac:dyDescent="0.2">
      <c r="AQ259" s="85"/>
      <c r="AR259" s="12">
        <v>1565000</v>
      </c>
      <c r="AS259" s="12">
        <v>1940000</v>
      </c>
      <c r="AT259" s="2"/>
      <c r="AU259" s="2"/>
      <c r="AV259" s="2"/>
      <c r="AW259" s="2"/>
      <c r="AX259" s="2"/>
      <c r="AY259" s="2"/>
      <c r="AZ259" s="2"/>
      <c r="BA259" s="2"/>
      <c r="BB259" s="2"/>
      <c r="BC259" s="2"/>
      <c r="BD259" s="2"/>
      <c r="BE259" s="2"/>
      <c r="BK259" s="2"/>
      <c r="BM259" s="2"/>
      <c r="BN259" s="2"/>
      <c r="BO259" s="2"/>
      <c r="BS259" s="11"/>
      <c r="BT259" s="2"/>
      <c r="BU259" s="3"/>
      <c r="BV259" s="3"/>
      <c r="BW259" s="2"/>
      <c r="BX259" s="2"/>
      <c r="BY259" s="2"/>
      <c r="BZ259" s="2"/>
      <c r="CA259" s="2"/>
      <c r="CB259" s="2"/>
      <c r="CC259" s="2"/>
      <c r="CD259" s="1"/>
      <c r="CE259" s="1"/>
      <c r="CF259" s="1"/>
      <c r="CG259" s="1"/>
      <c r="CH259" s="1"/>
      <c r="CI259" s="2"/>
      <c r="CJ259" s="2"/>
      <c r="CK259" s="2"/>
      <c r="CL259" s="2"/>
      <c r="CM259" s="2"/>
      <c r="CN259" s="2"/>
      <c r="CO259" s="2"/>
      <c r="CP259" s="2"/>
      <c r="CQ259" s="2"/>
      <c r="CR259" s="2"/>
      <c r="CS259" s="2"/>
      <c r="CT259" s="2"/>
      <c r="CU259" s="2"/>
      <c r="CV259" s="2"/>
      <c r="CW259" s="2"/>
      <c r="CX259" s="2"/>
      <c r="CY259" s="2"/>
      <c r="CZ259" s="2"/>
    </row>
    <row r="260" spans="43:104" ht="15" hidden="1" customHeight="1" x14ac:dyDescent="0.2">
      <c r="AQ260" s="12"/>
      <c r="AR260" s="12">
        <v>1570000</v>
      </c>
      <c r="AS260" s="12">
        <v>1950000</v>
      </c>
      <c r="AT260" s="2"/>
      <c r="AU260" s="2"/>
      <c r="AV260" s="2"/>
      <c r="AW260" s="2"/>
      <c r="AX260" s="2"/>
      <c r="AY260" s="2"/>
      <c r="AZ260" s="2"/>
      <c r="BA260" s="2"/>
      <c r="BB260" s="2"/>
      <c r="BC260" s="2"/>
      <c r="BD260" s="2"/>
      <c r="BE260" s="2"/>
      <c r="BK260" s="2"/>
      <c r="BM260" s="2"/>
      <c r="BN260" s="2"/>
      <c r="BO260" s="2"/>
      <c r="BS260" s="11"/>
      <c r="BT260" s="2"/>
      <c r="BU260" s="3"/>
      <c r="BV260" s="3"/>
      <c r="BW260" s="2"/>
      <c r="BX260" s="2"/>
      <c r="BY260" s="2"/>
      <c r="BZ260" s="2"/>
      <c r="CA260" s="2"/>
      <c r="CB260" s="2"/>
      <c r="CC260" s="2"/>
      <c r="CD260" s="1"/>
      <c r="CE260" s="1"/>
      <c r="CF260" s="1"/>
      <c r="CG260" s="1"/>
      <c r="CH260" s="1"/>
      <c r="CI260" s="2"/>
      <c r="CJ260" s="2"/>
      <c r="CK260" s="2"/>
      <c r="CL260" s="2"/>
      <c r="CM260" s="2"/>
      <c r="CN260" s="2"/>
      <c r="CO260" s="2"/>
      <c r="CP260" s="2"/>
      <c r="CQ260" s="2"/>
      <c r="CR260" s="2"/>
      <c r="CS260" s="2"/>
      <c r="CT260" s="2"/>
      <c r="CU260" s="2"/>
      <c r="CV260" s="2"/>
      <c r="CW260" s="2"/>
      <c r="CX260" s="2"/>
      <c r="CY260" s="2"/>
      <c r="CZ260" s="2"/>
    </row>
    <row r="261" spans="43:104" ht="15" hidden="1" customHeight="1" x14ac:dyDescent="0.2">
      <c r="AQ261" s="12"/>
      <c r="AR261" s="12">
        <v>1575000</v>
      </c>
      <c r="AS261" s="12">
        <v>1960000</v>
      </c>
      <c r="AT261" s="2"/>
      <c r="AU261" s="2"/>
      <c r="AV261" s="2"/>
      <c r="AW261" s="2"/>
      <c r="AX261" s="2"/>
      <c r="AY261" s="2"/>
      <c r="AZ261" s="2"/>
      <c r="BA261" s="2"/>
      <c r="BB261" s="2"/>
      <c r="BC261" s="2"/>
      <c r="BD261" s="2"/>
      <c r="BE261" s="2"/>
      <c r="BK261" s="2"/>
      <c r="BM261" s="2"/>
      <c r="BN261" s="2"/>
      <c r="BO261" s="2"/>
      <c r="BS261" s="11"/>
      <c r="BT261" s="2"/>
      <c r="BU261" s="3"/>
      <c r="BV261" s="3"/>
      <c r="BW261" s="2"/>
      <c r="BX261" s="2"/>
      <c r="BY261" s="2"/>
      <c r="BZ261" s="2"/>
      <c r="CA261" s="2"/>
      <c r="CB261" s="2"/>
      <c r="CC261" s="2"/>
      <c r="CD261" s="1"/>
      <c r="CE261" s="1"/>
      <c r="CF261" s="1"/>
      <c r="CG261" s="1"/>
      <c r="CH261" s="1"/>
      <c r="CI261" s="2"/>
      <c r="CJ261" s="2"/>
      <c r="CK261" s="2"/>
      <c r="CL261" s="2"/>
      <c r="CM261" s="2"/>
      <c r="CN261" s="2"/>
      <c r="CO261" s="2"/>
      <c r="CP261" s="2"/>
      <c r="CQ261" s="2"/>
      <c r="CR261" s="2"/>
      <c r="CS261" s="2"/>
      <c r="CT261" s="2"/>
      <c r="CU261" s="2"/>
      <c r="CV261" s="2"/>
      <c r="CW261" s="2"/>
      <c r="CX261" s="2"/>
      <c r="CY261" s="2"/>
      <c r="CZ261" s="2"/>
    </row>
    <row r="262" spans="43:104" ht="15" hidden="1" customHeight="1" x14ac:dyDescent="0.2">
      <c r="AQ262" s="13"/>
      <c r="AR262" s="12">
        <v>1580000</v>
      </c>
      <c r="AS262" s="12">
        <v>1970000</v>
      </c>
      <c r="AT262" s="2"/>
      <c r="AU262" s="2"/>
      <c r="AV262" s="2"/>
      <c r="AW262" s="2"/>
      <c r="AX262" s="2"/>
      <c r="AY262" s="2"/>
      <c r="AZ262" s="2"/>
      <c r="BA262" s="2"/>
      <c r="BB262" s="2"/>
      <c r="BC262" s="2"/>
      <c r="BD262" s="2"/>
      <c r="BE262" s="2"/>
      <c r="BK262" s="2"/>
      <c r="BM262" s="2"/>
      <c r="BN262" s="2"/>
      <c r="BO262" s="2"/>
      <c r="BS262" s="11"/>
      <c r="BT262" s="2"/>
      <c r="BU262" s="3"/>
      <c r="BV262" s="3"/>
      <c r="BW262" s="2"/>
      <c r="BX262" s="2"/>
      <c r="BY262" s="2"/>
      <c r="BZ262" s="2"/>
      <c r="CA262" s="2"/>
      <c r="CB262" s="2"/>
      <c r="CC262" s="2"/>
      <c r="CD262" s="1"/>
      <c r="CE262" s="1"/>
      <c r="CF262" s="1"/>
      <c r="CG262" s="1"/>
      <c r="CH262" s="1"/>
      <c r="CI262" s="2"/>
      <c r="CJ262" s="2"/>
      <c r="CK262" s="2"/>
      <c r="CL262" s="2"/>
      <c r="CM262" s="2"/>
      <c r="CN262" s="2"/>
      <c r="CO262" s="2"/>
      <c r="CP262" s="2"/>
      <c r="CQ262" s="2"/>
      <c r="CR262" s="2"/>
      <c r="CS262" s="2"/>
      <c r="CT262" s="2"/>
      <c r="CU262" s="2"/>
      <c r="CV262" s="2"/>
      <c r="CW262" s="2"/>
      <c r="CX262" s="2"/>
      <c r="CY262" s="2"/>
      <c r="CZ262" s="2"/>
    </row>
    <row r="263" spans="43:104" ht="15" hidden="1" customHeight="1" x14ac:dyDescent="0.2">
      <c r="AQ263" s="13"/>
      <c r="AR263" s="12">
        <v>1585000</v>
      </c>
      <c r="AS263" s="12">
        <v>1980000</v>
      </c>
      <c r="AT263" s="2"/>
      <c r="AU263" s="2"/>
      <c r="AV263" s="2"/>
      <c r="AW263" s="2"/>
      <c r="AX263" s="2"/>
      <c r="AY263" s="2"/>
      <c r="AZ263" s="2"/>
      <c r="BA263" s="2"/>
      <c r="BB263" s="2"/>
      <c r="BC263" s="2"/>
      <c r="BD263" s="2"/>
      <c r="BE263" s="2"/>
      <c r="BK263" s="2"/>
      <c r="BM263" s="2"/>
      <c r="BN263" s="2"/>
      <c r="BO263" s="2"/>
      <c r="BS263" s="11"/>
      <c r="BT263" s="2"/>
      <c r="BU263" s="3"/>
      <c r="BV263" s="3"/>
      <c r="BW263" s="2"/>
      <c r="BX263" s="2"/>
      <c r="BY263" s="2"/>
      <c r="BZ263" s="2"/>
      <c r="CA263" s="46"/>
      <c r="CB263" s="1"/>
      <c r="CC263" s="1"/>
      <c r="CD263" s="1"/>
      <c r="CE263" s="1"/>
      <c r="CF263" s="1"/>
      <c r="CG263" s="1"/>
      <c r="CH263" s="1"/>
      <c r="CI263" s="2"/>
      <c r="CJ263" s="2"/>
      <c r="CK263" s="2"/>
      <c r="CL263" s="2"/>
      <c r="CM263" s="2"/>
      <c r="CN263" s="2"/>
      <c r="CO263" s="2"/>
      <c r="CP263" s="2"/>
      <c r="CQ263" s="2"/>
      <c r="CR263" s="2"/>
      <c r="CS263" s="2"/>
      <c r="CT263" s="2"/>
      <c r="CU263" s="2"/>
      <c r="CV263" s="2"/>
      <c r="CW263" s="2"/>
      <c r="CX263" s="2"/>
      <c r="CY263" s="2"/>
      <c r="CZ263" s="2"/>
    </row>
    <row r="264" spans="43:104" ht="15" hidden="1" customHeight="1" x14ac:dyDescent="0.2">
      <c r="AQ264" s="85"/>
      <c r="AR264" s="12">
        <v>1590000</v>
      </c>
      <c r="AS264" s="12">
        <v>1990000</v>
      </c>
      <c r="AT264" s="2"/>
      <c r="AU264" s="2"/>
      <c r="AV264" s="2"/>
      <c r="AW264" s="2"/>
      <c r="AX264" s="2"/>
      <c r="AY264" s="2"/>
      <c r="AZ264" s="2"/>
      <c r="BA264" s="2"/>
      <c r="BB264" s="2"/>
      <c r="BC264" s="2"/>
      <c r="BD264" s="2"/>
      <c r="BE264" s="2"/>
      <c r="BK264" s="2"/>
      <c r="BM264" s="2"/>
      <c r="BN264" s="2"/>
      <c r="BO264" s="2"/>
      <c r="BS264" s="11"/>
      <c r="BT264" s="2"/>
      <c r="BU264" s="3"/>
      <c r="BV264" s="3"/>
      <c r="BW264" s="2"/>
      <c r="BX264" s="2"/>
      <c r="BY264" s="2"/>
      <c r="BZ264" s="2"/>
      <c r="CA264" s="46"/>
      <c r="CB264" s="1"/>
      <c r="CC264" s="1"/>
      <c r="CD264" s="1"/>
      <c r="CE264" s="1"/>
      <c r="CF264" s="1"/>
      <c r="CG264" s="1"/>
      <c r="CH264" s="1"/>
      <c r="CI264" s="2"/>
      <c r="CJ264" s="2"/>
      <c r="CK264" s="2"/>
      <c r="CL264" s="2"/>
      <c r="CM264" s="2"/>
      <c r="CN264" s="2"/>
      <c r="CO264" s="2"/>
      <c r="CP264" s="2"/>
      <c r="CQ264" s="2"/>
      <c r="CR264" s="2"/>
      <c r="CS264" s="2"/>
      <c r="CT264" s="2"/>
      <c r="CU264" s="2"/>
      <c r="CV264" s="2"/>
      <c r="CW264" s="2"/>
      <c r="CX264" s="2"/>
      <c r="CY264" s="2"/>
      <c r="CZ264" s="2"/>
    </row>
    <row r="265" spans="43:104" ht="15" hidden="1" customHeight="1" x14ac:dyDescent="0.2">
      <c r="AQ265" s="12"/>
      <c r="AR265" s="12">
        <v>1595000</v>
      </c>
      <c r="AS265" s="12">
        <v>2000000</v>
      </c>
      <c r="AT265" s="2"/>
      <c r="AU265" s="2"/>
      <c r="AV265" s="2"/>
      <c r="AW265" s="2"/>
      <c r="AX265" s="2"/>
      <c r="AY265" s="2"/>
      <c r="AZ265" s="2"/>
      <c r="BA265" s="2"/>
      <c r="BB265" s="2"/>
      <c r="BC265" s="2"/>
      <c r="BD265" s="2"/>
      <c r="BE265" s="2"/>
      <c r="BK265" s="2"/>
      <c r="BM265" s="2"/>
      <c r="BN265" s="2"/>
      <c r="BO265" s="2"/>
      <c r="BS265" s="11"/>
      <c r="BT265" s="2"/>
      <c r="BU265" s="3"/>
      <c r="BV265" s="3"/>
      <c r="BW265" s="2"/>
      <c r="BX265" s="2"/>
      <c r="BY265" s="2"/>
      <c r="BZ265" s="2"/>
      <c r="CA265" s="46"/>
      <c r="CB265" s="1"/>
      <c r="CC265" s="1"/>
      <c r="CD265" s="1"/>
      <c r="CE265" s="1"/>
      <c r="CF265" s="1"/>
      <c r="CG265" s="1"/>
      <c r="CH265" s="1"/>
      <c r="CI265" s="2"/>
      <c r="CJ265" s="2"/>
      <c r="CK265" s="2"/>
      <c r="CL265" s="2"/>
      <c r="CM265" s="2"/>
      <c r="CN265" s="2"/>
      <c r="CO265" s="2"/>
      <c r="CP265" s="2"/>
      <c r="CQ265" s="2"/>
      <c r="CR265" s="2"/>
      <c r="CS265" s="2"/>
      <c r="CT265" s="2"/>
      <c r="CU265" s="2"/>
      <c r="CV265" s="2"/>
      <c r="CW265" s="2"/>
      <c r="CX265" s="2"/>
      <c r="CY265" s="2"/>
      <c r="CZ265" s="2"/>
    </row>
    <row r="266" spans="43:104" ht="15" hidden="1" customHeight="1" x14ac:dyDescent="0.2">
      <c r="AQ266" s="12"/>
      <c r="AR266" s="12">
        <v>1600000</v>
      </c>
      <c r="AS266" s="12">
        <v>2010000</v>
      </c>
      <c r="AT266" s="2"/>
      <c r="AU266" s="2"/>
      <c r="AV266" s="2"/>
      <c r="AW266" s="2"/>
      <c r="AX266" s="2"/>
      <c r="AY266" s="2"/>
      <c r="AZ266" s="2"/>
      <c r="BA266" s="2"/>
      <c r="BB266" s="2"/>
      <c r="BC266" s="2"/>
      <c r="BD266" s="2"/>
      <c r="BE266" s="2"/>
      <c r="BK266" s="2"/>
      <c r="BM266" s="2"/>
      <c r="BN266" s="2"/>
      <c r="BO266" s="2"/>
      <c r="BS266" s="11"/>
      <c r="BT266" s="2"/>
      <c r="BU266" s="3"/>
      <c r="BV266" s="3"/>
      <c r="BW266" s="2"/>
      <c r="BX266" s="2"/>
      <c r="BY266" s="2"/>
      <c r="BZ266" s="46"/>
      <c r="CA266" s="1"/>
      <c r="CB266" s="1"/>
      <c r="CC266" s="1"/>
      <c r="CD266" s="1"/>
      <c r="CE266" s="1"/>
      <c r="CF266" s="1"/>
      <c r="CG266" s="1"/>
      <c r="CH266" s="1"/>
      <c r="CI266" s="2"/>
      <c r="CJ266" s="2"/>
      <c r="CK266" s="2"/>
      <c r="CL266" s="2"/>
      <c r="CM266" s="2"/>
      <c r="CN266" s="2"/>
      <c r="CO266" s="2"/>
      <c r="CP266" s="2"/>
      <c r="CQ266" s="2"/>
      <c r="CR266" s="2"/>
      <c r="CS266" s="2"/>
      <c r="CT266" s="2"/>
      <c r="CU266" s="2"/>
      <c r="CV266" s="2"/>
      <c r="CW266" s="2"/>
      <c r="CX266" s="2"/>
      <c r="CY266" s="2"/>
      <c r="CZ266" s="2"/>
    </row>
    <row r="267" spans="43:104" ht="15" hidden="1" customHeight="1" x14ac:dyDescent="0.2">
      <c r="AQ267" s="13"/>
      <c r="AR267" s="12">
        <v>1605000</v>
      </c>
      <c r="AS267" s="12">
        <v>2020000</v>
      </c>
      <c r="AT267" s="2"/>
      <c r="AU267" s="2"/>
      <c r="AV267" s="2"/>
      <c r="AW267" s="2"/>
      <c r="AX267" s="2"/>
      <c r="AY267" s="2"/>
      <c r="AZ267" s="2"/>
      <c r="BA267" s="2"/>
      <c r="BB267" s="2"/>
      <c r="BC267" s="2"/>
      <c r="BD267" s="2"/>
      <c r="BE267" s="2"/>
      <c r="BK267" s="2"/>
      <c r="BM267" s="2"/>
      <c r="BN267" s="2"/>
      <c r="BO267" s="2"/>
      <c r="BS267" s="11"/>
      <c r="BT267" s="2"/>
      <c r="BU267" s="3"/>
      <c r="BV267" s="3"/>
      <c r="BW267" s="2"/>
      <c r="BX267" s="2"/>
      <c r="BY267" s="2"/>
      <c r="BZ267" s="2"/>
      <c r="CA267" s="46"/>
      <c r="CB267" s="1"/>
      <c r="CC267" s="1"/>
      <c r="CD267" s="1"/>
      <c r="CE267" s="1"/>
      <c r="CF267" s="1"/>
      <c r="CG267" s="1"/>
      <c r="CH267" s="1"/>
      <c r="CI267" s="2"/>
      <c r="CJ267" s="2"/>
      <c r="CK267" s="2"/>
      <c r="CL267" s="2"/>
      <c r="CM267" s="2"/>
      <c r="CN267" s="2"/>
      <c r="CO267" s="2"/>
      <c r="CP267" s="2"/>
      <c r="CQ267" s="2"/>
      <c r="CR267" s="2"/>
      <c r="CS267" s="2"/>
      <c r="CT267" s="2"/>
      <c r="CU267" s="2"/>
      <c r="CV267" s="2"/>
      <c r="CW267" s="2"/>
      <c r="CX267" s="2"/>
      <c r="CY267" s="2"/>
      <c r="CZ267" s="2"/>
    </row>
    <row r="268" spans="43:104" ht="15" hidden="1" customHeight="1" x14ac:dyDescent="0.2">
      <c r="AQ268" s="13"/>
      <c r="AR268" s="12">
        <v>1610000</v>
      </c>
      <c r="AS268" s="12">
        <v>2030000</v>
      </c>
      <c r="AT268" s="2"/>
      <c r="AU268" s="2"/>
      <c r="AV268" s="2"/>
      <c r="AW268" s="2"/>
      <c r="AX268" s="2"/>
      <c r="AY268" s="2"/>
      <c r="AZ268" s="2"/>
      <c r="BA268" s="2"/>
      <c r="BB268" s="2"/>
      <c r="BC268" s="2"/>
      <c r="BD268" s="2"/>
      <c r="BE268" s="2"/>
      <c r="BK268" s="2"/>
      <c r="BM268" s="2"/>
      <c r="BN268" s="2"/>
      <c r="BO268" s="2"/>
      <c r="BS268" s="11"/>
      <c r="BT268" s="2"/>
      <c r="BU268" s="3"/>
      <c r="BV268" s="3"/>
      <c r="BW268" s="2"/>
      <c r="BX268" s="2"/>
      <c r="BY268" s="2"/>
      <c r="BZ268" s="2"/>
      <c r="CA268" s="46"/>
      <c r="CB268" s="1"/>
      <c r="CC268" s="1"/>
      <c r="CD268" s="1"/>
      <c r="CE268" s="1"/>
      <c r="CF268" s="1"/>
      <c r="CG268" s="1"/>
      <c r="CH268" s="1"/>
      <c r="CI268" s="2"/>
      <c r="CJ268" s="2"/>
      <c r="CK268" s="2"/>
      <c r="CL268" s="2"/>
      <c r="CM268" s="2"/>
      <c r="CN268" s="2"/>
      <c r="CO268" s="2"/>
      <c r="CP268" s="2"/>
      <c r="CQ268" s="2"/>
      <c r="CR268" s="2"/>
      <c r="CS268" s="2"/>
      <c r="CT268" s="2"/>
      <c r="CU268" s="2"/>
      <c r="CV268" s="2"/>
      <c r="CW268" s="2"/>
      <c r="CX268" s="2"/>
      <c r="CY268" s="2"/>
      <c r="CZ268" s="2"/>
    </row>
    <row r="269" spans="43:104" ht="15" hidden="1" customHeight="1" x14ac:dyDescent="0.2">
      <c r="AQ269" s="85"/>
      <c r="AR269" s="12">
        <v>1615000</v>
      </c>
      <c r="AS269" s="12">
        <v>2040000</v>
      </c>
      <c r="AT269" s="2"/>
      <c r="AU269" s="2"/>
      <c r="AV269" s="2"/>
      <c r="AW269" s="2"/>
      <c r="AX269" s="2"/>
      <c r="AY269" s="2"/>
      <c r="AZ269" s="2"/>
      <c r="BA269" s="2"/>
      <c r="BB269" s="2"/>
      <c r="BC269" s="2"/>
      <c r="BD269" s="2"/>
      <c r="BE269" s="2"/>
      <c r="BK269" s="2"/>
      <c r="BM269" s="2"/>
      <c r="BN269" s="2"/>
      <c r="BO269" s="2"/>
      <c r="BS269" s="11"/>
      <c r="BT269" s="2"/>
      <c r="BU269" s="3"/>
      <c r="BV269" s="3"/>
      <c r="BW269" s="2"/>
      <c r="BX269" s="2"/>
      <c r="BY269" s="2"/>
      <c r="BZ269" s="2"/>
      <c r="CA269" s="2"/>
      <c r="CB269" s="2"/>
      <c r="CC269" s="2"/>
      <c r="CD269" s="1"/>
      <c r="CE269" s="1"/>
      <c r="CF269" s="1"/>
      <c r="CG269" s="1"/>
      <c r="CH269" s="1"/>
      <c r="CI269" s="2"/>
      <c r="CJ269" s="2"/>
      <c r="CK269" s="2"/>
      <c r="CL269" s="2"/>
      <c r="CM269" s="2"/>
      <c r="CN269" s="2"/>
      <c r="CO269" s="2"/>
      <c r="CP269" s="2"/>
      <c r="CQ269" s="2"/>
      <c r="CR269" s="2"/>
      <c r="CS269" s="2"/>
      <c r="CT269" s="2"/>
      <c r="CU269" s="2"/>
      <c r="CV269" s="2"/>
      <c r="CW269" s="2"/>
      <c r="CX269" s="2"/>
      <c r="CY269" s="2"/>
      <c r="CZ269" s="2"/>
    </row>
    <row r="270" spans="43:104" ht="15" hidden="1" customHeight="1" x14ac:dyDescent="0.2">
      <c r="AQ270" s="12"/>
      <c r="AR270" s="12">
        <v>1620000</v>
      </c>
      <c r="AS270" s="12">
        <v>2050000</v>
      </c>
      <c r="AT270" s="2"/>
      <c r="AU270" s="2"/>
      <c r="AV270" s="2"/>
      <c r="AW270" s="2"/>
      <c r="AX270" s="2"/>
      <c r="AY270" s="2"/>
      <c r="AZ270" s="2"/>
      <c r="BA270" s="2"/>
      <c r="BB270" s="2"/>
      <c r="BC270" s="2"/>
      <c r="BD270" s="2"/>
      <c r="BE270" s="2"/>
      <c r="BK270" s="2"/>
      <c r="BM270" s="2"/>
      <c r="BN270" s="2"/>
      <c r="BO270" s="2"/>
      <c r="BS270" s="11"/>
      <c r="BT270" s="2"/>
      <c r="BU270" s="3"/>
      <c r="BV270" s="3"/>
      <c r="BW270" s="2"/>
      <c r="BX270" s="2"/>
      <c r="BY270" s="2"/>
      <c r="BZ270" s="2"/>
      <c r="CA270" s="2"/>
      <c r="CB270" s="2"/>
      <c r="CC270" s="2"/>
      <c r="CD270" s="1"/>
      <c r="CE270" s="1"/>
      <c r="CF270" s="1"/>
      <c r="CG270" s="1"/>
      <c r="CH270" s="1"/>
      <c r="CI270" s="2"/>
      <c r="CJ270" s="2"/>
      <c r="CK270" s="2"/>
      <c r="CL270" s="2"/>
      <c r="CM270" s="2"/>
      <c r="CN270" s="2"/>
      <c r="CO270" s="2"/>
      <c r="CP270" s="2"/>
      <c r="CQ270" s="2"/>
      <c r="CR270" s="2"/>
      <c r="CS270" s="2"/>
      <c r="CT270" s="2"/>
      <c r="CU270" s="2"/>
      <c r="CV270" s="2"/>
      <c r="CW270" s="2"/>
      <c r="CX270" s="2"/>
      <c r="CY270" s="2"/>
      <c r="CZ270" s="2"/>
    </row>
    <row r="271" spans="43:104" ht="15" hidden="1" customHeight="1" x14ac:dyDescent="0.2">
      <c r="AQ271" s="12"/>
      <c r="AR271" s="12">
        <v>1625000</v>
      </c>
      <c r="AS271" s="12">
        <v>2060000</v>
      </c>
      <c r="AT271" s="2"/>
      <c r="AU271" s="2"/>
      <c r="AV271" s="2"/>
      <c r="AW271" s="2"/>
      <c r="AX271" s="2"/>
      <c r="AY271" s="2"/>
      <c r="AZ271" s="2"/>
      <c r="BA271" s="2"/>
      <c r="BB271" s="2"/>
      <c r="BC271" s="2"/>
      <c r="BD271" s="2"/>
      <c r="BE271" s="2"/>
      <c r="BK271" s="2"/>
      <c r="BM271" s="2"/>
      <c r="BN271" s="2"/>
      <c r="BO271" s="2"/>
      <c r="BS271" s="11"/>
      <c r="BT271" s="2"/>
      <c r="BU271" s="3"/>
      <c r="BV271" s="3"/>
      <c r="BW271" s="2"/>
      <c r="BX271" s="2"/>
      <c r="BY271" s="2"/>
      <c r="BZ271" s="2"/>
      <c r="CA271" s="2"/>
      <c r="CB271" s="2"/>
      <c r="CC271" s="2"/>
      <c r="CD271" s="1"/>
      <c r="CE271" s="1"/>
      <c r="CF271" s="1"/>
      <c r="CG271" s="1"/>
      <c r="CH271" s="1"/>
      <c r="CI271" s="2"/>
      <c r="CJ271" s="2"/>
      <c r="CK271" s="2"/>
      <c r="CL271" s="2"/>
      <c r="CM271" s="2"/>
      <c r="CN271" s="2"/>
      <c r="CO271" s="2"/>
      <c r="CP271" s="2"/>
      <c r="CQ271" s="2"/>
      <c r="CR271" s="2"/>
      <c r="CS271" s="2"/>
      <c r="CT271" s="2"/>
      <c r="CU271" s="2"/>
      <c r="CV271" s="2"/>
      <c r="CW271" s="2"/>
      <c r="CX271" s="2"/>
      <c r="CY271" s="2"/>
      <c r="CZ271" s="2"/>
    </row>
    <row r="272" spans="43:104" ht="15" hidden="1" customHeight="1" x14ac:dyDescent="0.2">
      <c r="AQ272" s="13"/>
      <c r="AR272" s="12">
        <v>1630000</v>
      </c>
      <c r="AS272" s="12">
        <v>2070000</v>
      </c>
      <c r="AT272" s="2"/>
      <c r="AU272" s="2"/>
      <c r="AV272" s="2"/>
      <c r="AW272" s="2"/>
      <c r="AX272" s="2"/>
      <c r="AY272" s="2"/>
      <c r="AZ272" s="2"/>
      <c r="BA272" s="2"/>
      <c r="BB272" s="2"/>
      <c r="BC272" s="2"/>
      <c r="BD272" s="2"/>
      <c r="BE272" s="2"/>
      <c r="BK272" s="2"/>
      <c r="BM272" s="2"/>
      <c r="BN272" s="2"/>
      <c r="BO272" s="2"/>
      <c r="BS272" s="11"/>
      <c r="BT272" s="2"/>
      <c r="BU272" s="3"/>
      <c r="BV272" s="3"/>
      <c r="BW272" s="2"/>
      <c r="BX272" s="2"/>
      <c r="BY272" s="2"/>
      <c r="BZ272" s="2"/>
      <c r="CA272" s="2"/>
      <c r="CB272" s="2"/>
      <c r="CC272" s="2"/>
      <c r="CD272" s="1"/>
      <c r="CE272" s="1"/>
      <c r="CF272" s="1"/>
      <c r="CG272" s="1"/>
      <c r="CH272" s="1"/>
      <c r="CI272" s="2"/>
      <c r="CJ272" s="2"/>
      <c r="CK272" s="2"/>
      <c r="CL272" s="2"/>
      <c r="CM272" s="2"/>
      <c r="CN272" s="2"/>
      <c r="CO272" s="2"/>
      <c r="CP272" s="2"/>
      <c r="CQ272" s="2"/>
      <c r="CR272" s="2"/>
      <c r="CS272" s="2"/>
      <c r="CT272" s="2"/>
      <c r="CU272" s="2"/>
      <c r="CV272" s="2"/>
      <c r="CW272" s="2"/>
      <c r="CX272" s="2"/>
      <c r="CY272" s="2"/>
      <c r="CZ272" s="2"/>
    </row>
    <row r="273" spans="43:104" ht="15" hidden="1" customHeight="1" x14ac:dyDescent="0.2">
      <c r="AQ273" s="13"/>
      <c r="AR273" s="12">
        <v>1635000</v>
      </c>
      <c r="AS273" s="12">
        <v>2080000</v>
      </c>
      <c r="AT273" s="2"/>
      <c r="AU273" s="2"/>
      <c r="AV273" s="2"/>
      <c r="AW273" s="2"/>
      <c r="AX273" s="2"/>
      <c r="AY273" s="2"/>
      <c r="AZ273" s="2"/>
      <c r="BA273" s="2"/>
      <c r="BB273" s="2"/>
      <c r="BC273" s="2"/>
      <c r="BD273" s="2"/>
      <c r="BE273" s="2"/>
      <c r="BK273" s="2"/>
      <c r="BM273" s="2"/>
      <c r="BN273" s="2"/>
      <c r="BO273" s="2"/>
      <c r="BS273" s="11"/>
      <c r="BT273" s="2"/>
      <c r="BU273" s="3"/>
      <c r="BV273" s="3"/>
      <c r="BW273" s="2"/>
      <c r="BX273" s="2"/>
      <c r="BY273" s="2"/>
      <c r="BZ273" s="2"/>
      <c r="CA273" s="2"/>
      <c r="CB273" s="2"/>
      <c r="CC273" s="2"/>
      <c r="CD273" s="1"/>
      <c r="CE273" s="1"/>
      <c r="CF273" s="1"/>
      <c r="CG273" s="1"/>
      <c r="CH273" s="1"/>
      <c r="CI273" s="2"/>
      <c r="CJ273" s="2"/>
      <c r="CK273" s="2"/>
      <c r="CL273" s="2"/>
      <c r="CM273" s="2"/>
      <c r="CN273" s="2"/>
      <c r="CO273" s="2"/>
      <c r="CP273" s="2"/>
      <c r="CQ273" s="2"/>
      <c r="CR273" s="2"/>
      <c r="CS273" s="2"/>
      <c r="CT273" s="2"/>
      <c r="CU273" s="2"/>
      <c r="CV273" s="2"/>
      <c r="CW273" s="2"/>
      <c r="CX273" s="2"/>
      <c r="CY273" s="2"/>
      <c r="CZ273" s="2"/>
    </row>
    <row r="274" spans="43:104" ht="15" hidden="1" customHeight="1" x14ac:dyDescent="0.2">
      <c r="AQ274" s="85"/>
      <c r="AR274" s="12">
        <v>1640000</v>
      </c>
      <c r="AS274" s="12">
        <v>2090000</v>
      </c>
      <c r="AT274" s="2"/>
      <c r="AU274" s="2"/>
      <c r="AV274" s="2"/>
      <c r="AW274" s="2"/>
      <c r="AX274" s="2"/>
      <c r="AY274" s="2"/>
      <c r="AZ274" s="2"/>
      <c r="BA274" s="2"/>
      <c r="BB274" s="2"/>
      <c r="BC274" s="2"/>
      <c r="BD274" s="2"/>
      <c r="BE274" s="2"/>
      <c r="BK274" s="2"/>
      <c r="BM274" s="2"/>
      <c r="BN274" s="2"/>
      <c r="BO274" s="2"/>
      <c r="BS274" s="11"/>
      <c r="BT274" s="2"/>
      <c r="BU274" s="3"/>
      <c r="BV274" s="3"/>
      <c r="BW274" s="2"/>
      <c r="BX274" s="2"/>
      <c r="BY274" s="2"/>
      <c r="BZ274" s="2"/>
      <c r="CA274" s="46"/>
      <c r="CB274" s="1"/>
      <c r="CC274" s="1"/>
      <c r="CD274" s="1"/>
      <c r="CE274" s="1"/>
      <c r="CF274" s="1"/>
      <c r="CG274" s="1"/>
      <c r="CH274" s="1"/>
      <c r="CI274" s="2"/>
      <c r="CJ274" s="2"/>
      <c r="CK274" s="2"/>
      <c r="CL274" s="2"/>
      <c r="CM274" s="2"/>
      <c r="CN274" s="2"/>
      <c r="CO274" s="2"/>
      <c r="CP274" s="2"/>
      <c r="CQ274" s="2"/>
      <c r="CR274" s="2"/>
      <c r="CS274" s="2"/>
      <c r="CT274" s="2"/>
      <c r="CU274" s="2"/>
      <c r="CV274" s="2"/>
      <c r="CW274" s="2"/>
      <c r="CX274" s="2"/>
      <c r="CY274" s="2"/>
      <c r="CZ274" s="2"/>
    </row>
    <row r="275" spans="43:104" ht="15" hidden="1" customHeight="1" x14ac:dyDescent="0.2">
      <c r="AQ275" s="12"/>
      <c r="AR275" s="12">
        <v>1645000</v>
      </c>
      <c r="AS275" s="12">
        <v>2100000</v>
      </c>
      <c r="AT275" s="2"/>
      <c r="AU275" s="2"/>
      <c r="AV275" s="2"/>
      <c r="AW275" s="2"/>
      <c r="AX275" s="2"/>
      <c r="AY275" s="2"/>
      <c r="AZ275" s="2"/>
      <c r="BA275" s="2"/>
      <c r="BB275" s="2"/>
      <c r="BC275" s="2"/>
      <c r="BD275" s="2"/>
      <c r="BE275" s="2"/>
      <c r="BK275" s="2"/>
      <c r="BM275" s="2"/>
      <c r="BN275" s="2"/>
      <c r="BO275" s="2"/>
      <c r="BS275" s="11"/>
      <c r="BT275" s="2"/>
      <c r="BU275" s="3"/>
      <c r="BV275" s="3"/>
      <c r="BW275" s="2"/>
      <c r="BX275" s="2"/>
      <c r="BY275" s="2"/>
      <c r="BZ275" s="2"/>
      <c r="CA275" s="46"/>
      <c r="CB275" s="1"/>
      <c r="CC275" s="1"/>
      <c r="CD275" s="1"/>
      <c r="CE275" s="1"/>
      <c r="CF275" s="1"/>
      <c r="CG275" s="1"/>
      <c r="CH275" s="1"/>
      <c r="CI275" s="2"/>
      <c r="CJ275" s="2"/>
      <c r="CK275" s="2"/>
      <c r="CL275" s="2"/>
      <c r="CM275" s="2"/>
      <c r="CN275" s="2"/>
      <c r="CO275" s="2"/>
      <c r="CP275" s="2"/>
      <c r="CQ275" s="2"/>
      <c r="CR275" s="2"/>
      <c r="CS275" s="2"/>
      <c r="CT275" s="2"/>
      <c r="CU275" s="2"/>
      <c r="CV275" s="2"/>
      <c r="CW275" s="2"/>
      <c r="CX275" s="2"/>
      <c r="CY275" s="2"/>
      <c r="CZ275" s="2"/>
    </row>
    <row r="276" spans="43:104" ht="15" hidden="1" customHeight="1" x14ac:dyDescent="0.2">
      <c r="AQ276" s="12"/>
      <c r="AR276" s="12">
        <v>1650000</v>
      </c>
      <c r="AS276" s="12">
        <v>2110000</v>
      </c>
      <c r="AT276" s="2"/>
      <c r="AU276" s="2"/>
      <c r="AV276" s="2"/>
      <c r="AW276" s="2"/>
      <c r="AX276" s="2"/>
      <c r="AY276" s="2"/>
      <c r="AZ276" s="2"/>
      <c r="BA276" s="2"/>
      <c r="BB276" s="2"/>
      <c r="BC276" s="2"/>
      <c r="BD276" s="2"/>
      <c r="BE276" s="2"/>
      <c r="BK276" s="2"/>
      <c r="BM276" s="2"/>
      <c r="BN276" s="2"/>
      <c r="BO276" s="2"/>
      <c r="BS276" s="11"/>
      <c r="BT276" s="2"/>
      <c r="BU276" s="3"/>
      <c r="BV276" s="3"/>
      <c r="BW276" s="2"/>
      <c r="BX276" s="2"/>
      <c r="BY276" s="2"/>
      <c r="BZ276" s="2"/>
      <c r="CA276" s="46"/>
      <c r="CB276" s="1"/>
      <c r="CC276" s="1"/>
      <c r="CD276" s="1"/>
      <c r="CE276" s="1"/>
      <c r="CF276" s="1"/>
      <c r="CG276" s="1"/>
      <c r="CH276" s="1"/>
      <c r="CI276" s="2"/>
      <c r="CJ276" s="2"/>
      <c r="CK276" s="2"/>
      <c r="CL276" s="2"/>
      <c r="CM276" s="2"/>
      <c r="CN276" s="2"/>
      <c r="CO276" s="2"/>
      <c r="CP276" s="2"/>
      <c r="CQ276" s="2"/>
      <c r="CR276" s="2"/>
      <c r="CS276" s="2"/>
      <c r="CT276" s="2"/>
      <c r="CU276" s="2"/>
      <c r="CV276" s="2"/>
      <c r="CW276" s="2"/>
      <c r="CX276" s="2"/>
      <c r="CY276" s="2"/>
      <c r="CZ276" s="2"/>
    </row>
    <row r="277" spans="43:104" ht="15" hidden="1" customHeight="1" x14ac:dyDescent="0.2">
      <c r="AQ277" s="13"/>
      <c r="AR277" s="12">
        <v>1655000</v>
      </c>
      <c r="AS277" s="12">
        <v>2120000</v>
      </c>
      <c r="AT277" s="2"/>
      <c r="AU277" s="2"/>
      <c r="AV277" s="2"/>
      <c r="AW277" s="2"/>
      <c r="AX277" s="2"/>
      <c r="AY277" s="2"/>
      <c r="AZ277" s="2"/>
      <c r="BA277" s="2"/>
      <c r="BB277" s="2"/>
      <c r="BC277" s="2"/>
      <c r="BD277" s="2"/>
      <c r="BE277" s="2"/>
      <c r="BK277" s="2"/>
      <c r="BM277" s="2"/>
      <c r="BN277" s="2"/>
      <c r="BO277" s="2"/>
      <c r="BS277" s="11"/>
      <c r="BT277" s="2"/>
      <c r="BU277" s="3"/>
      <c r="BV277" s="3"/>
      <c r="BW277" s="2"/>
      <c r="BX277" s="2"/>
      <c r="BY277" s="2"/>
      <c r="BZ277" s="46"/>
      <c r="CA277" s="1"/>
      <c r="CB277" s="1"/>
      <c r="CC277" s="1"/>
      <c r="CD277" s="1"/>
      <c r="CE277" s="1"/>
      <c r="CF277" s="1"/>
      <c r="CG277" s="1"/>
      <c r="CH277" s="1"/>
      <c r="CI277" s="2"/>
      <c r="CJ277" s="2"/>
      <c r="CK277" s="2"/>
      <c r="CL277" s="2"/>
      <c r="CM277" s="2"/>
      <c r="CN277" s="2"/>
      <c r="CO277" s="2"/>
      <c r="CP277" s="2"/>
      <c r="CQ277" s="2"/>
      <c r="CR277" s="2"/>
      <c r="CS277" s="2"/>
      <c r="CT277" s="2"/>
      <c r="CU277" s="2"/>
      <c r="CV277" s="2"/>
      <c r="CW277" s="2"/>
      <c r="CX277" s="2"/>
      <c r="CY277" s="2"/>
      <c r="CZ277" s="2"/>
    </row>
    <row r="278" spans="43:104" ht="15" hidden="1" customHeight="1" x14ac:dyDescent="0.2">
      <c r="AQ278" s="13"/>
      <c r="AR278" s="12">
        <v>1660000</v>
      </c>
      <c r="AS278" s="12">
        <v>2130000</v>
      </c>
      <c r="AT278" s="2"/>
      <c r="AU278" s="2"/>
      <c r="AV278" s="2"/>
      <c r="AW278" s="2"/>
      <c r="AX278" s="2"/>
      <c r="AY278" s="2"/>
      <c r="AZ278" s="2"/>
      <c r="BA278" s="2"/>
      <c r="BB278" s="2"/>
      <c r="BC278" s="2"/>
      <c r="BD278" s="2"/>
      <c r="BE278" s="2"/>
      <c r="BK278" s="2"/>
      <c r="BM278" s="2"/>
      <c r="BN278" s="2"/>
      <c r="BO278" s="2"/>
      <c r="BS278" s="11"/>
      <c r="BT278" s="2"/>
      <c r="BU278" s="3"/>
      <c r="BV278" s="3"/>
      <c r="BW278" s="2"/>
      <c r="BX278" s="2"/>
      <c r="BY278" s="2"/>
      <c r="BZ278" s="2"/>
      <c r="CA278" s="46"/>
      <c r="CB278" s="1"/>
      <c r="CC278" s="1"/>
      <c r="CD278" s="1"/>
      <c r="CE278" s="1"/>
      <c r="CF278" s="1"/>
      <c r="CG278" s="1"/>
      <c r="CH278" s="1"/>
      <c r="CI278" s="2"/>
      <c r="CJ278" s="2"/>
      <c r="CK278" s="2"/>
      <c r="CL278" s="2"/>
      <c r="CM278" s="2"/>
      <c r="CN278" s="2"/>
      <c r="CO278" s="2"/>
      <c r="CP278" s="2"/>
      <c r="CQ278" s="2"/>
      <c r="CR278" s="2"/>
      <c r="CS278" s="2"/>
      <c r="CT278" s="2"/>
      <c r="CU278" s="2"/>
      <c r="CV278" s="2"/>
      <c r="CW278" s="2"/>
      <c r="CX278" s="2"/>
      <c r="CY278" s="2"/>
      <c r="CZ278" s="2"/>
    </row>
    <row r="279" spans="43:104" ht="15" hidden="1" customHeight="1" x14ac:dyDescent="0.2">
      <c r="AQ279" s="85"/>
      <c r="AR279" s="12">
        <v>1665000</v>
      </c>
      <c r="AS279" s="12">
        <v>2140000</v>
      </c>
      <c r="AT279" s="2"/>
      <c r="AU279" s="2"/>
      <c r="AV279" s="2"/>
      <c r="AW279" s="2"/>
      <c r="AX279" s="2"/>
      <c r="AY279" s="2"/>
      <c r="AZ279" s="2"/>
      <c r="BA279" s="2"/>
      <c r="BB279" s="2"/>
      <c r="BC279" s="2"/>
      <c r="BD279" s="2"/>
      <c r="BE279" s="2"/>
      <c r="BK279" s="2"/>
      <c r="BM279" s="2"/>
      <c r="BN279" s="2"/>
      <c r="BO279" s="2"/>
      <c r="BS279" s="11"/>
      <c r="BT279" s="2"/>
      <c r="BU279" s="3"/>
      <c r="BV279" s="3"/>
      <c r="BW279" s="2"/>
      <c r="BX279" s="2"/>
      <c r="BY279" s="2"/>
      <c r="BZ279" s="2"/>
      <c r="CA279" s="2"/>
      <c r="CB279" s="2"/>
      <c r="CC279" s="2"/>
      <c r="CD279" s="1"/>
      <c r="CE279" s="1"/>
      <c r="CF279" s="1"/>
      <c r="CG279" s="1"/>
      <c r="CH279" s="1"/>
      <c r="CI279" s="2"/>
      <c r="CJ279" s="2"/>
      <c r="CK279" s="2"/>
      <c r="CL279" s="2"/>
      <c r="CM279" s="2"/>
      <c r="CN279" s="2"/>
      <c r="CO279" s="2"/>
      <c r="CP279" s="2"/>
      <c r="CQ279" s="2"/>
      <c r="CR279" s="2"/>
      <c r="CS279" s="2"/>
      <c r="CT279" s="2"/>
      <c r="CU279" s="2"/>
      <c r="CV279" s="2"/>
      <c r="CW279" s="2"/>
      <c r="CX279" s="2"/>
      <c r="CY279" s="2"/>
      <c r="CZ279" s="2"/>
    </row>
    <row r="280" spans="43:104" ht="15" hidden="1" customHeight="1" x14ac:dyDescent="0.2">
      <c r="AQ280" s="12"/>
      <c r="AR280" s="12">
        <v>1670000</v>
      </c>
      <c r="AS280" s="12">
        <v>2150000</v>
      </c>
      <c r="AT280" s="2"/>
      <c r="AU280" s="2"/>
      <c r="AV280" s="2"/>
      <c r="AW280" s="2"/>
      <c r="AX280" s="2"/>
      <c r="AY280" s="2"/>
      <c r="AZ280" s="2"/>
      <c r="BA280" s="2"/>
      <c r="BB280" s="2"/>
      <c r="BC280" s="2"/>
      <c r="BD280" s="2"/>
      <c r="BE280" s="2"/>
      <c r="BK280" s="2"/>
      <c r="BM280" s="2"/>
      <c r="BN280" s="2"/>
      <c r="BO280" s="2"/>
      <c r="BS280" s="11"/>
      <c r="BT280" s="2"/>
      <c r="BU280" s="3"/>
      <c r="BV280" s="3"/>
      <c r="BW280" s="2"/>
      <c r="BX280" s="2"/>
      <c r="BY280" s="2"/>
      <c r="BZ280" s="2"/>
      <c r="CA280" s="2"/>
      <c r="CB280" s="2"/>
      <c r="CC280" s="2"/>
      <c r="CD280" s="1"/>
      <c r="CE280" s="1"/>
      <c r="CF280" s="1"/>
      <c r="CG280" s="1"/>
      <c r="CH280" s="1"/>
      <c r="CI280" s="2"/>
      <c r="CJ280" s="2"/>
      <c r="CK280" s="2"/>
      <c r="CL280" s="2"/>
      <c r="CM280" s="2"/>
      <c r="CN280" s="2"/>
      <c r="CO280" s="2"/>
      <c r="CP280" s="2"/>
      <c r="CQ280" s="2"/>
      <c r="CR280" s="2"/>
      <c r="CS280" s="2"/>
      <c r="CT280" s="2"/>
      <c r="CU280" s="2"/>
      <c r="CV280" s="2"/>
      <c r="CW280" s="2"/>
      <c r="CX280" s="2"/>
      <c r="CY280" s="2"/>
      <c r="CZ280" s="2"/>
    </row>
    <row r="281" spans="43:104" ht="15" hidden="1" customHeight="1" x14ac:dyDescent="0.2">
      <c r="AQ281" s="12"/>
      <c r="AR281" s="12">
        <v>1675000</v>
      </c>
      <c r="AS281" s="12">
        <v>2160000</v>
      </c>
      <c r="AT281" s="2"/>
      <c r="AU281" s="2"/>
      <c r="AV281" s="2"/>
      <c r="AW281" s="2"/>
      <c r="AX281" s="2"/>
      <c r="AY281" s="2"/>
      <c r="AZ281" s="2"/>
      <c r="BA281" s="2"/>
      <c r="BB281" s="2"/>
      <c r="BC281" s="2"/>
      <c r="BD281" s="2"/>
      <c r="BE281" s="2"/>
      <c r="BK281" s="2"/>
      <c r="BM281" s="2"/>
      <c r="BN281" s="2"/>
      <c r="BO281" s="2"/>
      <c r="BS281" s="11"/>
      <c r="BT281" s="2"/>
      <c r="BU281" s="3"/>
      <c r="BV281" s="3"/>
      <c r="BW281" s="2"/>
      <c r="BX281" s="2"/>
      <c r="BY281" s="2"/>
      <c r="BZ281" s="2"/>
      <c r="CA281" s="2"/>
      <c r="CB281" s="2"/>
      <c r="CC281" s="2"/>
      <c r="CD281" s="1"/>
      <c r="CE281" s="1"/>
      <c r="CF281" s="1"/>
      <c r="CG281" s="1"/>
      <c r="CH281" s="1"/>
      <c r="CI281" s="2"/>
      <c r="CJ281" s="2"/>
      <c r="CK281" s="2"/>
      <c r="CL281" s="2"/>
      <c r="CM281" s="2"/>
      <c r="CN281" s="2"/>
      <c r="CO281" s="2"/>
      <c r="CP281" s="2"/>
      <c r="CQ281" s="2"/>
      <c r="CR281" s="2"/>
      <c r="CS281" s="2"/>
      <c r="CT281" s="2"/>
      <c r="CU281" s="2"/>
      <c r="CV281" s="2"/>
      <c r="CW281" s="2"/>
      <c r="CX281" s="2"/>
      <c r="CY281" s="2"/>
      <c r="CZ281" s="2"/>
    </row>
    <row r="282" spans="43:104" ht="15" hidden="1" customHeight="1" x14ac:dyDescent="0.2">
      <c r="AQ282" s="13"/>
      <c r="AR282" s="12">
        <v>1680000</v>
      </c>
      <c r="AS282" s="12">
        <v>2170000</v>
      </c>
      <c r="AT282" s="2"/>
      <c r="AU282" s="2"/>
      <c r="AV282" s="2"/>
      <c r="AW282" s="2"/>
      <c r="AX282" s="2"/>
      <c r="AY282" s="2"/>
      <c r="AZ282" s="2"/>
      <c r="BA282" s="2"/>
      <c r="BB282" s="2"/>
      <c r="BC282" s="2"/>
      <c r="BD282" s="2"/>
      <c r="BE282" s="2"/>
      <c r="BK282" s="2"/>
      <c r="BM282" s="2"/>
      <c r="BN282" s="2"/>
      <c r="BO282" s="2"/>
      <c r="BS282" s="11"/>
      <c r="BT282" s="2"/>
      <c r="BU282" s="3"/>
      <c r="BV282" s="3"/>
      <c r="BW282" s="2"/>
      <c r="BX282" s="2"/>
      <c r="BY282" s="2"/>
      <c r="BZ282" s="2"/>
      <c r="CA282" s="2"/>
      <c r="CB282" s="2"/>
      <c r="CC282" s="2"/>
      <c r="CD282" s="1"/>
      <c r="CE282" s="1"/>
      <c r="CF282" s="1"/>
      <c r="CG282" s="1"/>
      <c r="CH282" s="1"/>
      <c r="CI282" s="2"/>
      <c r="CJ282" s="2"/>
      <c r="CK282" s="2"/>
      <c r="CL282" s="2"/>
      <c r="CM282" s="2"/>
      <c r="CN282" s="2"/>
      <c r="CO282" s="2"/>
      <c r="CP282" s="2"/>
      <c r="CQ282" s="2"/>
      <c r="CR282" s="2"/>
      <c r="CS282" s="2"/>
      <c r="CT282" s="2"/>
      <c r="CU282" s="2"/>
      <c r="CV282" s="2"/>
      <c r="CW282" s="2"/>
      <c r="CX282" s="2"/>
      <c r="CY282" s="2"/>
      <c r="CZ282" s="2"/>
    </row>
    <row r="283" spans="43:104" ht="15" hidden="1" customHeight="1" x14ac:dyDescent="0.2">
      <c r="AQ283" s="13"/>
      <c r="AR283" s="12">
        <v>1685000</v>
      </c>
      <c r="AS283" s="12">
        <v>2180000</v>
      </c>
      <c r="AT283" s="2"/>
      <c r="AU283" s="2"/>
      <c r="AV283" s="2"/>
      <c r="AW283" s="2"/>
      <c r="AX283" s="2"/>
      <c r="AY283" s="2"/>
      <c r="AZ283" s="2"/>
      <c r="BA283" s="2"/>
      <c r="BB283" s="2"/>
      <c r="BC283" s="2"/>
      <c r="BD283" s="2"/>
      <c r="BE283" s="2"/>
      <c r="BK283" s="2"/>
      <c r="BM283" s="2"/>
      <c r="BN283" s="2"/>
      <c r="BO283" s="2"/>
      <c r="BS283" s="11"/>
      <c r="BT283" s="2"/>
      <c r="BU283" s="3"/>
      <c r="BV283" s="3"/>
      <c r="BW283" s="2"/>
      <c r="BX283" s="2"/>
      <c r="BY283" s="2"/>
      <c r="BZ283" s="2"/>
      <c r="CA283" s="2"/>
      <c r="CB283" s="2"/>
      <c r="CC283" s="2"/>
      <c r="CD283" s="1"/>
      <c r="CE283" s="1"/>
      <c r="CF283" s="1"/>
      <c r="CG283" s="1"/>
      <c r="CH283" s="1"/>
      <c r="CI283" s="2"/>
      <c r="CJ283" s="2"/>
      <c r="CK283" s="2"/>
      <c r="CL283" s="2"/>
      <c r="CM283" s="2"/>
      <c r="CN283" s="2"/>
      <c r="CO283" s="2"/>
      <c r="CP283" s="2"/>
      <c r="CQ283" s="2"/>
      <c r="CR283" s="2"/>
      <c r="CS283" s="2"/>
      <c r="CT283" s="2"/>
      <c r="CU283" s="2"/>
      <c r="CV283" s="2"/>
      <c r="CW283" s="2"/>
      <c r="CX283" s="2"/>
      <c r="CY283" s="2"/>
      <c r="CZ283" s="2"/>
    </row>
    <row r="284" spans="43:104" ht="15" hidden="1" customHeight="1" x14ac:dyDescent="0.2">
      <c r="AQ284" s="85"/>
      <c r="AR284" s="12">
        <v>1690000</v>
      </c>
      <c r="AS284" s="12">
        <v>2190000</v>
      </c>
      <c r="AT284" s="2"/>
      <c r="AU284" s="2"/>
      <c r="AV284" s="2"/>
      <c r="AW284" s="2"/>
      <c r="AX284" s="2"/>
      <c r="AY284" s="2"/>
      <c r="AZ284" s="2"/>
      <c r="BA284" s="2"/>
      <c r="BB284" s="2"/>
      <c r="BC284" s="2"/>
      <c r="BD284" s="2"/>
      <c r="BE284" s="2"/>
      <c r="BK284" s="2"/>
      <c r="BM284" s="2"/>
      <c r="BN284" s="2"/>
      <c r="BO284" s="2"/>
      <c r="BS284" s="11"/>
      <c r="BT284" s="2"/>
      <c r="BU284" s="3"/>
      <c r="BV284" s="3"/>
      <c r="BW284" s="2"/>
      <c r="BX284" s="2"/>
      <c r="BY284" s="2"/>
      <c r="BZ284" s="2"/>
      <c r="CA284" s="46"/>
      <c r="CB284" s="1"/>
      <c r="CC284" s="1"/>
      <c r="CD284" s="1"/>
      <c r="CE284" s="1"/>
      <c r="CF284" s="1"/>
      <c r="CG284" s="1"/>
      <c r="CH284" s="1"/>
      <c r="CI284" s="2"/>
      <c r="CJ284" s="2"/>
      <c r="CK284" s="2"/>
      <c r="CL284" s="2"/>
      <c r="CM284" s="2"/>
      <c r="CN284" s="2"/>
      <c r="CO284" s="2"/>
      <c r="CP284" s="2"/>
      <c r="CQ284" s="2"/>
      <c r="CR284" s="2"/>
      <c r="CS284" s="2"/>
      <c r="CT284" s="2"/>
      <c r="CU284" s="2"/>
      <c r="CV284" s="2"/>
      <c r="CW284" s="2"/>
      <c r="CX284" s="2"/>
      <c r="CY284" s="2"/>
      <c r="CZ284" s="2"/>
    </row>
    <row r="285" spans="43:104" ht="15" hidden="1" customHeight="1" x14ac:dyDescent="0.2">
      <c r="AQ285" s="12"/>
      <c r="AR285" s="12">
        <v>1695000</v>
      </c>
      <c r="AS285" s="12">
        <v>2200000</v>
      </c>
      <c r="AT285" s="2"/>
      <c r="AU285" s="2"/>
      <c r="AV285" s="2"/>
      <c r="AW285" s="2"/>
      <c r="AX285" s="2"/>
      <c r="AY285" s="2"/>
      <c r="AZ285" s="2"/>
      <c r="BA285" s="2"/>
      <c r="BB285" s="2"/>
      <c r="BC285" s="2"/>
      <c r="BD285" s="2"/>
      <c r="BE285" s="2"/>
      <c r="BK285" s="2"/>
      <c r="BM285" s="2"/>
      <c r="BN285" s="2"/>
      <c r="BO285" s="2"/>
      <c r="BS285" s="11"/>
      <c r="BT285" s="2"/>
      <c r="BU285" s="3"/>
      <c r="BV285" s="3"/>
      <c r="BW285" s="2"/>
      <c r="BX285" s="2"/>
      <c r="BY285" s="2"/>
      <c r="BZ285" s="2"/>
      <c r="CA285" s="46"/>
      <c r="CB285" s="1"/>
      <c r="CC285" s="1"/>
      <c r="CD285" s="1"/>
      <c r="CE285" s="1"/>
      <c r="CF285" s="1"/>
      <c r="CG285" s="1"/>
      <c r="CH285" s="1"/>
      <c r="CI285" s="2"/>
      <c r="CJ285" s="2"/>
      <c r="CK285" s="2"/>
      <c r="CL285" s="2"/>
      <c r="CM285" s="2"/>
      <c r="CN285" s="2"/>
      <c r="CO285" s="2"/>
      <c r="CP285" s="2"/>
      <c r="CQ285" s="2"/>
      <c r="CR285" s="2"/>
      <c r="CS285" s="2"/>
      <c r="CT285" s="2"/>
      <c r="CU285" s="2"/>
      <c r="CV285" s="2"/>
      <c r="CW285" s="2"/>
      <c r="CX285" s="2"/>
      <c r="CY285" s="2"/>
      <c r="CZ285" s="2"/>
    </row>
    <row r="286" spans="43:104" ht="15" hidden="1" customHeight="1" x14ac:dyDescent="0.2">
      <c r="AQ286" s="12"/>
      <c r="AR286" s="12">
        <v>1700000</v>
      </c>
      <c r="AS286" s="12">
        <v>2210000</v>
      </c>
      <c r="AT286" s="2"/>
      <c r="AU286" s="2"/>
      <c r="AV286" s="2"/>
      <c r="AW286" s="2"/>
      <c r="AX286" s="2"/>
      <c r="AY286" s="2"/>
      <c r="AZ286" s="2"/>
      <c r="BA286" s="2"/>
      <c r="BB286" s="2"/>
      <c r="BC286" s="2"/>
      <c r="BD286" s="2"/>
      <c r="BE286" s="2"/>
      <c r="BK286" s="2"/>
      <c r="BM286" s="2"/>
      <c r="BN286" s="2"/>
      <c r="BO286" s="2"/>
      <c r="BS286" s="11"/>
      <c r="BT286" s="2"/>
      <c r="BU286" s="3"/>
      <c r="BV286" s="3"/>
      <c r="BW286" s="2"/>
      <c r="BX286" s="2"/>
      <c r="BY286" s="2"/>
      <c r="BZ286" s="2"/>
      <c r="CA286" s="46"/>
      <c r="CB286" s="1"/>
      <c r="CC286" s="1"/>
      <c r="CD286" s="1"/>
      <c r="CE286" s="1"/>
      <c r="CF286" s="1"/>
      <c r="CG286" s="1"/>
      <c r="CH286" s="1"/>
      <c r="CI286" s="2"/>
      <c r="CJ286" s="2"/>
      <c r="CK286" s="2"/>
      <c r="CL286" s="2"/>
      <c r="CM286" s="2"/>
      <c r="CN286" s="2"/>
      <c r="CO286" s="2"/>
      <c r="CP286" s="2"/>
      <c r="CQ286" s="2"/>
      <c r="CR286" s="2"/>
      <c r="CS286" s="2"/>
      <c r="CT286" s="2"/>
      <c r="CU286" s="2"/>
      <c r="CV286" s="2"/>
      <c r="CW286" s="2"/>
      <c r="CX286" s="2"/>
      <c r="CY286" s="2"/>
      <c r="CZ286" s="2"/>
    </row>
    <row r="287" spans="43:104" ht="15" hidden="1" customHeight="1" x14ac:dyDescent="0.2">
      <c r="AQ287" s="13"/>
      <c r="AR287" s="12">
        <v>1705000</v>
      </c>
      <c r="AS287" s="12">
        <v>2220000</v>
      </c>
      <c r="AT287" s="2"/>
      <c r="AU287" s="2"/>
      <c r="AV287" s="2"/>
      <c r="AW287" s="2"/>
      <c r="AX287" s="2"/>
      <c r="AY287" s="2"/>
      <c r="AZ287" s="2"/>
      <c r="BA287" s="2"/>
      <c r="BB287" s="2"/>
      <c r="BC287" s="2"/>
      <c r="BD287" s="2"/>
      <c r="BE287" s="2"/>
      <c r="BK287" s="2"/>
      <c r="BM287" s="2"/>
      <c r="BN287" s="2"/>
      <c r="BO287" s="2"/>
      <c r="BS287" s="11"/>
      <c r="BT287" s="2"/>
      <c r="BU287" s="3"/>
      <c r="BV287" s="3"/>
      <c r="BW287" s="2"/>
      <c r="BX287" s="2"/>
      <c r="BY287" s="2"/>
      <c r="BZ287" s="2"/>
      <c r="CA287" s="46"/>
      <c r="CB287" s="1"/>
      <c r="CC287" s="1"/>
      <c r="CD287" s="1"/>
      <c r="CE287" s="1"/>
      <c r="CF287" s="1"/>
      <c r="CG287" s="1"/>
      <c r="CH287" s="1"/>
      <c r="CI287" s="2"/>
      <c r="CJ287" s="2"/>
      <c r="CK287" s="2"/>
      <c r="CL287" s="2"/>
      <c r="CM287" s="2"/>
      <c r="CN287" s="2"/>
      <c r="CO287" s="2"/>
      <c r="CP287" s="2"/>
      <c r="CQ287" s="2"/>
      <c r="CR287" s="2"/>
      <c r="CS287" s="2"/>
      <c r="CT287" s="2"/>
      <c r="CU287" s="2"/>
      <c r="CV287" s="2"/>
      <c r="CW287" s="2"/>
      <c r="CX287" s="2"/>
      <c r="CY287" s="2"/>
      <c r="CZ287" s="2"/>
    </row>
    <row r="288" spans="43:104" ht="15" hidden="1" customHeight="1" x14ac:dyDescent="0.2">
      <c r="AQ288" s="13"/>
      <c r="AR288" s="12">
        <v>1710000</v>
      </c>
      <c r="AS288" s="12">
        <v>2230000</v>
      </c>
      <c r="AT288" s="2"/>
      <c r="AU288" s="2"/>
      <c r="AV288" s="2"/>
      <c r="AW288" s="2"/>
      <c r="AX288" s="2"/>
      <c r="AY288" s="2"/>
      <c r="AZ288" s="2"/>
      <c r="BA288" s="2"/>
      <c r="BB288" s="2"/>
      <c r="BC288" s="2"/>
      <c r="BD288" s="2"/>
      <c r="BE288" s="2"/>
      <c r="BK288" s="2"/>
      <c r="BM288" s="2"/>
      <c r="BN288" s="2"/>
      <c r="BO288" s="2"/>
      <c r="BS288" s="11"/>
      <c r="BT288" s="2"/>
      <c r="BU288" s="3"/>
      <c r="BV288" s="3"/>
      <c r="BW288" s="2"/>
      <c r="BX288" s="2"/>
      <c r="BY288" s="2"/>
      <c r="BZ288" s="2"/>
      <c r="CA288" s="46"/>
      <c r="CB288" s="1"/>
      <c r="CC288" s="1"/>
      <c r="CD288" s="1"/>
      <c r="CE288" s="1"/>
      <c r="CF288" s="1"/>
      <c r="CG288" s="1"/>
      <c r="CH288" s="1"/>
      <c r="CI288" s="2"/>
      <c r="CJ288" s="2"/>
      <c r="CK288" s="2"/>
      <c r="CL288" s="2"/>
      <c r="CM288" s="2"/>
      <c r="CN288" s="2"/>
      <c r="CO288" s="2"/>
      <c r="CP288" s="2"/>
      <c r="CQ288" s="2"/>
      <c r="CR288" s="2"/>
      <c r="CS288" s="2"/>
      <c r="CT288" s="2"/>
      <c r="CU288" s="2"/>
      <c r="CV288" s="2"/>
      <c r="CW288" s="2"/>
      <c r="CX288" s="2"/>
      <c r="CY288" s="2"/>
      <c r="CZ288" s="2"/>
    </row>
    <row r="289" spans="43:104" ht="15" hidden="1" customHeight="1" x14ac:dyDescent="0.2">
      <c r="AQ289" s="85"/>
      <c r="AR289" s="12">
        <v>1715000</v>
      </c>
      <c r="AS289" s="12">
        <v>2240000</v>
      </c>
      <c r="AT289" s="2"/>
      <c r="AU289" s="2"/>
      <c r="AV289" s="2"/>
      <c r="AW289" s="2"/>
      <c r="AX289" s="2"/>
      <c r="AY289" s="2"/>
      <c r="AZ289" s="2"/>
      <c r="BA289" s="2"/>
      <c r="BB289" s="2"/>
      <c r="BC289" s="2"/>
      <c r="BD289" s="2"/>
      <c r="BE289" s="2"/>
      <c r="BK289" s="2"/>
      <c r="BM289" s="2"/>
      <c r="BN289" s="2"/>
      <c r="BO289" s="2"/>
      <c r="BS289" s="11"/>
      <c r="BT289" s="2"/>
      <c r="BU289" s="3"/>
      <c r="BV289" s="3"/>
      <c r="BW289" s="2"/>
      <c r="BX289" s="2"/>
      <c r="BY289" s="2"/>
      <c r="BZ289" s="2"/>
      <c r="CA289" s="46"/>
      <c r="CB289" s="1"/>
      <c r="CC289" s="1"/>
      <c r="CD289" s="1"/>
      <c r="CE289" s="1"/>
      <c r="CF289" s="1"/>
      <c r="CG289" s="1"/>
      <c r="CH289" s="1"/>
      <c r="CI289" s="2"/>
      <c r="CJ289" s="2"/>
      <c r="CK289" s="2"/>
      <c r="CL289" s="2"/>
      <c r="CM289" s="2"/>
      <c r="CN289" s="2"/>
      <c r="CO289" s="2"/>
      <c r="CP289" s="2"/>
      <c r="CQ289" s="2"/>
      <c r="CR289" s="2"/>
      <c r="CS289" s="2"/>
      <c r="CT289" s="2"/>
      <c r="CU289" s="2"/>
      <c r="CV289" s="2"/>
      <c r="CW289" s="2"/>
      <c r="CX289" s="2"/>
      <c r="CY289" s="2"/>
      <c r="CZ289" s="2"/>
    </row>
    <row r="290" spans="43:104" ht="15" hidden="1" customHeight="1" x14ac:dyDescent="0.2">
      <c r="AQ290" s="12"/>
      <c r="AR290" s="12">
        <v>1720000</v>
      </c>
      <c r="AS290" s="12">
        <v>2250000</v>
      </c>
      <c r="AT290" s="2"/>
      <c r="AU290" s="2"/>
      <c r="AV290" s="2"/>
      <c r="AW290" s="2"/>
      <c r="AX290" s="2"/>
      <c r="AY290" s="2"/>
      <c r="AZ290" s="2"/>
      <c r="BA290" s="2"/>
      <c r="BB290" s="2"/>
      <c r="BC290" s="2"/>
      <c r="BD290" s="2"/>
      <c r="BE290" s="2"/>
      <c r="BK290" s="2"/>
      <c r="BM290" s="2"/>
      <c r="BN290" s="2"/>
      <c r="BO290" s="2"/>
      <c r="BS290" s="11"/>
      <c r="BT290" s="2"/>
      <c r="BU290" s="3"/>
      <c r="BV290" s="3"/>
      <c r="BW290" s="2"/>
      <c r="BX290" s="2"/>
      <c r="BY290" s="2"/>
      <c r="BZ290" s="2"/>
      <c r="CA290" s="46"/>
      <c r="CB290" s="1"/>
      <c r="CC290" s="1"/>
      <c r="CD290" s="1"/>
      <c r="CE290" s="1"/>
      <c r="CF290" s="1"/>
      <c r="CG290" s="1"/>
      <c r="CH290" s="1"/>
      <c r="CI290" s="2"/>
      <c r="CJ290" s="2"/>
      <c r="CK290" s="2"/>
      <c r="CL290" s="2"/>
      <c r="CM290" s="2"/>
      <c r="CN290" s="2"/>
      <c r="CO290" s="2"/>
      <c r="CP290" s="2"/>
      <c r="CQ290" s="2"/>
      <c r="CR290" s="2"/>
      <c r="CS290" s="2"/>
      <c r="CT290" s="2"/>
      <c r="CU290" s="2"/>
      <c r="CV290" s="2"/>
      <c r="CW290" s="2"/>
      <c r="CX290" s="2"/>
      <c r="CY290" s="2"/>
      <c r="CZ290" s="2"/>
    </row>
    <row r="291" spans="43:104" ht="15" hidden="1" customHeight="1" x14ac:dyDescent="0.2">
      <c r="AQ291" s="12"/>
      <c r="AR291" s="12">
        <v>1725000</v>
      </c>
      <c r="AS291" s="12">
        <v>2260000</v>
      </c>
      <c r="AT291" s="2"/>
      <c r="AU291" s="2"/>
      <c r="AV291" s="2"/>
      <c r="AW291" s="2"/>
      <c r="AX291" s="2"/>
      <c r="AY291" s="2"/>
      <c r="AZ291" s="2"/>
      <c r="BA291" s="2"/>
      <c r="BB291" s="2"/>
      <c r="BC291" s="2"/>
      <c r="BD291" s="2"/>
      <c r="BE291" s="2"/>
      <c r="BK291" s="2"/>
      <c r="BM291" s="2"/>
      <c r="BN291" s="2"/>
      <c r="BO291" s="2"/>
      <c r="BS291" s="11"/>
      <c r="BT291" s="2"/>
      <c r="BU291" s="3"/>
      <c r="BV291" s="3"/>
      <c r="BW291" s="2"/>
      <c r="BX291" s="2"/>
      <c r="BY291" s="2"/>
      <c r="BZ291" s="46"/>
      <c r="CA291" s="1"/>
      <c r="CB291" s="1"/>
      <c r="CC291" s="1"/>
      <c r="CD291" s="1"/>
      <c r="CE291" s="1"/>
      <c r="CF291" s="1"/>
      <c r="CG291" s="1"/>
      <c r="CH291" s="1"/>
      <c r="CI291" s="2"/>
      <c r="CJ291" s="2"/>
      <c r="CK291" s="2"/>
      <c r="CL291" s="2"/>
      <c r="CM291" s="2"/>
      <c r="CN291" s="2"/>
      <c r="CO291" s="2"/>
      <c r="CP291" s="2"/>
      <c r="CQ291" s="2"/>
      <c r="CR291" s="2"/>
      <c r="CS291" s="2"/>
      <c r="CT291" s="2"/>
      <c r="CU291" s="2"/>
      <c r="CV291" s="2"/>
      <c r="CW291" s="2"/>
      <c r="CX291" s="2"/>
      <c r="CY291" s="2"/>
      <c r="CZ291" s="2"/>
    </row>
    <row r="292" spans="43:104" ht="15" hidden="1" customHeight="1" x14ac:dyDescent="0.2">
      <c r="AQ292" s="13"/>
      <c r="AR292" s="12">
        <v>1730000</v>
      </c>
      <c r="AS292" s="12">
        <v>2270000</v>
      </c>
      <c r="AT292" s="2"/>
      <c r="AU292" s="2"/>
      <c r="AV292" s="2"/>
      <c r="AW292" s="2"/>
      <c r="AX292" s="2"/>
      <c r="AY292" s="2"/>
      <c r="AZ292" s="2"/>
      <c r="BA292" s="2"/>
      <c r="BB292" s="2"/>
      <c r="BC292" s="2"/>
      <c r="BD292" s="2"/>
      <c r="BE292" s="2"/>
      <c r="BK292" s="2"/>
      <c r="BM292" s="2"/>
      <c r="BN292" s="2"/>
      <c r="BO292" s="2"/>
      <c r="BS292" s="11"/>
      <c r="BT292" s="2"/>
      <c r="BU292" s="3"/>
      <c r="BV292" s="3"/>
      <c r="BW292" s="2"/>
      <c r="BX292" s="2"/>
      <c r="BY292" s="2"/>
      <c r="BZ292" s="2"/>
      <c r="CA292" s="46"/>
      <c r="CB292" s="1"/>
      <c r="CC292" s="1"/>
      <c r="CD292" s="1"/>
      <c r="CE292" s="1"/>
      <c r="CF292" s="1"/>
      <c r="CG292" s="1"/>
      <c r="CH292" s="1"/>
      <c r="CI292" s="2"/>
      <c r="CJ292" s="2"/>
      <c r="CK292" s="2"/>
      <c r="CL292" s="2"/>
      <c r="CM292" s="2"/>
      <c r="CN292" s="2"/>
      <c r="CO292" s="2"/>
      <c r="CP292" s="2"/>
      <c r="CQ292" s="2"/>
      <c r="CR292" s="2"/>
      <c r="CS292" s="2"/>
      <c r="CT292" s="2"/>
      <c r="CU292" s="2"/>
      <c r="CV292" s="2"/>
      <c r="CW292" s="2"/>
      <c r="CX292" s="2"/>
      <c r="CY292" s="2"/>
      <c r="CZ292" s="2"/>
    </row>
    <row r="293" spans="43:104" ht="15" hidden="1" customHeight="1" x14ac:dyDescent="0.2">
      <c r="AQ293" s="13"/>
      <c r="AR293" s="12">
        <v>1735000</v>
      </c>
      <c r="AS293" s="12">
        <v>2280000</v>
      </c>
      <c r="AT293" s="2"/>
      <c r="AU293" s="2"/>
      <c r="AV293" s="2"/>
      <c r="AW293" s="2"/>
      <c r="AX293" s="2"/>
      <c r="AY293" s="2"/>
      <c r="AZ293" s="2"/>
      <c r="BA293" s="2"/>
      <c r="BB293" s="2"/>
      <c r="BC293" s="2"/>
      <c r="BD293" s="2"/>
      <c r="BE293" s="2"/>
      <c r="BK293" s="2"/>
      <c r="BM293" s="2"/>
      <c r="BN293" s="2"/>
      <c r="BO293" s="2"/>
      <c r="BS293" s="11"/>
      <c r="BT293" s="2"/>
      <c r="BU293" s="3"/>
      <c r="BV293" s="3"/>
      <c r="BW293" s="2"/>
      <c r="BX293" s="2"/>
      <c r="BY293" s="2"/>
      <c r="BZ293" s="2"/>
      <c r="CA293" s="2"/>
      <c r="CB293" s="2"/>
      <c r="CC293" s="2"/>
      <c r="CD293" s="1"/>
      <c r="CE293" s="1"/>
      <c r="CF293" s="1"/>
      <c r="CG293" s="1"/>
      <c r="CH293" s="1"/>
      <c r="CI293" s="2"/>
      <c r="CJ293" s="2"/>
      <c r="CK293" s="2"/>
      <c r="CL293" s="2"/>
      <c r="CM293" s="2"/>
      <c r="CN293" s="2"/>
      <c r="CO293" s="2"/>
      <c r="CP293" s="2"/>
      <c r="CQ293" s="2"/>
      <c r="CR293" s="2"/>
      <c r="CS293" s="2"/>
      <c r="CT293" s="2"/>
      <c r="CU293" s="2"/>
      <c r="CV293" s="2"/>
      <c r="CW293" s="2"/>
      <c r="CX293" s="2"/>
      <c r="CY293" s="2"/>
      <c r="CZ293" s="2"/>
    </row>
    <row r="294" spans="43:104" ht="15" hidden="1" customHeight="1" x14ac:dyDescent="0.2">
      <c r="AQ294" s="85"/>
      <c r="AR294" s="12">
        <v>1740000</v>
      </c>
      <c r="AS294" s="12">
        <v>2290000</v>
      </c>
      <c r="AT294" s="2"/>
      <c r="AU294" s="2"/>
      <c r="AV294" s="2"/>
      <c r="AW294" s="2"/>
      <c r="AX294" s="2"/>
      <c r="AY294" s="2"/>
      <c r="AZ294" s="2"/>
      <c r="BA294" s="2"/>
      <c r="BB294" s="2"/>
      <c r="BC294" s="2"/>
      <c r="BD294" s="2"/>
      <c r="BE294" s="2"/>
      <c r="BK294" s="2"/>
      <c r="BM294" s="2"/>
      <c r="BN294" s="2"/>
      <c r="BO294" s="2"/>
      <c r="BS294" s="11"/>
      <c r="BT294" s="2"/>
      <c r="BU294" s="3"/>
      <c r="BV294" s="3"/>
      <c r="BW294" s="2"/>
      <c r="BX294" s="2"/>
      <c r="BY294" s="2"/>
      <c r="BZ294" s="2"/>
      <c r="CA294" s="2"/>
      <c r="CB294" s="2"/>
      <c r="CC294" s="2"/>
      <c r="CD294" s="1"/>
      <c r="CE294" s="1"/>
      <c r="CF294" s="1"/>
      <c r="CG294" s="1"/>
      <c r="CH294" s="1"/>
      <c r="CI294" s="2"/>
      <c r="CJ294" s="2"/>
      <c r="CK294" s="2"/>
      <c r="CL294" s="2"/>
      <c r="CM294" s="2"/>
      <c r="CN294" s="2"/>
      <c r="CO294" s="2"/>
      <c r="CP294" s="2"/>
      <c r="CQ294" s="2"/>
      <c r="CR294" s="2"/>
      <c r="CS294" s="2"/>
      <c r="CT294" s="2"/>
      <c r="CU294" s="2"/>
      <c r="CV294" s="2"/>
      <c r="CW294" s="2"/>
      <c r="CX294" s="2"/>
      <c r="CY294" s="2"/>
      <c r="CZ294" s="2"/>
    </row>
    <row r="295" spans="43:104" ht="15" hidden="1" customHeight="1" x14ac:dyDescent="0.2">
      <c r="AQ295" s="12"/>
      <c r="AR295" s="12">
        <v>1745000</v>
      </c>
      <c r="AS295" s="12">
        <v>2300000</v>
      </c>
      <c r="AT295" s="2"/>
      <c r="AU295" s="2"/>
      <c r="AV295" s="2"/>
      <c r="AW295" s="2"/>
      <c r="AX295" s="2"/>
      <c r="AY295" s="2"/>
      <c r="AZ295" s="2"/>
      <c r="BA295" s="2"/>
      <c r="BB295" s="2"/>
      <c r="BC295" s="2"/>
      <c r="BD295" s="2"/>
      <c r="BE295" s="2"/>
      <c r="BK295" s="2"/>
      <c r="BM295" s="2"/>
      <c r="BN295" s="2"/>
      <c r="BO295" s="2"/>
      <c r="BS295" s="11"/>
      <c r="BT295" s="2"/>
      <c r="BU295" s="3"/>
      <c r="BV295" s="3"/>
      <c r="BW295" s="2"/>
      <c r="BX295" s="2"/>
      <c r="BY295" s="2"/>
      <c r="BZ295" s="2"/>
      <c r="CA295" s="2"/>
      <c r="CB295" s="2"/>
      <c r="CC295" s="2"/>
      <c r="CD295" s="1"/>
      <c r="CE295" s="1"/>
      <c r="CF295" s="1"/>
      <c r="CG295" s="1"/>
      <c r="CH295" s="1"/>
      <c r="CI295" s="2"/>
      <c r="CJ295" s="2"/>
      <c r="CK295" s="2"/>
      <c r="CL295" s="2"/>
      <c r="CM295" s="2"/>
      <c r="CN295" s="2"/>
      <c r="CO295" s="2"/>
      <c r="CP295" s="2"/>
      <c r="CQ295" s="2"/>
      <c r="CR295" s="2"/>
      <c r="CS295" s="2"/>
      <c r="CT295" s="2"/>
      <c r="CU295" s="2"/>
      <c r="CV295" s="2"/>
      <c r="CW295" s="2"/>
      <c r="CX295" s="2"/>
      <c r="CY295" s="2"/>
      <c r="CZ295" s="2"/>
    </row>
    <row r="296" spans="43:104" ht="15" hidden="1" customHeight="1" x14ac:dyDescent="0.2">
      <c r="AQ296" s="12"/>
      <c r="AR296" s="12">
        <v>1750000</v>
      </c>
      <c r="AS296" s="12">
        <v>2310000</v>
      </c>
      <c r="AT296" s="2"/>
      <c r="AU296" s="2"/>
      <c r="AV296" s="2"/>
      <c r="AW296" s="2"/>
      <c r="AX296" s="2"/>
      <c r="AY296" s="2"/>
      <c r="AZ296" s="2"/>
      <c r="BA296" s="2"/>
      <c r="BB296" s="2"/>
      <c r="BC296" s="2"/>
      <c r="BD296" s="2"/>
      <c r="BE296" s="2"/>
      <c r="BK296" s="2"/>
      <c r="BM296" s="2"/>
      <c r="BN296" s="2"/>
      <c r="BO296" s="2"/>
      <c r="BS296" s="11"/>
      <c r="BT296" s="2"/>
      <c r="BU296" s="3"/>
      <c r="BV296" s="3"/>
      <c r="BW296" s="2"/>
      <c r="BX296" s="2"/>
      <c r="BY296" s="2"/>
      <c r="BZ296" s="2"/>
      <c r="CA296" s="2"/>
      <c r="CB296" s="2"/>
      <c r="CC296" s="2"/>
      <c r="CD296" s="1"/>
      <c r="CE296" s="1"/>
      <c r="CF296" s="1"/>
      <c r="CG296" s="1"/>
      <c r="CH296" s="1"/>
      <c r="CI296" s="2"/>
      <c r="CJ296" s="2"/>
      <c r="CK296" s="2"/>
      <c r="CL296" s="2"/>
      <c r="CM296" s="2"/>
      <c r="CN296" s="2"/>
      <c r="CO296" s="2"/>
      <c r="CP296" s="2"/>
      <c r="CQ296" s="2"/>
      <c r="CR296" s="2"/>
      <c r="CS296" s="2"/>
      <c r="CT296" s="2"/>
      <c r="CU296" s="2"/>
      <c r="CV296" s="2"/>
      <c r="CW296" s="2"/>
      <c r="CX296" s="2"/>
      <c r="CY296" s="2"/>
      <c r="CZ296" s="2"/>
    </row>
    <row r="297" spans="43:104" ht="15" hidden="1" customHeight="1" x14ac:dyDescent="0.2">
      <c r="AQ297" s="13"/>
      <c r="AR297" s="12">
        <v>1755000</v>
      </c>
      <c r="AS297" s="12">
        <v>2320000</v>
      </c>
      <c r="AT297" s="2"/>
      <c r="AU297" s="2"/>
      <c r="AV297" s="2"/>
      <c r="AW297" s="2"/>
      <c r="AX297" s="2"/>
      <c r="AY297" s="2"/>
      <c r="AZ297" s="2"/>
      <c r="BA297" s="2"/>
      <c r="BB297" s="2"/>
      <c r="BC297" s="2"/>
      <c r="BD297" s="2"/>
      <c r="BE297" s="2"/>
      <c r="BK297" s="2"/>
      <c r="BM297" s="2"/>
      <c r="BN297" s="2"/>
      <c r="BO297" s="2"/>
      <c r="BS297" s="11"/>
      <c r="BT297" s="2"/>
      <c r="BU297" s="3"/>
      <c r="BV297" s="3"/>
      <c r="BW297" s="2"/>
      <c r="BX297" s="2"/>
      <c r="BY297" s="2"/>
      <c r="BZ297" s="2"/>
      <c r="CA297" s="2"/>
      <c r="CB297" s="2"/>
      <c r="CC297" s="2"/>
      <c r="CD297" s="1"/>
      <c r="CE297" s="1"/>
      <c r="CF297" s="1"/>
      <c r="CG297" s="1"/>
      <c r="CH297" s="1"/>
      <c r="CI297" s="2"/>
      <c r="CJ297" s="2"/>
      <c r="CK297" s="2"/>
      <c r="CL297" s="2"/>
      <c r="CM297" s="2"/>
      <c r="CN297" s="2"/>
      <c r="CO297" s="2"/>
      <c r="CP297" s="2"/>
      <c r="CQ297" s="2"/>
      <c r="CR297" s="2"/>
      <c r="CS297" s="2"/>
      <c r="CT297" s="2"/>
      <c r="CU297" s="2"/>
      <c r="CV297" s="2"/>
      <c r="CW297" s="2"/>
      <c r="CX297" s="2"/>
      <c r="CY297" s="2"/>
      <c r="CZ297" s="2"/>
    </row>
    <row r="298" spans="43:104" ht="15" hidden="1" customHeight="1" x14ac:dyDescent="0.2">
      <c r="AQ298" s="13"/>
      <c r="AR298" s="12">
        <v>1760000</v>
      </c>
      <c r="AS298" s="12">
        <v>2330000</v>
      </c>
      <c r="AT298" s="2"/>
      <c r="AU298" s="2"/>
      <c r="AV298" s="2"/>
      <c r="AW298" s="2"/>
      <c r="AX298" s="2"/>
      <c r="AY298" s="2"/>
      <c r="AZ298" s="2"/>
      <c r="BA298" s="2"/>
      <c r="BB298" s="2"/>
      <c r="BC298" s="2"/>
      <c r="BD298" s="2"/>
      <c r="BE298" s="2"/>
      <c r="BK298" s="2"/>
      <c r="BM298" s="2"/>
      <c r="BN298" s="2"/>
      <c r="BO298" s="2"/>
      <c r="BS298" s="11"/>
      <c r="BT298" s="2"/>
      <c r="BU298" s="3"/>
      <c r="BV298" s="3"/>
      <c r="BW298" s="2"/>
      <c r="BX298" s="2"/>
      <c r="BY298" s="2"/>
      <c r="BZ298" s="2"/>
      <c r="CA298" s="2"/>
      <c r="CB298" s="2"/>
      <c r="CC298" s="2"/>
      <c r="CD298" s="1"/>
      <c r="CE298" s="1"/>
      <c r="CF298" s="1"/>
      <c r="CG298" s="1"/>
      <c r="CH298" s="1"/>
      <c r="CI298" s="2"/>
      <c r="CJ298" s="2"/>
      <c r="CK298" s="2"/>
      <c r="CL298" s="2"/>
      <c r="CM298" s="2"/>
      <c r="CN298" s="2"/>
      <c r="CO298" s="2"/>
      <c r="CP298" s="2"/>
      <c r="CQ298" s="2"/>
      <c r="CR298" s="2"/>
      <c r="CS298" s="2"/>
      <c r="CT298" s="2"/>
      <c r="CU298" s="2"/>
      <c r="CV298" s="2"/>
      <c r="CW298" s="2"/>
      <c r="CX298" s="2"/>
      <c r="CY298" s="2"/>
      <c r="CZ298" s="2"/>
    </row>
    <row r="299" spans="43:104" ht="15" hidden="1" customHeight="1" x14ac:dyDescent="0.2">
      <c r="AQ299" s="85"/>
      <c r="AR299" s="12">
        <v>1765000</v>
      </c>
      <c r="AS299" s="12">
        <v>2340000</v>
      </c>
      <c r="AT299" s="2"/>
      <c r="AU299" s="2"/>
      <c r="AV299" s="2"/>
      <c r="AW299" s="2"/>
      <c r="AX299" s="2"/>
      <c r="AY299" s="2"/>
      <c r="AZ299" s="2"/>
      <c r="BA299" s="2"/>
      <c r="BB299" s="2"/>
      <c r="BC299" s="2"/>
      <c r="BD299" s="2"/>
      <c r="BE299" s="2"/>
      <c r="BK299" s="2"/>
      <c r="BM299" s="2"/>
      <c r="BN299" s="2"/>
      <c r="BO299" s="2"/>
      <c r="BS299" s="11"/>
      <c r="BT299" s="2"/>
      <c r="BU299" s="3"/>
      <c r="BV299" s="3"/>
      <c r="BW299" s="2"/>
      <c r="BX299" s="2"/>
      <c r="BY299" s="2"/>
      <c r="BZ299" s="2"/>
      <c r="CA299" s="2"/>
      <c r="CB299" s="2"/>
      <c r="CC299" s="2"/>
      <c r="CD299" s="1"/>
      <c r="CE299" s="1"/>
      <c r="CF299" s="1"/>
      <c r="CG299" s="1"/>
      <c r="CH299" s="1"/>
      <c r="CI299" s="2"/>
      <c r="CJ299" s="2"/>
      <c r="CK299" s="2"/>
      <c r="CL299" s="2"/>
      <c r="CM299" s="2"/>
      <c r="CN299" s="2"/>
      <c r="CO299" s="2"/>
      <c r="CP299" s="2"/>
      <c r="CQ299" s="2"/>
      <c r="CR299" s="2"/>
      <c r="CS299" s="2"/>
      <c r="CT299" s="2"/>
      <c r="CU299" s="2"/>
      <c r="CV299" s="2"/>
      <c r="CW299" s="2"/>
      <c r="CX299" s="2"/>
      <c r="CY299" s="2"/>
      <c r="CZ299" s="2"/>
    </row>
    <row r="300" spans="43:104" ht="15" hidden="1" customHeight="1" x14ac:dyDescent="0.2">
      <c r="AQ300" s="12"/>
      <c r="AR300" s="12">
        <v>1770000</v>
      </c>
      <c r="AS300" s="12">
        <v>2350000</v>
      </c>
      <c r="AT300" s="2"/>
      <c r="AU300" s="2"/>
      <c r="AV300" s="2"/>
      <c r="AW300" s="2"/>
      <c r="AX300" s="2"/>
      <c r="AY300" s="2"/>
      <c r="AZ300" s="2"/>
      <c r="BA300" s="2"/>
      <c r="BB300" s="2"/>
      <c r="BC300" s="2"/>
      <c r="BD300" s="2"/>
      <c r="BE300" s="2"/>
      <c r="BK300" s="2"/>
      <c r="BM300" s="2"/>
      <c r="BN300" s="2"/>
      <c r="BO300" s="2"/>
      <c r="BS300" s="11"/>
      <c r="BT300" s="2"/>
      <c r="BU300" s="3"/>
      <c r="BV300" s="3"/>
      <c r="BW300" s="2"/>
      <c r="BX300" s="2"/>
      <c r="BY300" s="2"/>
      <c r="BZ300" s="2"/>
      <c r="CA300" s="2"/>
      <c r="CB300" s="2"/>
      <c r="CC300" s="2"/>
      <c r="CD300" s="1"/>
      <c r="CE300" s="1"/>
      <c r="CF300" s="1"/>
      <c r="CG300" s="1"/>
      <c r="CH300" s="1"/>
      <c r="CI300" s="2"/>
      <c r="CJ300" s="2"/>
      <c r="CK300" s="2"/>
      <c r="CL300" s="2"/>
      <c r="CM300" s="2"/>
      <c r="CN300" s="2"/>
      <c r="CO300" s="2"/>
      <c r="CP300" s="2"/>
      <c r="CQ300" s="2"/>
      <c r="CR300" s="2"/>
      <c r="CS300" s="2"/>
      <c r="CT300" s="2"/>
      <c r="CU300" s="2"/>
      <c r="CV300" s="2"/>
      <c r="CW300" s="2"/>
      <c r="CX300" s="2"/>
      <c r="CY300" s="2"/>
      <c r="CZ300" s="2"/>
    </row>
    <row r="301" spans="43:104" ht="15" hidden="1" customHeight="1" x14ac:dyDescent="0.2">
      <c r="AQ301" s="12"/>
      <c r="AR301" s="12">
        <v>1775000</v>
      </c>
      <c r="AS301" s="12">
        <v>2360000</v>
      </c>
      <c r="AT301" s="2"/>
      <c r="AU301" s="2"/>
      <c r="AV301" s="2"/>
      <c r="AW301" s="2"/>
      <c r="AX301" s="2"/>
      <c r="AY301" s="2"/>
      <c r="AZ301" s="2"/>
      <c r="BA301" s="2"/>
      <c r="BB301" s="2"/>
      <c r="BC301" s="2"/>
      <c r="BD301" s="2"/>
      <c r="BE301" s="2"/>
      <c r="BK301" s="2"/>
      <c r="BM301" s="2"/>
      <c r="BN301" s="2"/>
      <c r="BO301" s="2"/>
      <c r="BS301" s="11"/>
      <c r="BT301" s="2"/>
      <c r="BU301" s="3"/>
      <c r="BV301" s="3"/>
      <c r="BW301" s="2"/>
      <c r="BX301" s="2"/>
      <c r="BY301" s="2"/>
      <c r="BZ301" s="2"/>
      <c r="CA301" s="2"/>
      <c r="CB301" s="2"/>
      <c r="CC301" s="2"/>
      <c r="CD301" s="1"/>
      <c r="CE301" s="1"/>
      <c r="CF301" s="1"/>
      <c r="CG301" s="1"/>
      <c r="CH301" s="1"/>
      <c r="CI301" s="2"/>
      <c r="CJ301" s="2"/>
      <c r="CK301" s="2"/>
      <c r="CL301" s="2"/>
      <c r="CM301" s="2"/>
      <c r="CN301" s="2"/>
      <c r="CO301" s="2"/>
      <c r="CP301" s="2"/>
      <c r="CQ301" s="2"/>
      <c r="CR301" s="2"/>
      <c r="CS301" s="2"/>
      <c r="CT301" s="2"/>
      <c r="CU301" s="2"/>
      <c r="CV301" s="2"/>
      <c r="CW301" s="2"/>
      <c r="CX301" s="2"/>
      <c r="CY301" s="2"/>
      <c r="CZ301" s="2"/>
    </row>
    <row r="302" spans="43:104" ht="15" hidden="1" customHeight="1" x14ac:dyDescent="0.2">
      <c r="AQ302" s="13"/>
      <c r="AR302" s="12">
        <v>1780000</v>
      </c>
      <c r="AS302" s="12">
        <v>2370000</v>
      </c>
      <c r="AT302" s="2"/>
      <c r="AU302" s="2"/>
      <c r="AV302" s="2"/>
      <c r="AW302" s="2"/>
      <c r="AX302" s="2"/>
      <c r="AY302" s="2"/>
      <c r="AZ302" s="2"/>
      <c r="BA302" s="2"/>
      <c r="BB302" s="2"/>
      <c r="BC302" s="2"/>
      <c r="BD302" s="2"/>
      <c r="BE302" s="2"/>
      <c r="BK302" s="2"/>
      <c r="BM302" s="2"/>
      <c r="BN302" s="2"/>
      <c r="BO302" s="2"/>
      <c r="BS302" s="11"/>
      <c r="BT302" s="2"/>
      <c r="BU302" s="3"/>
      <c r="BV302" s="3"/>
      <c r="BW302" s="2"/>
      <c r="BX302" s="2"/>
      <c r="BY302" s="2"/>
      <c r="BZ302" s="46"/>
      <c r="CA302" s="1"/>
      <c r="CB302" s="1"/>
      <c r="CC302" s="1"/>
      <c r="CD302" s="1"/>
      <c r="CE302" s="1"/>
      <c r="CF302" s="1"/>
      <c r="CG302" s="1"/>
      <c r="CH302" s="1"/>
      <c r="CI302" s="2"/>
      <c r="CJ302" s="2"/>
      <c r="CK302" s="2"/>
      <c r="CL302" s="2"/>
      <c r="CM302" s="2"/>
      <c r="CN302" s="2"/>
      <c r="CO302" s="2"/>
      <c r="CP302" s="2"/>
      <c r="CQ302" s="2"/>
      <c r="CR302" s="2"/>
      <c r="CS302" s="2"/>
      <c r="CT302" s="2"/>
      <c r="CU302" s="2"/>
      <c r="CV302" s="2"/>
      <c r="CW302" s="2"/>
      <c r="CX302" s="2"/>
      <c r="CY302" s="2"/>
      <c r="CZ302" s="2"/>
    </row>
    <row r="303" spans="43:104" ht="15" hidden="1" customHeight="1" x14ac:dyDescent="0.2">
      <c r="AQ303" s="13"/>
      <c r="AR303" s="12">
        <v>1785000</v>
      </c>
      <c r="AS303" s="12">
        <v>2380000</v>
      </c>
      <c r="AT303" s="2"/>
      <c r="AU303" s="2"/>
      <c r="AV303" s="2"/>
      <c r="AW303" s="2"/>
      <c r="AX303" s="2"/>
      <c r="AY303" s="2"/>
      <c r="AZ303" s="2"/>
      <c r="BA303" s="2"/>
      <c r="BB303" s="2"/>
      <c r="BC303" s="2"/>
      <c r="BD303" s="2"/>
      <c r="BE303" s="2"/>
      <c r="BK303" s="2"/>
      <c r="BM303" s="2"/>
      <c r="BN303" s="2"/>
      <c r="BO303" s="2"/>
      <c r="BS303" s="11"/>
      <c r="BT303" s="2"/>
      <c r="BU303" s="3"/>
      <c r="BV303" s="3"/>
      <c r="BW303" s="2"/>
      <c r="BX303" s="2"/>
      <c r="BY303" s="2"/>
      <c r="BZ303" s="2"/>
      <c r="CA303" s="2"/>
      <c r="CB303" s="2"/>
      <c r="CC303" s="2"/>
      <c r="CD303" s="1"/>
      <c r="CE303" s="1"/>
      <c r="CF303" s="1"/>
      <c r="CG303" s="1"/>
      <c r="CH303" s="1"/>
      <c r="CI303" s="2"/>
      <c r="CJ303" s="2"/>
      <c r="CK303" s="2"/>
      <c r="CL303" s="2"/>
      <c r="CM303" s="2"/>
      <c r="CN303" s="2"/>
      <c r="CO303" s="2"/>
      <c r="CP303" s="2"/>
      <c r="CQ303" s="2"/>
      <c r="CR303" s="2"/>
      <c r="CS303" s="2"/>
      <c r="CT303" s="2"/>
      <c r="CU303" s="2"/>
      <c r="CV303" s="2"/>
      <c r="CW303" s="2"/>
      <c r="CX303" s="2"/>
      <c r="CY303" s="2"/>
      <c r="CZ303" s="2"/>
    </row>
    <row r="304" spans="43:104" ht="15" hidden="1" customHeight="1" x14ac:dyDescent="0.2">
      <c r="AQ304" s="85"/>
      <c r="AR304" s="12">
        <v>1790000</v>
      </c>
      <c r="AS304" s="12">
        <v>2390000</v>
      </c>
      <c r="AT304" s="2"/>
      <c r="AU304" s="2"/>
      <c r="AV304" s="2"/>
      <c r="AW304" s="2"/>
      <c r="AX304" s="2"/>
      <c r="AY304" s="2"/>
      <c r="AZ304" s="2"/>
      <c r="BA304" s="2"/>
      <c r="BB304" s="2"/>
      <c r="BC304" s="2"/>
      <c r="BD304" s="2"/>
      <c r="BE304" s="2"/>
      <c r="BK304" s="2"/>
      <c r="BM304" s="2"/>
      <c r="BN304" s="2"/>
      <c r="BO304" s="2"/>
      <c r="BS304" s="11"/>
      <c r="BT304" s="2"/>
      <c r="BU304" s="3"/>
      <c r="BV304" s="3"/>
      <c r="BW304" s="2"/>
      <c r="BX304" s="2"/>
      <c r="BY304" s="2"/>
      <c r="BZ304" s="2"/>
      <c r="CA304" s="2"/>
      <c r="CB304" s="2"/>
      <c r="CC304" s="2"/>
      <c r="CD304" s="1"/>
      <c r="CE304" s="1"/>
      <c r="CF304" s="1"/>
      <c r="CG304" s="1"/>
      <c r="CH304" s="1"/>
      <c r="CI304" s="2"/>
      <c r="CJ304" s="2"/>
      <c r="CK304" s="2"/>
      <c r="CL304" s="2"/>
      <c r="CM304" s="2"/>
      <c r="CN304" s="2"/>
      <c r="CO304" s="2"/>
      <c r="CP304" s="2"/>
      <c r="CQ304" s="2"/>
      <c r="CR304" s="2"/>
      <c r="CS304" s="2"/>
      <c r="CT304" s="2"/>
      <c r="CU304" s="2"/>
      <c r="CV304" s="2"/>
      <c r="CW304" s="2"/>
      <c r="CX304" s="2"/>
      <c r="CY304" s="2"/>
      <c r="CZ304" s="2"/>
    </row>
    <row r="305" spans="43:104" ht="15" hidden="1" customHeight="1" x14ac:dyDescent="0.2">
      <c r="AQ305" s="12"/>
      <c r="AR305" s="12">
        <v>1795000</v>
      </c>
      <c r="AS305" s="12">
        <v>2400000</v>
      </c>
      <c r="AT305" s="2"/>
      <c r="AU305" s="2"/>
      <c r="AV305" s="2"/>
      <c r="AW305" s="2"/>
      <c r="AX305" s="2"/>
      <c r="AY305" s="2"/>
      <c r="AZ305" s="2"/>
      <c r="BA305" s="2"/>
      <c r="BB305" s="2"/>
      <c r="BC305" s="2"/>
      <c r="BD305" s="2"/>
      <c r="BE305" s="2"/>
      <c r="BK305" s="2"/>
      <c r="BM305" s="2"/>
      <c r="BN305" s="2"/>
      <c r="BO305" s="2"/>
      <c r="BS305" s="11"/>
      <c r="BT305" s="2"/>
      <c r="BU305" s="3"/>
      <c r="BV305" s="3"/>
      <c r="BW305" s="2"/>
      <c r="BX305" s="2"/>
      <c r="BY305" s="2"/>
      <c r="BZ305" s="2"/>
      <c r="CA305" s="2"/>
      <c r="CB305" s="2"/>
      <c r="CC305" s="2"/>
      <c r="CD305" s="1"/>
      <c r="CE305" s="1"/>
      <c r="CF305" s="1"/>
      <c r="CG305" s="1"/>
      <c r="CH305" s="1"/>
      <c r="CI305" s="2"/>
      <c r="CJ305" s="2"/>
      <c r="CK305" s="2"/>
      <c r="CL305" s="2"/>
      <c r="CM305" s="2"/>
      <c r="CN305" s="2"/>
      <c r="CO305" s="2"/>
      <c r="CP305" s="2"/>
      <c r="CQ305" s="2"/>
      <c r="CR305" s="2"/>
      <c r="CS305" s="2"/>
      <c r="CT305" s="2"/>
      <c r="CU305" s="2"/>
      <c r="CV305" s="2"/>
      <c r="CW305" s="2"/>
      <c r="CX305" s="2"/>
      <c r="CY305" s="2"/>
      <c r="CZ305" s="2"/>
    </row>
    <row r="306" spans="43:104" ht="15" hidden="1" customHeight="1" x14ac:dyDescent="0.2">
      <c r="AQ306" s="12"/>
      <c r="AR306" s="12">
        <v>1800000</v>
      </c>
      <c r="AS306" s="12">
        <v>2410000</v>
      </c>
      <c r="AT306" s="2"/>
      <c r="AU306" s="2"/>
      <c r="AV306" s="2"/>
      <c r="AW306" s="2"/>
      <c r="AX306" s="2"/>
      <c r="AY306" s="2"/>
      <c r="AZ306" s="2"/>
      <c r="BA306" s="2"/>
      <c r="BB306" s="2"/>
      <c r="BC306" s="2"/>
      <c r="BD306" s="2"/>
      <c r="BE306" s="2"/>
      <c r="BK306" s="2"/>
      <c r="BM306" s="2"/>
      <c r="BN306" s="2"/>
      <c r="BO306" s="2"/>
      <c r="BS306" s="11"/>
      <c r="BT306" s="2"/>
      <c r="BU306" s="3"/>
      <c r="BV306" s="3"/>
      <c r="BW306" s="2"/>
      <c r="BX306" s="2"/>
      <c r="BY306" s="2"/>
      <c r="BZ306" s="2"/>
      <c r="CA306" s="2"/>
      <c r="CB306" s="2"/>
      <c r="CC306" s="2"/>
      <c r="CD306" s="1"/>
      <c r="CE306" s="1"/>
      <c r="CF306" s="1"/>
      <c r="CG306" s="1"/>
      <c r="CH306" s="1"/>
      <c r="CI306" s="2"/>
      <c r="CJ306" s="2"/>
      <c r="CK306" s="2"/>
      <c r="CL306" s="2"/>
      <c r="CM306" s="2"/>
      <c r="CN306" s="2"/>
      <c r="CO306" s="2"/>
      <c r="CP306" s="2"/>
      <c r="CQ306" s="2"/>
      <c r="CR306" s="2"/>
      <c r="CS306" s="2"/>
      <c r="CT306" s="2"/>
      <c r="CU306" s="2"/>
      <c r="CV306" s="2"/>
      <c r="CW306" s="2"/>
      <c r="CX306" s="2"/>
      <c r="CY306" s="2"/>
      <c r="CZ306" s="2"/>
    </row>
    <row r="307" spans="43:104" ht="15" hidden="1" customHeight="1" x14ac:dyDescent="0.2">
      <c r="AQ307" s="13"/>
      <c r="AR307" s="12">
        <v>1805000</v>
      </c>
      <c r="AS307" s="12">
        <v>2420000</v>
      </c>
      <c r="AT307" s="2"/>
      <c r="AU307" s="2"/>
      <c r="AV307" s="2"/>
      <c r="AW307" s="2"/>
      <c r="AX307" s="2"/>
      <c r="AY307" s="2"/>
      <c r="AZ307" s="2"/>
      <c r="BA307" s="2"/>
      <c r="BB307" s="2"/>
      <c r="BC307" s="2"/>
      <c r="BD307" s="2"/>
      <c r="BE307" s="2"/>
      <c r="BK307" s="2"/>
      <c r="BM307" s="2"/>
      <c r="BN307" s="2"/>
      <c r="BO307" s="2"/>
      <c r="BS307" s="11"/>
      <c r="BT307" s="2"/>
      <c r="BU307" s="3"/>
      <c r="BV307" s="3"/>
      <c r="BW307" s="2"/>
      <c r="BX307" s="2"/>
      <c r="BY307" s="2"/>
      <c r="BZ307" s="2"/>
      <c r="CA307" s="2"/>
      <c r="CB307" s="2"/>
      <c r="CC307" s="2"/>
      <c r="CD307" s="1"/>
      <c r="CE307" s="1"/>
      <c r="CF307" s="1"/>
      <c r="CG307" s="1"/>
      <c r="CH307" s="1"/>
      <c r="CI307" s="2"/>
      <c r="CJ307" s="2"/>
      <c r="CK307" s="2"/>
      <c r="CL307" s="2"/>
      <c r="CM307" s="2"/>
      <c r="CN307" s="2"/>
      <c r="CO307" s="2"/>
      <c r="CP307" s="2"/>
      <c r="CQ307" s="2"/>
      <c r="CR307" s="2"/>
      <c r="CS307" s="2"/>
      <c r="CT307" s="2"/>
      <c r="CU307" s="2"/>
      <c r="CV307" s="2"/>
      <c r="CW307" s="2"/>
      <c r="CX307" s="2"/>
      <c r="CY307" s="2"/>
      <c r="CZ307" s="2"/>
    </row>
    <row r="308" spans="43:104" ht="15" hidden="1" customHeight="1" x14ac:dyDescent="0.2">
      <c r="AQ308" s="13"/>
      <c r="AR308" s="12">
        <v>1810000</v>
      </c>
      <c r="AS308" s="12">
        <v>2430000</v>
      </c>
      <c r="AT308" s="2"/>
      <c r="AU308" s="2"/>
      <c r="AV308" s="2"/>
      <c r="AW308" s="2"/>
      <c r="AX308" s="2"/>
      <c r="AY308" s="2"/>
      <c r="AZ308" s="2"/>
      <c r="BA308" s="2"/>
      <c r="BB308" s="2"/>
      <c r="BC308" s="2"/>
      <c r="BD308" s="2"/>
      <c r="BE308" s="2"/>
      <c r="BK308" s="2"/>
      <c r="BM308" s="2"/>
      <c r="BN308" s="2"/>
      <c r="BO308" s="2"/>
      <c r="BS308" s="11"/>
      <c r="BT308" s="2"/>
      <c r="BU308" s="3"/>
      <c r="BV308" s="3"/>
      <c r="BW308" s="2"/>
      <c r="BX308" s="2"/>
      <c r="BY308" s="2"/>
      <c r="BZ308" s="2"/>
      <c r="CA308" s="2"/>
      <c r="CB308" s="2"/>
      <c r="CC308" s="2"/>
      <c r="CD308" s="1"/>
      <c r="CE308" s="1"/>
      <c r="CF308" s="1"/>
      <c r="CG308" s="1"/>
      <c r="CH308" s="1"/>
      <c r="CI308" s="2"/>
      <c r="CJ308" s="2"/>
      <c r="CK308" s="2"/>
      <c r="CL308" s="2"/>
      <c r="CM308" s="2"/>
      <c r="CN308" s="2"/>
      <c r="CO308" s="2"/>
      <c r="CP308" s="2"/>
      <c r="CQ308" s="2"/>
      <c r="CR308" s="2"/>
      <c r="CS308" s="2"/>
      <c r="CT308" s="2"/>
      <c r="CU308" s="2"/>
      <c r="CV308" s="2"/>
      <c r="CW308" s="2"/>
      <c r="CX308" s="2"/>
      <c r="CY308" s="2"/>
      <c r="CZ308" s="2"/>
    </row>
    <row r="309" spans="43:104" ht="15" hidden="1" customHeight="1" x14ac:dyDescent="0.2">
      <c r="AQ309" s="85"/>
      <c r="AR309" s="12">
        <v>1815000</v>
      </c>
      <c r="AS309" s="12">
        <v>2440000</v>
      </c>
      <c r="AT309" s="2"/>
      <c r="AU309" s="2"/>
      <c r="AV309" s="2"/>
      <c r="AW309" s="2"/>
      <c r="AX309" s="2"/>
      <c r="AY309" s="2"/>
      <c r="AZ309" s="2"/>
      <c r="BA309" s="2"/>
      <c r="BB309" s="2"/>
      <c r="BC309" s="2"/>
      <c r="BD309" s="2"/>
      <c r="BE309" s="2"/>
      <c r="BK309" s="2"/>
      <c r="BM309" s="2"/>
      <c r="BN309" s="2"/>
      <c r="BO309" s="2"/>
      <c r="BS309" s="11"/>
      <c r="BT309" s="2"/>
      <c r="BU309" s="3"/>
      <c r="BV309" s="3"/>
      <c r="BW309" s="2"/>
      <c r="BX309" s="2"/>
      <c r="BY309" s="2"/>
      <c r="BZ309" s="2"/>
      <c r="CA309" s="2"/>
      <c r="CB309" s="2"/>
      <c r="CC309" s="2"/>
      <c r="CD309" s="1"/>
      <c r="CE309" s="1"/>
      <c r="CF309" s="1"/>
      <c r="CG309" s="1"/>
      <c r="CH309" s="1"/>
      <c r="CI309" s="2"/>
      <c r="CJ309" s="2"/>
      <c r="CK309" s="2"/>
      <c r="CL309" s="2"/>
      <c r="CM309" s="2"/>
      <c r="CN309" s="2"/>
      <c r="CO309" s="2"/>
      <c r="CP309" s="2"/>
      <c r="CQ309" s="2"/>
      <c r="CR309" s="2"/>
      <c r="CS309" s="2"/>
      <c r="CT309" s="2"/>
      <c r="CU309" s="2"/>
      <c r="CV309" s="2"/>
      <c r="CW309" s="2"/>
      <c r="CX309" s="2"/>
      <c r="CY309" s="2"/>
      <c r="CZ309" s="2"/>
    </row>
    <row r="310" spans="43:104" ht="15" hidden="1" customHeight="1" x14ac:dyDescent="0.2">
      <c r="AQ310" s="12"/>
      <c r="AR310" s="12">
        <v>1820000</v>
      </c>
      <c r="AS310" s="12">
        <v>2450000</v>
      </c>
      <c r="AT310" s="2"/>
      <c r="AU310" s="2"/>
      <c r="AV310" s="2"/>
      <c r="AW310" s="2"/>
      <c r="AX310" s="2"/>
      <c r="AY310" s="2"/>
      <c r="AZ310" s="2"/>
      <c r="BA310" s="2"/>
      <c r="BB310" s="2"/>
      <c r="BC310" s="2"/>
      <c r="BD310" s="2"/>
      <c r="BE310" s="2"/>
      <c r="BK310" s="2"/>
      <c r="BM310" s="2"/>
      <c r="BN310" s="2"/>
      <c r="BO310" s="2"/>
      <c r="BS310" s="11"/>
      <c r="BT310" s="2"/>
      <c r="BU310" s="3"/>
      <c r="BV310" s="3"/>
      <c r="BW310" s="2"/>
      <c r="BX310" s="2"/>
      <c r="BY310" s="2"/>
      <c r="BZ310" s="2"/>
      <c r="CA310" s="2"/>
      <c r="CB310" s="2"/>
      <c r="CC310" s="2"/>
      <c r="CD310" s="1"/>
      <c r="CE310" s="1"/>
      <c r="CF310" s="1"/>
      <c r="CG310" s="1"/>
      <c r="CH310" s="1"/>
      <c r="CI310" s="2"/>
      <c r="CJ310" s="2"/>
      <c r="CK310" s="2"/>
      <c r="CL310" s="2"/>
      <c r="CM310" s="2"/>
      <c r="CN310" s="2"/>
      <c r="CO310" s="2"/>
      <c r="CP310" s="2"/>
      <c r="CQ310" s="2"/>
      <c r="CR310" s="2"/>
      <c r="CS310" s="2"/>
      <c r="CT310" s="2"/>
      <c r="CU310" s="2"/>
      <c r="CV310" s="2"/>
      <c r="CW310" s="2"/>
      <c r="CX310" s="2"/>
      <c r="CY310" s="2"/>
      <c r="CZ310" s="2"/>
    </row>
    <row r="311" spans="43:104" ht="15" hidden="1" customHeight="1" x14ac:dyDescent="0.2">
      <c r="AQ311" s="12"/>
      <c r="AR311" s="12">
        <v>1825000</v>
      </c>
      <c r="AS311" s="12">
        <v>2460000</v>
      </c>
      <c r="AT311" s="2"/>
      <c r="AU311" s="2"/>
      <c r="AV311" s="2"/>
      <c r="AW311" s="2"/>
      <c r="AX311" s="2"/>
      <c r="AY311" s="2"/>
      <c r="AZ311" s="2"/>
      <c r="BA311" s="2"/>
      <c r="BB311" s="2"/>
      <c r="BC311" s="2"/>
      <c r="BD311" s="2"/>
      <c r="BE311" s="2"/>
      <c r="BK311" s="2"/>
      <c r="BM311" s="2"/>
      <c r="BN311" s="2"/>
      <c r="BO311" s="2"/>
      <c r="BS311" s="11"/>
      <c r="BT311" s="2"/>
      <c r="BU311" s="3"/>
      <c r="BV311" s="3"/>
      <c r="BW311" s="2"/>
      <c r="BX311" s="2"/>
      <c r="BY311" s="2"/>
      <c r="BZ311" s="2"/>
      <c r="CA311" s="2"/>
      <c r="CB311" s="2"/>
      <c r="CC311" s="2"/>
      <c r="CD311" s="1"/>
      <c r="CE311" s="1"/>
      <c r="CF311" s="1"/>
      <c r="CG311" s="1"/>
      <c r="CH311" s="1"/>
      <c r="CI311" s="2"/>
      <c r="CJ311" s="2"/>
      <c r="CK311" s="2"/>
      <c r="CL311" s="2"/>
      <c r="CM311" s="2"/>
      <c r="CN311" s="2"/>
      <c r="CO311" s="2"/>
      <c r="CP311" s="2"/>
      <c r="CQ311" s="2"/>
      <c r="CR311" s="2"/>
      <c r="CS311" s="2"/>
      <c r="CT311" s="2"/>
      <c r="CU311" s="2"/>
      <c r="CV311" s="2"/>
      <c r="CW311" s="2"/>
      <c r="CX311" s="2"/>
      <c r="CY311" s="2"/>
      <c r="CZ311" s="2"/>
    </row>
    <row r="312" spans="43:104" ht="15" hidden="1" customHeight="1" x14ac:dyDescent="0.2">
      <c r="AQ312" s="13"/>
      <c r="AR312" s="12">
        <v>1830000</v>
      </c>
      <c r="AS312" s="12">
        <v>2470000</v>
      </c>
      <c r="AT312" s="2"/>
      <c r="AU312" s="2"/>
      <c r="AV312" s="2"/>
      <c r="AW312" s="2"/>
      <c r="AX312" s="2"/>
      <c r="AY312" s="2"/>
      <c r="AZ312" s="2"/>
      <c r="BA312" s="2"/>
      <c r="BB312" s="2"/>
      <c r="BC312" s="2"/>
      <c r="BD312" s="2"/>
      <c r="BE312" s="2"/>
      <c r="BK312" s="2"/>
      <c r="BM312" s="2"/>
      <c r="BN312" s="2"/>
      <c r="BO312" s="2"/>
      <c r="BS312" s="11"/>
      <c r="BT312" s="2"/>
      <c r="BU312" s="3"/>
      <c r="BV312" s="3"/>
      <c r="BW312" s="2"/>
      <c r="BX312" s="2"/>
      <c r="BY312" s="2"/>
      <c r="BZ312" s="2"/>
      <c r="CA312" s="2"/>
      <c r="CB312" s="2"/>
      <c r="CC312" s="2"/>
      <c r="CD312" s="1"/>
      <c r="CE312" s="1"/>
      <c r="CF312" s="1"/>
      <c r="CG312" s="1"/>
      <c r="CH312" s="1"/>
      <c r="CI312" s="2"/>
      <c r="CJ312" s="2"/>
      <c r="CK312" s="2"/>
      <c r="CL312" s="2"/>
      <c r="CM312" s="2"/>
      <c r="CN312" s="2"/>
      <c r="CO312" s="2"/>
      <c r="CP312" s="2"/>
      <c r="CQ312" s="2"/>
      <c r="CR312" s="2"/>
      <c r="CS312" s="2"/>
      <c r="CT312" s="2"/>
      <c r="CU312" s="2"/>
      <c r="CV312" s="2"/>
      <c r="CW312" s="2"/>
      <c r="CX312" s="2"/>
      <c r="CY312" s="2"/>
      <c r="CZ312" s="2"/>
    </row>
    <row r="313" spans="43:104" ht="15" hidden="1" customHeight="1" x14ac:dyDescent="0.2">
      <c r="AQ313" s="13"/>
      <c r="AR313" s="12">
        <v>1835000</v>
      </c>
      <c r="AS313" s="12">
        <v>2480000</v>
      </c>
      <c r="AT313" s="2"/>
      <c r="AU313" s="2"/>
      <c r="AV313" s="2"/>
      <c r="AW313" s="2"/>
      <c r="AX313" s="2"/>
      <c r="AY313" s="2"/>
      <c r="AZ313" s="2"/>
      <c r="BA313" s="2"/>
      <c r="BB313" s="2"/>
      <c r="BC313" s="2"/>
      <c r="BD313" s="2"/>
      <c r="BE313" s="2"/>
      <c r="BK313" s="2"/>
      <c r="BM313" s="2"/>
      <c r="BN313" s="2"/>
      <c r="BO313" s="2"/>
      <c r="BS313" s="11"/>
      <c r="BT313" s="2"/>
      <c r="BU313" s="3"/>
      <c r="BV313" s="3"/>
      <c r="BW313" s="2"/>
      <c r="BX313" s="2"/>
      <c r="BY313" s="2"/>
      <c r="BZ313" s="2"/>
      <c r="CA313" s="2"/>
      <c r="CB313" s="2"/>
      <c r="CC313" s="2"/>
      <c r="CD313" s="1"/>
      <c r="CE313" s="1"/>
      <c r="CF313" s="1"/>
      <c r="CG313" s="1"/>
      <c r="CH313" s="1"/>
      <c r="CI313" s="2"/>
      <c r="CJ313" s="2"/>
      <c r="CK313" s="2"/>
      <c r="CL313" s="2"/>
      <c r="CM313" s="2"/>
      <c r="CN313" s="2"/>
      <c r="CO313" s="2"/>
      <c r="CP313" s="2"/>
      <c r="CQ313" s="2"/>
      <c r="CR313" s="2"/>
      <c r="CS313" s="2"/>
      <c r="CT313" s="2"/>
      <c r="CU313" s="2"/>
      <c r="CV313" s="2"/>
      <c r="CW313" s="2"/>
      <c r="CX313" s="2"/>
      <c r="CY313" s="2"/>
      <c r="CZ313" s="2"/>
    </row>
    <row r="314" spans="43:104" ht="15" hidden="1" customHeight="1" x14ac:dyDescent="0.2">
      <c r="AQ314" s="85"/>
      <c r="AR314" s="12">
        <v>1840000</v>
      </c>
      <c r="AS314" s="12">
        <v>2490000</v>
      </c>
      <c r="AT314" s="2"/>
      <c r="AU314" s="2"/>
      <c r="AV314" s="2"/>
      <c r="AW314" s="2"/>
      <c r="AX314" s="2"/>
      <c r="AY314" s="2"/>
      <c r="AZ314" s="2"/>
      <c r="BA314" s="2"/>
      <c r="BB314" s="2"/>
      <c r="BC314" s="2"/>
      <c r="BD314" s="2"/>
      <c r="BE314" s="2"/>
      <c r="BK314" s="2"/>
      <c r="BM314" s="2"/>
      <c r="BN314" s="2"/>
      <c r="BO314" s="2"/>
      <c r="BS314" s="11"/>
      <c r="BT314" s="2"/>
      <c r="BU314" s="3"/>
      <c r="BV314" s="3"/>
      <c r="BW314" s="2"/>
      <c r="BX314" s="2"/>
      <c r="BY314" s="2"/>
      <c r="BZ314" s="46"/>
      <c r="CA314" s="1"/>
      <c r="CB314" s="1"/>
      <c r="CC314" s="1"/>
      <c r="CD314" s="1"/>
      <c r="CE314" s="1"/>
      <c r="CF314" s="1"/>
      <c r="CG314" s="1"/>
      <c r="CH314" s="1"/>
      <c r="CI314" s="2"/>
      <c r="CJ314" s="2"/>
      <c r="CK314" s="2"/>
      <c r="CL314" s="2"/>
      <c r="CM314" s="2"/>
      <c r="CN314" s="2"/>
      <c r="CO314" s="2"/>
      <c r="CP314" s="2"/>
      <c r="CQ314" s="2"/>
      <c r="CR314" s="2"/>
      <c r="CS314" s="2"/>
      <c r="CT314" s="2"/>
      <c r="CU314" s="2"/>
      <c r="CV314" s="2"/>
      <c r="CW314" s="2"/>
      <c r="CX314" s="2"/>
      <c r="CY314" s="2"/>
      <c r="CZ314" s="2"/>
    </row>
    <row r="315" spans="43:104" ht="15" hidden="1" customHeight="1" x14ac:dyDescent="0.2">
      <c r="AQ315" s="12"/>
      <c r="AR315" s="12">
        <v>1845000</v>
      </c>
      <c r="AS315" s="12">
        <v>2500000</v>
      </c>
      <c r="AT315" s="2"/>
      <c r="AU315" s="2"/>
      <c r="AV315" s="2"/>
      <c r="AW315" s="2"/>
      <c r="AX315" s="2"/>
      <c r="AY315" s="2"/>
      <c r="AZ315" s="2"/>
      <c r="BA315" s="2"/>
      <c r="BB315" s="2"/>
      <c r="BC315" s="2"/>
      <c r="BD315" s="2"/>
      <c r="BE315" s="2"/>
      <c r="BK315" s="2"/>
      <c r="BM315" s="2"/>
      <c r="BN315" s="2"/>
      <c r="BO315" s="2"/>
      <c r="BS315" s="11"/>
      <c r="BT315" s="2"/>
      <c r="BU315" s="3"/>
      <c r="BV315" s="3"/>
      <c r="BW315" s="2"/>
      <c r="BX315" s="2"/>
      <c r="BY315" s="2"/>
      <c r="BZ315" s="2"/>
      <c r="CA315" s="2"/>
      <c r="CB315" s="2"/>
      <c r="CC315" s="2"/>
      <c r="CD315" s="1"/>
      <c r="CE315" s="1"/>
      <c r="CF315" s="1"/>
      <c r="CG315" s="1"/>
      <c r="CH315" s="1"/>
      <c r="CI315" s="2"/>
      <c r="CJ315" s="2"/>
      <c r="CK315" s="2"/>
      <c r="CL315" s="2"/>
      <c r="CM315" s="2"/>
      <c r="CN315" s="2"/>
      <c r="CO315" s="2"/>
      <c r="CP315" s="2"/>
      <c r="CQ315" s="2"/>
      <c r="CR315" s="2"/>
      <c r="CS315" s="2"/>
      <c r="CT315" s="2"/>
      <c r="CU315" s="2"/>
      <c r="CV315" s="2"/>
      <c r="CW315" s="2"/>
      <c r="CX315" s="2"/>
      <c r="CY315" s="2"/>
      <c r="CZ315" s="2"/>
    </row>
    <row r="316" spans="43:104" ht="15" hidden="1" customHeight="1" x14ac:dyDescent="0.2">
      <c r="AQ316" s="12"/>
      <c r="AR316" s="12">
        <v>1850000</v>
      </c>
      <c r="AS316" s="12">
        <v>2510000</v>
      </c>
      <c r="AT316" s="2"/>
      <c r="AU316" s="2"/>
      <c r="AV316" s="2"/>
      <c r="AW316" s="2"/>
      <c r="AX316" s="2"/>
      <c r="AY316" s="2"/>
      <c r="AZ316" s="2"/>
      <c r="BA316" s="2"/>
      <c r="BB316" s="2"/>
      <c r="BC316" s="2"/>
      <c r="BD316" s="2"/>
      <c r="BE316" s="2"/>
      <c r="BK316" s="2"/>
      <c r="BM316" s="2"/>
      <c r="BN316" s="2"/>
      <c r="BO316" s="2"/>
      <c r="BS316" s="11"/>
      <c r="BT316" s="2"/>
      <c r="BU316" s="3"/>
      <c r="BV316" s="3"/>
      <c r="BW316" s="2"/>
      <c r="BX316" s="2"/>
      <c r="BY316" s="2"/>
      <c r="BZ316" s="2"/>
      <c r="CA316" s="2"/>
      <c r="CB316" s="2"/>
      <c r="CC316" s="2"/>
      <c r="CD316" s="1"/>
      <c r="CE316" s="1"/>
      <c r="CF316" s="1"/>
      <c r="CG316" s="1"/>
      <c r="CH316" s="1"/>
      <c r="CI316" s="2"/>
      <c r="CJ316" s="2"/>
      <c r="CK316" s="2"/>
      <c r="CL316" s="2"/>
      <c r="CM316" s="2"/>
      <c r="CN316" s="2"/>
      <c r="CO316" s="2"/>
      <c r="CP316" s="2"/>
      <c r="CQ316" s="2"/>
      <c r="CR316" s="2"/>
      <c r="CS316" s="2"/>
      <c r="CT316" s="2"/>
      <c r="CU316" s="2"/>
      <c r="CV316" s="2"/>
      <c r="CW316" s="2"/>
      <c r="CX316" s="2"/>
      <c r="CY316" s="2"/>
      <c r="CZ316" s="2"/>
    </row>
    <row r="317" spans="43:104" ht="15" hidden="1" customHeight="1" x14ac:dyDescent="0.2">
      <c r="AQ317" s="13"/>
      <c r="AR317" s="12">
        <v>1855000</v>
      </c>
      <c r="AS317" s="12">
        <v>2520000</v>
      </c>
      <c r="AT317" s="2"/>
      <c r="AU317" s="2"/>
      <c r="AV317" s="2"/>
      <c r="AW317" s="2"/>
      <c r="AX317" s="2"/>
      <c r="AY317" s="2"/>
      <c r="AZ317" s="2"/>
      <c r="BA317" s="2"/>
      <c r="BB317" s="2"/>
      <c r="BC317" s="2"/>
      <c r="BD317" s="2"/>
      <c r="BE317" s="2"/>
      <c r="BK317" s="2"/>
      <c r="BM317" s="2"/>
      <c r="BN317" s="2"/>
      <c r="BO317" s="2"/>
      <c r="BS317" s="11"/>
      <c r="BT317" s="2"/>
      <c r="BU317" s="3"/>
      <c r="BV317" s="3"/>
      <c r="BW317" s="2"/>
      <c r="BX317" s="2"/>
      <c r="BY317" s="2"/>
      <c r="BZ317" s="2"/>
      <c r="CA317" s="2"/>
      <c r="CB317" s="2"/>
      <c r="CC317" s="2"/>
      <c r="CD317" s="1"/>
      <c r="CE317" s="1"/>
      <c r="CF317" s="1"/>
      <c r="CG317" s="1"/>
      <c r="CH317" s="1"/>
      <c r="CI317" s="2"/>
      <c r="CJ317" s="2"/>
      <c r="CK317" s="2"/>
      <c r="CL317" s="2"/>
      <c r="CM317" s="2"/>
      <c r="CN317" s="2"/>
      <c r="CO317" s="2"/>
      <c r="CP317" s="2"/>
      <c r="CQ317" s="2"/>
      <c r="CR317" s="2"/>
      <c r="CS317" s="2"/>
      <c r="CT317" s="2"/>
      <c r="CU317" s="2"/>
      <c r="CV317" s="2"/>
      <c r="CW317" s="2"/>
      <c r="CX317" s="2"/>
      <c r="CY317" s="2"/>
      <c r="CZ317" s="2"/>
    </row>
    <row r="318" spans="43:104" ht="15" hidden="1" customHeight="1" x14ac:dyDescent="0.2">
      <c r="AQ318" s="13"/>
      <c r="AR318" s="12">
        <v>1860000</v>
      </c>
      <c r="AS318" s="12">
        <v>2530000</v>
      </c>
      <c r="AT318" s="2"/>
      <c r="AU318" s="2"/>
      <c r="AV318" s="2"/>
      <c r="AW318" s="2"/>
      <c r="AX318" s="2"/>
      <c r="AY318" s="2"/>
      <c r="AZ318" s="2"/>
      <c r="BA318" s="2"/>
      <c r="BB318" s="2"/>
      <c r="BC318" s="2"/>
      <c r="BD318" s="2"/>
      <c r="BE318" s="2"/>
      <c r="BK318" s="2"/>
      <c r="BM318" s="2"/>
      <c r="BN318" s="2"/>
      <c r="BO318" s="2"/>
      <c r="BS318" s="11"/>
      <c r="BT318" s="2"/>
      <c r="BU318" s="3"/>
      <c r="BV318" s="3"/>
      <c r="BW318" s="2"/>
      <c r="BX318" s="2"/>
      <c r="BY318" s="2"/>
      <c r="BZ318" s="2"/>
      <c r="CA318" s="2"/>
      <c r="CB318" s="2"/>
      <c r="CC318" s="2"/>
      <c r="CD318" s="1"/>
      <c r="CE318" s="1"/>
      <c r="CF318" s="1"/>
      <c r="CG318" s="1"/>
      <c r="CH318" s="1"/>
      <c r="CI318" s="2"/>
      <c r="CJ318" s="2"/>
      <c r="CK318" s="2"/>
      <c r="CL318" s="2"/>
      <c r="CM318" s="2"/>
      <c r="CN318" s="2"/>
      <c r="CO318" s="2"/>
      <c r="CP318" s="2"/>
      <c r="CQ318" s="2"/>
      <c r="CR318" s="2"/>
      <c r="CS318" s="2"/>
      <c r="CT318" s="2"/>
      <c r="CU318" s="2"/>
      <c r="CV318" s="2"/>
      <c r="CW318" s="2"/>
      <c r="CX318" s="2"/>
      <c r="CY318" s="2"/>
      <c r="CZ318" s="2"/>
    </row>
    <row r="319" spans="43:104" ht="15" hidden="1" customHeight="1" x14ac:dyDescent="0.2">
      <c r="AQ319" s="85"/>
      <c r="AR319" s="12">
        <v>1865000</v>
      </c>
      <c r="AS319" s="12">
        <v>2540000</v>
      </c>
      <c r="AT319" s="2"/>
      <c r="AU319" s="2"/>
      <c r="AV319" s="2"/>
      <c r="AW319" s="2"/>
      <c r="AX319" s="2"/>
      <c r="AY319" s="2"/>
      <c r="AZ319" s="2"/>
      <c r="BA319" s="2"/>
      <c r="BB319" s="2"/>
      <c r="BC319" s="2"/>
      <c r="BD319" s="2"/>
      <c r="BE319" s="2"/>
      <c r="BK319" s="2"/>
      <c r="BM319" s="2"/>
      <c r="BN319" s="2"/>
      <c r="BO319" s="2"/>
      <c r="BS319" s="11"/>
      <c r="BT319" s="2"/>
      <c r="BU319" s="3"/>
      <c r="BV319" s="3"/>
      <c r="BW319" s="2"/>
      <c r="BX319" s="2"/>
      <c r="BY319" s="2"/>
      <c r="BZ319" s="2"/>
      <c r="CA319" s="2"/>
      <c r="CB319" s="2"/>
      <c r="CC319" s="2"/>
      <c r="CD319" s="1"/>
      <c r="CE319" s="1"/>
      <c r="CF319" s="1"/>
      <c r="CG319" s="1"/>
      <c r="CH319" s="1"/>
      <c r="CI319" s="2"/>
      <c r="CJ319" s="2"/>
      <c r="CK319" s="2"/>
      <c r="CL319" s="2"/>
      <c r="CM319" s="2"/>
      <c r="CN319" s="2"/>
      <c r="CO319" s="2"/>
      <c r="CP319" s="2"/>
      <c r="CQ319" s="2"/>
      <c r="CR319" s="2"/>
      <c r="CS319" s="2"/>
      <c r="CT319" s="2"/>
      <c r="CU319" s="2"/>
      <c r="CV319" s="2"/>
      <c r="CW319" s="2"/>
      <c r="CX319" s="2"/>
      <c r="CY319" s="2"/>
      <c r="CZ319" s="2"/>
    </row>
    <row r="320" spans="43:104" ht="15" hidden="1" customHeight="1" x14ac:dyDescent="0.2">
      <c r="AQ320" s="12"/>
      <c r="AR320" s="12">
        <v>1870000</v>
      </c>
      <c r="AS320" s="12">
        <v>2550000</v>
      </c>
      <c r="AT320" s="2"/>
      <c r="AU320" s="2"/>
      <c r="AV320" s="2"/>
      <c r="AW320" s="2"/>
      <c r="AX320" s="2"/>
      <c r="AY320" s="2"/>
      <c r="AZ320" s="2"/>
      <c r="BA320" s="2"/>
      <c r="BB320" s="2"/>
      <c r="BC320" s="2"/>
      <c r="BD320" s="2"/>
      <c r="BE320" s="2"/>
      <c r="BK320" s="2"/>
      <c r="BM320" s="2"/>
      <c r="BN320" s="2"/>
      <c r="BO320" s="2"/>
      <c r="BS320" s="11"/>
      <c r="BT320" s="2"/>
      <c r="BU320" s="3"/>
      <c r="BV320" s="3"/>
      <c r="BW320" s="2"/>
      <c r="BX320" s="2"/>
      <c r="BY320" s="2"/>
      <c r="BZ320" s="2"/>
      <c r="CA320" s="2"/>
      <c r="CB320" s="2"/>
      <c r="CC320" s="2"/>
      <c r="CD320" s="1"/>
      <c r="CE320" s="1"/>
      <c r="CF320" s="1"/>
      <c r="CG320" s="1"/>
      <c r="CH320" s="1"/>
      <c r="CI320" s="2"/>
      <c r="CJ320" s="2"/>
      <c r="CK320" s="2"/>
      <c r="CL320" s="2"/>
      <c r="CM320" s="2"/>
      <c r="CN320" s="2"/>
      <c r="CO320" s="2"/>
      <c r="CP320" s="2"/>
      <c r="CQ320" s="2"/>
      <c r="CR320" s="2"/>
      <c r="CS320" s="2"/>
      <c r="CT320" s="2"/>
      <c r="CU320" s="2"/>
      <c r="CV320" s="2"/>
      <c r="CW320" s="2"/>
      <c r="CX320" s="2"/>
      <c r="CY320" s="2"/>
      <c r="CZ320" s="2"/>
    </row>
    <row r="321" spans="43:104" ht="15" hidden="1" customHeight="1" x14ac:dyDescent="0.2">
      <c r="AQ321" s="12"/>
      <c r="AR321" s="12">
        <v>1875000</v>
      </c>
      <c r="AS321" s="12">
        <v>2560000</v>
      </c>
      <c r="AT321" s="2"/>
      <c r="AU321" s="2"/>
      <c r="AV321" s="2"/>
      <c r="AW321" s="2"/>
      <c r="AX321" s="2"/>
      <c r="AY321" s="2"/>
      <c r="AZ321" s="2"/>
      <c r="BA321" s="2"/>
      <c r="BB321" s="2"/>
      <c r="BC321" s="2"/>
      <c r="BD321" s="2"/>
      <c r="BE321" s="2"/>
      <c r="BK321" s="2"/>
      <c r="BM321" s="2"/>
      <c r="BN321" s="2"/>
      <c r="BO321" s="2"/>
      <c r="BS321" s="11"/>
      <c r="BT321" s="2"/>
      <c r="BU321" s="3"/>
      <c r="BV321" s="3"/>
      <c r="BW321" s="2"/>
      <c r="BX321" s="2"/>
      <c r="BY321" s="2"/>
      <c r="BZ321" s="2"/>
      <c r="CA321" s="2"/>
      <c r="CB321" s="2"/>
      <c r="CC321" s="2"/>
      <c r="CD321" s="1"/>
      <c r="CE321" s="1"/>
      <c r="CF321" s="1"/>
      <c r="CG321" s="1"/>
      <c r="CH321" s="1"/>
      <c r="CI321" s="2"/>
      <c r="CJ321" s="2"/>
      <c r="CK321" s="2"/>
      <c r="CL321" s="2"/>
      <c r="CM321" s="2"/>
      <c r="CN321" s="2"/>
      <c r="CO321" s="2"/>
      <c r="CP321" s="2"/>
      <c r="CQ321" s="2"/>
      <c r="CR321" s="2"/>
      <c r="CS321" s="2"/>
      <c r="CT321" s="2"/>
      <c r="CU321" s="2"/>
      <c r="CV321" s="2"/>
      <c r="CW321" s="2"/>
      <c r="CX321" s="2"/>
      <c r="CY321" s="2"/>
      <c r="CZ321" s="2"/>
    </row>
    <row r="322" spans="43:104" ht="15" hidden="1" customHeight="1" x14ac:dyDescent="0.2">
      <c r="AQ322" s="13"/>
      <c r="AR322" s="12">
        <v>1880000</v>
      </c>
      <c r="AS322" s="12">
        <v>2570000</v>
      </c>
      <c r="AT322" s="2"/>
      <c r="AU322" s="2"/>
      <c r="AV322" s="2"/>
      <c r="AW322" s="2"/>
      <c r="AX322" s="2"/>
      <c r="AY322" s="2"/>
      <c r="AZ322" s="2"/>
      <c r="BA322" s="2"/>
      <c r="BB322" s="2"/>
      <c r="BC322" s="2"/>
      <c r="BD322" s="2"/>
      <c r="BE322" s="2"/>
      <c r="BK322" s="2"/>
      <c r="BM322" s="2"/>
      <c r="BN322" s="2"/>
      <c r="BO322" s="2"/>
      <c r="BS322" s="11"/>
      <c r="BT322" s="2"/>
      <c r="BU322" s="3"/>
      <c r="BV322" s="3"/>
      <c r="BW322" s="2"/>
      <c r="BX322" s="2"/>
      <c r="BY322" s="2"/>
      <c r="BZ322" s="2"/>
      <c r="CA322" s="2"/>
      <c r="CB322" s="2"/>
      <c r="CC322" s="2"/>
      <c r="CD322" s="1"/>
      <c r="CE322" s="1"/>
      <c r="CF322" s="1"/>
      <c r="CG322" s="1"/>
      <c r="CH322" s="1"/>
      <c r="CI322" s="2"/>
      <c r="CJ322" s="2"/>
      <c r="CK322" s="2"/>
      <c r="CL322" s="2"/>
      <c r="CM322" s="2"/>
      <c r="CN322" s="2"/>
      <c r="CO322" s="2"/>
      <c r="CP322" s="2"/>
      <c r="CQ322" s="2"/>
      <c r="CR322" s="2"/>
      <c r="CS322" s="2"/>
      <c r="CT322" s="2"/>
      <c r="CU322" s="2"/>
      <c r="CV322" s="2"/>
      <c r="CW322" s="2"/>
      <c r="CX322" s="2"/>
      <c r="CY322" s="2"/>
      <c r="CZ322" s="2"/>
    </row>
    <row r="323" spans="43:104" ht="15" hidden="1" customHeight="1" x14ac:dyDescent="0.2">
      <c r="AQ323" s="13"/>
      <c r="AR323" s="12">
        <v>1885000</v>
      </c>
      <c r="AS323" s="12">
        <v>2580000</v>
      </c>
      <c r="AT323" s="2"/>
      <c r="AU323" s="2"/>
      <c r="AV323" s="2"/>
      <c r="AW323" s="2"/>
      <c r="AX323" s="2"/>
      <c r="AY323" s="2"/>
      <c r="AZ323" s="2"/>
      <c r="BA323" s="2"/>
      <c r="BB323" s="2"/>
      <c r="BC323" s="2"/>
      <c r="BD323" s="2"/>
      <c r="BE323" s="2"/>
      <c r="BK323" s="2"/>
      <c r="BM323" s="2"/>
      <c r="BN323" s="2"/>
      <c r="BO323" s="2"/>
      <c r="BS323" s="11"/>
      <c r="BT323" s="2"/>
      <c r="BU323" s="3"/>
      <c r="BV323" s="3"/>
      <c r="BW323" s="2"/>
      <c r="BX323" s="2"/>
      <c r="BY323" s="2"/>
      <c r="BZ323" s="2"/>
      <c r="CA323" s="2"/>
      <c r="CB323" s="2"/>
      <c r="CC323" s="2"/>
      <c r="CD323" s="1"/>
      <c r="CE323" s="1"/>
      <c r="CF323" s="1"/>
      <c r="CG323" s="1"/>
      <c r="CH323" s="1"/>
      <c r="CI323" s="2"/>
      <c r="CJ323" s="2"/>
      <c r="CK323" s="2"/>
      <c r="CL323" s="2"/>
      <c r="CM323" s="2"/>
      <c r="CN323" s="2"/>
      <c r="CO323" s="2"/>
      <c r="CP323" s="2"/>
      <c r="CQ323" s="2"/>
      <c r="CR323" s="2"/>
      <c r="CS323" s="2"/>
      <c r="CT323" s="2"/>
      <c r="CU323" s="2"/>
      <c r="CV323" s="2"/>
      <c r="CW323" s="2"/>
      <c r="CX323" s="2"/>
      <c r="CY323" s="2"/>
      <c r="CZ323" s="2"/>
    </row>
    <row r="324" spans="43:104" ht="15" hidden="1" customHeight="1" x14ac:dyDescent="0.2">
      <c r="AQ324" s="85"/>
      <c r="AR324" s="12">
        <v>1890000</v>
      </c>
      <c r="AS324" s="12">
        <v>2590000</v>
      </c>
      <c r="AT324" s="2"/>
      <c r="AU324" s="2"/>
      <c r="AV324" s="2"/>
      <c r="AW324" s="2"/>
      <c r="AX324" s="2"/>
      <c r="AY324" s="2"/>
      <c r="AZ324" s="2"/>
      <c r="BA324" s="2"/>
      <c r="BB324" s="2"/>
      <c r="BC324" s="2"/>
      <c r="BD324" s="2"/>
      <c r="BE324" s="2"/>
      <c r="BK324" s="2"/>
      <c r="BM324" s="2"/>
      <c r="BN324" s="2"/>
      <c r="BO324" s="2"/>
      <c r="BS324" s="11"/>
      <c r="BT324" s="2"/>
      <c r="BU324" s="3"/>
      <c r="BV324" s="3"/>
      <c r="BW324" s="2"/>
      <c r="BX324" s="2"/>
      <c r="BY324" s="2"/>
      <c r="BZ324" s="2"/>
      <c r="CA324" s="2"/>
      <c r="CB324" s="2"/>
      <c r="CC324" s="2"/>
      <c r="CD324" s="1"/>
      <c r="CE324" s="1"/>
      <c r="CF324" s="1"/>
      <c r="CG324" s="1"/>
      <c r="CH324" s="1"/>
      <c r="CI324" s="2"/>
      <c r="CJ324" s="2"/>
      <c r="CK324" s="2"/>
      <c r="CL324" s="2"/>
      <c r="CM324" s="2"/>
      <c r="CN324" s="2"/>
      <c r="CO324" s="2"/>
      <c r="CP324" s="2"/>
      <c r="CQ324" s="2"/>
      <c r="CR324" s="2"/>
      <c r="CS324" s="2"/>
      <c r="CT324" s="2"/>
      <c r="CU324" s="2"/>
      <c r="CV324" s="2"/>
      <c r="CW324" s="2"/>
      <c r="CX324" s="2"/>
      <c r="CY324" s="2"/>
      <c r="CZ324" s="2"/>
    </row>
    <row r="325" spans="43:104" ht="15" hidden="1" customHeight="1" x14ac:dyDescent="0.2">
      <c r="AQ325" s="12"/>
      <c r="AR325" s="12">
        <v>1895000</v>
      </c>
      <c r="AS325" s="12">
        <v>2600000</v>
      </c>
      <c r="AT325" s="2"/>
      <c r="AU325" s="2"/>
      <c r="AV325" s="2"/>
      <c r="AW325" s="2"/>
      <c r="AX325" s="2"/>
      <c r="AY325" s="2"/>
      <c r="AZ325" s="2"/>
      <c r="BA325" s="2"/>
      <c r="BB325" s="2"/>
      <c r="BC325" s="2"/>
      <c r="BD325" s="2"/>
      <c r="BE325" s="2"/>
      <c r="BK325" s="2"/>
      <c r="BM325" s="2"/>
      <c r="BN325" s="2"/>
      <c r="BO325" s="2"/>
      <c r="BS325" s="11"/>
      <c r="BT325" s="2"/>
      <c r="BU325" s="3"/>
      <c r="BV325" s="3"/>
      <c r="BW325" s="2"/>
      <c r="BX325" s="2"/>
      <c r="BY325" s="2"/>
      <c r="BZ325" s="2"/>
      <c r="CA325" s="2"/>
      <c r="CB325" s="2"/>
      <c r="CC325" s="2"/>
      <c r="CD325" s="1"/>
      <c r="CE325" s="1"/>
      <c r="CF325" s="1"/>
      <c r="CG325" s="1"/>
      <c r="CH325" s="1"/>
      <c r="CI325" s="2"/>
      <c r="CJ325" s="2"/>
      <c r="CK325" s="2"/>
      <c r="CL325" s="2"/>
      <c r="CM325" s="2"/>
      <c r="CN325" s="2"/>
      <c r="CO325" s="2"/>
      <c r="CP325" s="2"/>
      <c r="CQ325" s="2"/>
      <c r="CR325" s="2"/>
      <c r="CS325" s="2"/>
      <c r="CT325" s="2"/>
      <c r="CU325" s="2"/>
      <c r="CV325" s="2"/>
      <c r="CW325" s="2"/>
      <c r="CX325" s="2"/>
      <c r="CY325" s="2"/>
      <c r="CZ325" s="2"/>
    </row>
    <row r="326" spans="43:104" ht="15" hidden="1" customHeight="1" x14ac:dyDescent="0.2">
      <c r="AQ326" s="12"/>
      <c r="AR326" s="12">
        <v>1900000</v>
      </c>
      <c r="AS326" s="12">
        <v>2610000</v>
      </c>
      <c r="AT326" s="2"/>
      <c r="AU326" s="2"/>
      <c r="AV326" s="2"/>
      <c r="AW326" s="2"/>
      <c r="AX326" s="2"/>
      <c r="AY326" s="2"/>
      <c r="AZ326" s="2"/>
      <c r="BA326" s="2"/>
      <c r="BB326" s="2"/>
      <c r="BC326" s="2"/>
      <c r="BD326" s="2"/>
      <c r="BE326" s="2"/>
      <c r="BK326" s="2"/>
      <c r="BM326" s="2"/>
      <c r="BN326" s="2"/>
      <c r="BO326" s="2"/>
      <c r="BS326" s="11"/>
      <c r="BT326" s="2"/>
      <c r="BU326" s="3"/>
      <c r="BV326" s="3"/>
      <c r="BW326" s="2"/>
      <c r="BX326" s="2"/>
      <c r="BY326" s="2"/>
      <c r="BZ326" s="2"/>
      <c r="CA326" s="2"/>
      <c r="CB326" s="2"/>
      <c r="CC326" s="2"/>
      <c r="CD326" s="1"/>
      <c r="CE326" s="1"/>
      <c r="CF326" s="1"/>
      <c r="CG326" s="1"/>
      <c r="CH326" s="1"/>
      <c r="CI326" s="2"/>
      <c r="CJ326" s="2"/>
      <c r="CK326" s="2"/>
      <c r="CL326" s="2"/>
      <c r="CM326" s="2"/>
      <c r="CN326" s="2"/>
      <c r="CO326" s="2"/>
      <c r="CP326" s="2"/>
      <c r="CQ326" s="2"/>
      <c r="CR326" s="2"/>
      <c r="CS326" s="2"/>
      <c r="CT326" s="2"/>
      <c r="CU326" s="2"/>
      <c r="CV326" s="2"/>
      <c r="CW326" s="2"/>
      <c r="CX326" s="2"/>
      <c r="CY326" s="2"/>
      <c r="CZ326" s="2"/>
    </row>
    <row r="327" spans="43:104" ht="15" hidden="1" customHeight="1" x14ac:dyDescent="0.2">
      <c r="AQ327" s="13"/>
      <c r="AR327" s="12">
        <v>1905000</v>
      </c>
      <c r="AS327" s="12">
        <v>2620000</v>
      </c>
      <c r="AT327" s="2"/>
      <c r="AU327" s="2"/>
      <c r="AV327" s="2"/>
      <c r="AW327" s="2"/>
      <c r="AX327" s="2"/>
      <c r="AY327" s="2"/>
      <c r="AZ327" s="2"/>
      <c r="BA327" s="2"/>
      <c r="BB327" s="2"/>
      <c r="BC327" s="2"/>
      <c r="BD327" s="2"/>
      <c r="BE327" s="2"/>
      <c r="BK327" s="2"/>
      <c r="BM327" s="2"/>
      <c r="BN327" s="2"/>
      <c r="BO327" s="2"/>
      <c r="BS327" s="11"/>
      <c r="BT327" s="2"/>
      <c r="BU327" s="3"/>
      <c r="BV327" s="3"/>
      <c r="BW327" s="2"/>
      <c r="BX327" s="2"/>
      <c r="BY327" s="2"/>
      <c r="BZ327" s="2"/>
      <c r="CA327" s="2"/>
      <c r="CB327" s="2"/>
      <c r="CC327" s="2"/>
      <c r="CD327" s="1"/>
      <c r="CE327" s="1"/>
      <c r="CF327" s="1"/>
      <c r="CG327" s="1"/>
      <c r="CH327" s="1"/>
      <c r="CI327" s="2"/>
      <c r="CJ327" s="2"/>
      <c r="CK327" s="2"/>
      <c r="CL327" s="2"/>
      <c r="CM327" s="2"/>
      <c r="CN327" s="2"/>
      <c r="CO327" s="2"/>
      <c r="CP327" s="2"/>
      <c r="CQ327" s="2"/>
      <c r="CR327" s="2"/>
      <c r="CS327" s="2"/>
      <c r="CT327" s="2"/>
      <c r="CU327" s="2"/>
      <c r="CV327" s="2"/>
      <c r="CW327" s="2"/>
      <c r="CX327" s="2"/>
      <c r="CY327" s="2"/>
      <c r="CZ327" s="2"/>
    </row>
    <row r="328" spans="43:104" ht="15" hidden="1" customHeight="1" x14ac:dyDescent="0.2">
      <c r="AQ328" s="13"/>
      <c r="AR328" s="12">
        <v>1910000</v>
      </c>
      <c r="AS328" s="12">
        <v>2630000</v>
      </c>
      <c r="AT328" s="2"/>
      <c r="AU328" s="2"/>
      <c r="AV328" s="2"/>
      <c r="AW328" s="2"/>
      <c r="AX328" s="2"/>
      <c r="AY328" s="2"/>
      <c r="AZ328" s="2"/>
      <c r="BA328" s="2"/>
      <c r="BB328" s="2"/>
      <c r="BC328" s="2"/>
      <c r="BD328" s="2"/>
      <c r="BE328" s="2"/>
      <c r="BK328" s="2"/>
      <c r="BM328" s="2"/>
      <c r="BN328" s="2"/>
      <c r="BO328" s="2"/>
      <c r="BS328" s="11"/>
      <c r="BT328" s="2"/>
      <c r="BU328" s="3"/>
      <c r="BV328" s="3"/>
      <c r="BW328" s="2"/>
      <c r="BX328" s="2"/>
      <c r="BY328" s="2"/>
      <c r="BZ328" s="2"/>
      <c r="CA328" s="2"/>
      <c r="CB328" s="2"/>
      <c r="CC328" s="2"/>
      <c r="CD328" s="1"/>
      <c r="CE328" s="1"/>
      <c r="CF328" s="1"/>
      <c r="CG328" s="1"/>
      <c r="CH328" s="1"/>
      <c r="CI328" s="2"/>
      <c r="CJ328" s="2"/>
      <c r="CK328" s="2"/>
      <c r="CL328" s="2"/>
      <c r="CM328" s="2"/>
      <c r="CN328" s="2"/>
      <c r="CO328" s="2"/>
      <c r="CP328" s="2"/>
      <c r="CQ328" s="2"/>
      <c r="CR328" s="2"/>
      <c r="CS328" s="2"/>
      <c r="CT328" s="2"/>
      <c r="CU328" s="2"/>
      <c r="CV328" s="2"/>
      <c r="CW328" s="2"/>
      <c r="CX328" s="2"/>
      <c r="CY328" s="2"/>
      <c r="CZ328" s="2"/>
    </row>
    <row r="329" spans="43:104" ht="15" hidden="1" customHeight="1" x14ac:dyDescent="0.2">
      <c r="AQ329" s="85"/>
      <c r="AR329" s="12">
        <v>1915000</v>
      </c>
      <c r="AS329" s="12">
        <v>2640000</v>
      </c>
      <c r="AT329" s="2"/>
      <c r="AU329" s="2"/>
      <c r="AV329" s="2"/>
      <c r="AW329" s="2"/>
      <c r="AX329" s="2"/>
      <c r="AY329" s="2"/>
      <c r="AZ329" s="2"/>
      <c r="BA329" s="2"/>
      <c r="BB329" s="2"/>
      <c r="BC329" s="2"/>
      <c r="BD329" s="2"/>
      <c r="BE329" s="2"/>
      <c r="BK329" s="2"/>
      <c r="BM329" s="2"/>
      <c r="BN329" s="2"/>
      <c r="BO329" s="2"/>
      <c r="BS329" s="11"/>
      <c r="BT329" s="2"/>
      <c r="BU329" s="3"/>
      <c r="BV329" s="3"/>
      <c r="BW329" s="2"/>
      <c r="BX329" s="2"/>
      <c r="BY329" s="2"/>
      <c r="BZ329" s="2"/>
      <c r="CA329" s="2"/>
      <c r="CB329" s="2"/>
      <c r="CC329" s="2"/>
      <c r="CD329" s="1"/>
      <c r="CE329" s="1"/>
      <c r="CF329" s="1"/>
      <c r="CG329" s="1"/>
      <c r="CH329" s="1"/>
      <c r="CI329" s="2"/>
      <c r="CJ329" s="2"/>
      <c r="CK329" s="2"/>
      <c r="CL329" s="2"/>
      <c r="CM329" s="2"/>
      <c r="CN329" s="2"/>
      <c r="CO329" s="2"/>
      <c r="CP329" s="2"/>
      <c r="CQ329" s="2"/>
      <c r="CR329" s="2"/>
      <c r="CS329" s="2"/>
      <c r="CT329" s="2"/>
      <c r="CU329" s="2"/>
      <c r="CV329" s="2"/>
      <c r="CW329" s="2"/>
      <c r="CX329" s="2"/>
      <c r="CY329" s="2"/>
      <c r="CZ329" s="2"/>
    </row>
    <row r="330" spans="43:104" ht="15" hidden="1" customHeight="1" x14ac:dyDescent="0.2">
      <c r="AQ330" s="12"/>
      <c r="AR330" s="12">
        <v>1920000</v>
      </c>
      <c r="AS330" s="12">
        <v>2650000</v>
      </c>
      <c r="AT330" s="2"/>
      <c r="AU330" s="2"/>
      <c r="AV330" s="2"/>
      <c r="AW330" s="2"/>
      <c r="AX330" s="2"/>
      <c r="AY330" s="2"/>
      <c r="AZ330" s="2"/>
      <c r="BA330" s="2"/>
      <c r="BB330" s="2"/>
      <c r="BC330" s="2"/>
      <c r="BD330" s="2"/>
      <c r="BE330" s="2"/>
      <c r="BK330" s="2"/>
      <c r="BM330" s="2"/>
      <c r="BN330" s="2"/>
      <c r="BO330" s="2"/>
      <c r="BS330" s="11"/>
      <c r="BT330" s="2"/>
      <c r="BU330" s="3"/>
      <c r="BV330" s="3"/>
      <c r="BW330" s="2"/>
      <c r="BX330" s="2"/>
      <c r="BY330" s="2"/>
      <c r="BZ330" s="46"/>
      <c r="CA330" s="1"/>
      <c r="CB330" s="1"/>
      <c r="CC330" s="1"/>
      <c r="CD330" s="1"/>
      <c r="CE330" s="1"/>
      <c r="CF330" s="1"/>
      <c r="CG330" s="1"/>
      <c r="CH330" s="1"/>
      <c r="CI330" s="2"/>
      <c r="CJ330" s="2"/>
      <c r="CK330" s="2"/>
      <c r="CL330" s="2"/>
      <c r="CM330" s="2"/>
      <c r="CN330" s="2"/>
      <c r="CO330" s="2"/>
      <c r="CP330" s="2"/>
      <c r="CQ330" s="2"/>
      <c r="CR330" s="2"/>
      <c r="CS330" s="2"/>
      <c r="CT330" s="2"/>
      <c r="CU330" s="2"/>
      <c r="CV330" s="2"/>
      <c r="CW330" s="2"/>
      <c r="CX330" s="2"/>
      <c r="CY330" s="2"/>
      <c r="CZ330" s="2"/>
    </row>
    <row r="331" spans="43:104" ht="15" hidden="1" customHeight="1" x14ac:dyDescent="0.2">
      <c r="AQ331" s="12"/>
      <c r="AR331" s="12">
        <v>1925000</v>
      </c>
      <c r="AS331" s="12">
        <v>2660000</v>
      </c>
      <c r="AT331" s="2"/>
      <c r="AU331" s="2"/>
      <c r="AV331" s="2"/>
      <c r="AW331" s="2"/>
      <c r="AX331" s="2"/>
      <c r="AY331" s="2"/>
      <c r="AZ331" s="2"/>
      <c r="BA331" s="2"/>
      <c r="BB331" s="2"/>
      <c r="BC331" s="2"/>
      <c r="BD331" s="2"/>
      <c r="BE331" s="2"/>
      <c r="BK331" s="2"/>
      <c r="BM331" s="2"/>
      <c r="BN331" s="2"/>
      <c r="BO331" s="2"/>
      <c r="BS331" s="11"/>
      <c r="BT331" s="2"/>
      <c r="BU331" s="3"/>
      <c r="BV331" s="3"/>
      <c r="BW331" s="2"/>
      <c r="BX331" s="2"/>
      <c r="BY331" s="2"/>
      <c r="BZ331" s="2"/>
      <c r="CA331" s="2"/>
      <c r="CB331" s="2"/>
      <c r="CC331" s="2"/>
      <c r="CD331" s="1"/>
      <c r="CE331" s="1"/>
      <c r="CF331" s="1"/>
      <c r="CG331" s="1"/>
      <c r="CH331" s="1"/>
      <c r="CI331" s="2"/>
      <c r="CJ331" s="2"/>
      <c r="CK331" s="2"/>
      <c r="CL331" s="2"/>
      <c r="CM331" s="2"/>
      <c r="CN331" s="2"/>
      <c r="CO331" s="2"/>
      <c r="CP331" s="2"/>
      <c r="CQ331" s="2"/>
      <c r="CR331" s="2"/>
      <c r="CS331" s="2"/>
      <c r="CT331" s="2"/>
      <c r="CU331" s="2"/>
      <c r="CV331" s="2"/>
      <c r="CW331" s="2"/>
      <c r="CX331" s="2"/>
      <c r="CY331" s="2"/>
      <c r="CZ331" s="2"/>
    </row>
    <row r="332" spans="43:104" ht="15" hidden="1" customHeight="1" x14ac:dyDescent="0.2">
      <c r="AQ332" s="13"/>
      <c r="AR332" s="12">
        <v>1930000</v>
      </c>
      <c r="AS332" s="12">
        <v>2670000</v>
      </c>
      <c r="AT332" s="2"/>
      <c r="AU332" s="2"/>
      <c r="AV332" s="2"/>
      <c r="AW332" s="2"/>
      <c r="AX332" s="2"/>
      <c r="AY332" s="2"/>
      <c r="AZ332" s="2"/>
      <c r="BA332" s="2"/>
      <c r="BB332" s="2"/>
      <c r="BC332" s="2"/>
      <c r="BD332" s="2"/>
      <c r="BE332" s="2"/>
      <c r="BK332" s="2"/>
      <c r="BM332" s="2"/>
      <c r="BN332" s="2"/>
      <c r="BO332" s="2"/>
      <c r="BS332" s="11"/>
      <c r="BT332" s="2"/>
      <c r="BU332" s="3"/>
      <c r="BV332" s="3"/>
      <c r="BW332" s="2"/>
      <c r="BX332" s="2"/>
      <c r="BY332" s="2"/>
      <c r="BZ332" s="2"/>
      <c r="CA332" s="2"/>
      <c r="CB332" s="2"/>
      <c r="CC332" s="2"/>
      <c r="CD332" s="1"/>
      <c r="CE332" s="1"/>
      <c r="CF332" s="1"/>
      <c r="CG332" s="1"/>
      <c r="CH332" s="1"/>
      <c r="CI332" s="2"/>
      <c r="CJ332" s="2"/>
      <c r="CK332" s="2"/>
      <c r="CL332" s="2"/>
      <c r="CM332" s="2"/>
      <c r="CN332" s="2"/>
      <c r="CO332" s="2"/>
      <c r="CP332" s="2"/>
      <c r="CQ332" s="2"/>
      <c r="CR332" s="2"/>
      <c r="CS332" s="2"/>
      <c r="CT332" s="2"/>
      <c r="CU332" s="2"/>
      <c r="CV332" s="2"/>
      <c r="CW332" s="2"/>
      <c r="CX332" s="2"/>
      <c r="CY332" s="2"/>
      <c r="CZ332" s="2"/>
    </row>
    <row r="333" spans="43:104" ht="15" hidden="1" customHeight="1" x14ac:dyDescent="0.2">
      <c r="AQ333" s="13"/>
      <c r="AR333" s="12">
        <v>1935000</v>
      </c>
      <c r="AS333" s="12">
        <v>2680000</v>
      </c>
      <c r="AT333" s="2"/>
      <c r="AU333" s="2"/>
      <c r="AV333" s="2"/>
      <c r="AW333" s="2"/>
      <c r="AX333" s="2"/>
      <c r="AY333" s="2"/>
      <c r="AZ333" s="2"/>
      <c r="BA333" s="2"/>
      <c r="BB333" s="2"/>
      <c r="BC333" s="2"/>
      <c r="BD333" s="2"/>
      <c r="BE333" s="2"/>
      <c r="BK333" s="2"/>
      <c r="BM333" s="2"/>
      <c r="BN333" s="2"/>
      <c r="BO333" s="2"/>
      <c r="BS333" s="11"/>
      <c r="BT333" s="2"/>
      <c r="BU333" s="3"/>
      <c r="BV333" s="3"/>
      <c r="BW333" s="2"/>
      <c r="BX333" s="2"/>
      <c r="BY333" s="2"/>
      <c r="BZ333" s="2"/>
      <c r="CA333" s="2"/>
      <c r="CB333" s="2"/>
      <c r="CC333" s="2"/>
      <c r="CD333" s="1"/>
      <c r="CE333" s="1"/>
      <c r="CF333" s="1"/>
      <c r="CG333" s="1"/>
      <c r="CH333" s="1"/>
      <c r="CI333" s="2"/>
      <c r="CJ333" s="2"/>
      <c r="CK333" s="2"/>
      <c r="CL333" s="2"/>
      <c r="CM333" s="2"/>
      <c r="CN333" s="2"/>
      <c r="CO333" s="2"/>
      <c r="CP333" s="2"/>
      <c r="CQ333" s="2"/>
      <c r="CR333" s="2"/>
      <c r="CS333" s="2"/>
      <c r="CT333" s="2"/>
      <c r="CU333" s="2"/>
      <c r="CV333" s="2"/>
      <c r="CW333" s="2"/>
      <c r="CX333" s="2"/>
      <c r="CY333" s="2"/>
      <c r="CZ333" s="2"/>
    </row>
    <row r="334" spans="43:104" ht="15" hidden="1" customHeight="1" x14ac:dyDescent="0.2">
      <c r="AQ334" s="85"/>
      <c r="AR334" s="12">
        <v>1940000</v>
      </c>
      <c r="AS334" s="12">
        <v>2690000</v>
      </c>
      <c r="AT334" s="2"/>
      <c r="AU334" s="2"/>
      <c r="AV334" s="2"/>
      <c r="AW334" s="2"/>
      <c r="AX334" s="2"/>
      <c r="AY334" s="2"/>
      <c r="AZ334" s="2"/>
      <c r="BA334" s="2"/>
      <c r="BB334" s="2"/>
      <c r="BC334" s="2"/>
      <c r="BD334" s="2"/>
      <c r="BE334" s="2"/>
      <c r="BK334" s="2"/>
      <c r="BM334" s="2"/>
      <c r="BN334" s="2"/>
      <c r="BO334" s="2"/>
      <c r="BS334" s="11"/>
      <c r="BT334" s="2"/>
      <c r="BU334" s="3"/>
      <c r="BV334" s="3"/>
      <c r="BW334" s="2"/>
      <c r="BX334" s="2"/>
      <c r="BY334" s="2"/>
      <c r="BZ334" s="2"/>
      <c r="CA334" s="2"/>
      <c r="CB334" s="2"/>
      <c r="CC334" s="2"/>
      <c r="CD334" s="1"/>
      <c r="CE334" s="1"/>
      <c r="CF334" s="1"/>
      <c r="CG334" s="1"/>
      <c r="CH334" s="1"/>
      <c r="CI334" s="2"/>
      <c r="CJ334" s="2"/>
      <c r="CK334" s="2"/>
      <c r="CL334" s="2"/>
      <c r="CM334" s="2"/>
      <c r="CN334" s="2"/>
      <c r="CO334" s="2"/>
      <c r="CP334" s="2"/>
      <c r="CQ334" s="2"/>
      <c r="CR334" s="2"/>
      <c r="CS334" s="2"/>
      <c r="CT334" s="2"/>
      <c r="CU334" s="2"/>
      <c r="CV334" s="2"/>
      <c r="CW334" s="2"/>
      <c r="CX334" s="2"/>
      <c r="CY334" s="2"/>
      <c r="CZ334" s="2"/>
    </row>
    <row r="335" spans="43:104" ht="15" hidden="1" customHeight="1" x14ac:dyDescent="0.2">
      <c r="AQ335" s="12"/>
      <c r="AR335" s="12">
        <v>1945000</v>
      </c>
      <c r="AS335" s="12">
        <v>2700000</v>
      </c>
      <c r="AT335" s="2"/>
      <c r="AU335" s="2"/>
      <c r="AV335" s="2"/>
      <c r="AW335" s="2"/>
      <c r="AX335" s="2"/>
      <c r="AY335" s="2"/>
      <c r="AZ335" s="2"/>
      <c r="BA335" s="2"/>
      <c r="BB335" s="2"/>
      <c r="BC335" s="2"/>
      <c r="BD335" s="2"/>
      <c r="BE335" s="2"/>
      <c r="BK335" s="2"/>
      <c r="BM335" s="2"/>
      <c r="BN335" s="2"/>
      <c r="BO335" s="2"/>
      <c r="BS335" s="11"/>
      <c r="BT335" s="2"/>
      <c r="BU335" s="3"/>
      <c r="BV335" s="3"/>
      <c r="BW335" s="2"/>
      <c r="BX335" s="2"/>
      <c r="BY335" s="2"/>
      <c r="BZ335" s="2"/>
      <c r="CA335" s="2"/>
      <c r="CB335" s="2"/>
      <c r="CC335" s="2"/>
      <c r="CD335" s="1"/>
      <c r="CE335" s="1"/>
      <c r="CF335" s="1"/>
      <c r="CG335" s="1"/>
      <c r="CH335" s="1"/>
      <c r="CI335" s="2"/>
      <c r="CJ335" s="2"/>
      <c r="CK335" s="2"/>
      <c r="CL335" s="2"/>
      <c r="CM335" s="2"/>
      <c r="CN335" s="2"/>
      <c r="CO335" s="2"/>
      <c r="CP335" s="2"/>
      <c r="CQ335" s="2"/>
      <c r="CR335" s="2"/>
      <c r="CS335" s="2"/>
      <c r="CT335" s="2"/>
      <c r="CU335" s="2"/>
      <c r="CV335" s="2"/>
      <c r="CW335" s="2"/>
      <c r="CX335" s="2"/>
      <c r="CY335" s="2"/>
      <c r="CZ335" s="2"/>
    </row>
    <row r="336" spans="43:104" ht="15" hidden="1" customHeight="1" x14ac:dyDescent="0.2">
      <c r="AQ336" s="12"/>
      <c r="AR336" s="12">
        <v>1950000</v>
      </c>
      <c r="AS336" s="12">
        <v>2710000</v>
      </c>
      <c r="AT336" s="2"/>
      <c r="AU336" s="2"/>
      <c r="AV336" s="2"/>
      <c r="AW336" s="2"/>
      <c r="AX336" s="2"/>
      <c r="AY336" s="2"/>
      <c r="AZ336" s="2"/>
      <c r="BA336" s="2"/>
      <c r="BB336" s="2"/>
      <c r="BC336" s="2"/>
      <c r="BD336" s="2"/>
      <c r="BE336" s="2"/>
      <c r="BK336" s="2"/>
      <c r="BM336" s="2"/>
      <c r="BN336" s="2"/>
      <c r="BO336" s="2"/>
      <c r="BS336" s="11"/>
      <c r="BT336" s="2"/>
      <c r="BU336" s="3"/>
      <c r="BV336" s="3"/>
      <c r="BW336" s="2"/>
      <c r="BX336" s="2"/>
      <c r="BY336" s="2"/>
      <c r="BZ336" s="2"/>
      <c r="CA336" s="2"/>
      <c r="CB336" s="2"/>
      <c r="CC336" s="2"/>
      <c r="CD336" s="1"/>
      <c r="CE336" s="1"/>
      <c r="CF336" s="1"/>
      <c r="CG336" s="1"/>
      <c r="CH336" s="1"/>
      <c r="CI336" s="2"/>
      <c r="CJ336" s="2"/>
      <c r="CK336" s="2"/>
      <c r="CL336" s="2"/>
      <c r="CM336" s="2"/>
      <c r="CN336" s="2"/>
      <c r="CO336" s="2"/>
      <c r="CP336" s="2"/>
      <c r="CQ336" s="2"/>
      <c r="CR336" s="2"/>
      <c r="CS336" s="2"/>
      <c r="CT336" s="2"/>
      <c r="CU336" s="2"/>
      <c r="CV336" s="2"/>
      <c r="CW336" s="2"/>
      <c r="CX336" s="2"/>
      <c r="CY336" s="2"/>
      <c r="CZ336" s="2"/>
    </row>
    <row r="337" spans="43:104" ht="15" hidden="1" customHeight="1" x14ac:dyDescent="0.2">
      <c r="AQ337" s="13"/>
      <c r="AR337" s="12">
        <v>1955000</v>
      </c>
      <c r="AS337" s="12">
        <v>2720000</v>
      </c>
      <c r="AT337" s="2"/>
      <c r="AU337" s="2"/>
      <c r="AV337" s="2"/>
      <c r="AW337" s="2"/>
      <c r="AX337" s="2"/>
      <c r="AY337" s="2"/>
      <c r="AZ337" s="2"/>
      <c r="BA337" s="2"/>
      <c r="BB337" s="2"/>
      <c r="BC337" s="2"/>
      <c r="BD337" s="2"/>
      <c r="BE337" s="2"/>
      <c r="BK337" s="2"/>
      <c r="BM337" s="2"/>
      <c r="BN337" s="2"/>
      <c r="BO337" s="2"/>
      <c r="BS337" s="11"/>
      <c r="BT337" s="2"/>
      <c r="BU337" s="3"/>
      <c r="BV337" s="3"/>
      <c r="BW337" s="2"/>
      <c r="BX337" s="2"/>
      <c r="BY337" s="2"/>
      <c r="BZ337" s="2"/>
      <c r="CA337" s="2"/>
      <c r="CB337" s="2"/>
      <c r="CC337" s="2"/>
      <c r="CD337" s="1"/>
      <c r="CE337" s="1"/>
      <c r="CF337" s="1"/>
      <c r="CG337" s="1"/>
      <c r="CH337" s="1"/>
      <c r="CI337" s="2"/>
      <c r="CJ337" s="2"/>
      <c r="CK337" s="2"/>
      <c r="CL337" s="2"/>
      <c r="CM337" s="2"/>
      <c r="CN337" s="2"/>
      <c r="CO337" s="2"/>
      <c r="CP337" s="2"/>
      <c r="CQ337" s="2"/>
      <c r="CR337" s="2"/>
      <c r="CS337" s="2"/>
      <c r="CT337" s="2"/>
      <c r="CU337" s="2"/>
      <c r="CV337" s="2"/>
      <c r="CW337" s="2"/>
      <c r="CX337" s="2"/>
      <c r="CY337" s="2"/>
      <c r="CZ337" s="2"/>
    </row>
    <row r="338" spans="43:104" ht="15" hidden="1" customHeight="1" x14ac:dyDescent="0.2">
      <c r="AQ338" s="13"/>
      <c r="AR338" s="12">
        <v>1960000</v>
      </c>
      <c r="AS338" s="12">
        <v>2730000</v>
      </c>
      <c r="AT338" s="2"/>
      <c r="AU338" s="2"/>
      <c r="AV338" s="2"/>
      <c r="AW338" s="2"/>
      <c r="AX338" s="2"/>
      <c r="AY338" s="2"/>
      <c r="AZ338" s="2"/>
      <c r="BA338" s="2"/>
      <c r="BB338" s="2"/>
      <c r="BC338" s="2"/>
      <c r="BD338" s="2"/>
      <c r="BE338" s="2"/>
      <c r="BK338" s="2"/>
      <c r="BM338" s="2"/>
      <c r="BN338" s="2"/>
      <c r="BO338" s="2"/>
      <c r="BS338" s="11"/>
      <c r="BT338" s="2"/>
      <c r="BU338" s="3"/>
      <c r="BV338" s="3"/>
      <c r="BW338" s="2"/>
      <c r="BX338" s="2"/>
      <c r="BY338" s="2"/>
      <c r="BZ338" s="2"/>
      <c r="CA338" s="2"/>
      <c r="CB338" s="2"/>
      <c r="CC338" s="2"/>
      <c r="CD338" s="1"/>
      <c r="CE338" s="1"/>
      <c r="CF338" s="1"/>
      <c r="CG338" s="1"/>
      <c r="CH338" s="1"/>
      <c r="CI338" s="2"/>
      <c r="CJ338" s="2"/>
      <c r="CK338" s="2"/>
      <c r="CL338" s="2"/>
      <c r="CM338" s="2"/>
      <c r="CN338" s="2"/>
      <c r="CO338" s="2"/>
      <c r="CP338" s="2"/>
      <c r="CQ338" s="2"/>
      <c r="CR338" s="2"/>
      <c r="CS338" s="2"/>
      <c r="CT338" s="2"/>
      <c r="CU338" s="2"/>
      <c r="CV338" s="2"/>
      <c r="CW338" s="2"/>
      <c r="CX338" s="2"/>
      <c r="CY338" s="2"/>
      <c r="CZ338" s="2"/>
    </row>
    <row r="339" spans="43:104" ht="15" hidden="1" customHeight="1" x14ac:dyDescent="0.2">
      <c r="AQ339" s="85"/>
      <c r="AR339" s="12">
        <v>1965000</v>
      </c>
      <c r="AS339" s="12">
        <v>2740000</v>
      </c>
      <c r="AT339" s="2"/>
      <c r="AU339" s="2"/>
      <c r="AV339" s="2"/>
      <c r="AW339" s="2"/>
      <c r="AX339" s="2"/>
      <c r="AY339" s="2"/>
      <c r="AZ339" s="2"/>
      <c r="BA339" s="2"/>
      <c r="BB339" s="2"/>
      <c r="BC339" s="2"/>
      <c r="BD339" s="2"/>
      <c r="BE339" s="2"/>
      <c r="BK339" s="2"/>
      <c r="BM339" s="2"/>
      <c r="BN339" s="2"/>
      <c r="BO339" s="2"/>
      <c r="BS339" s="11"/>
      <c r="BT339" s="2"/>
      <c r="BU339" s="3"/>
      <c r="BV339" s="3"/>
      <c r="BW339" s="2"/>
      <c r="BX339" s="2"/>
      <c r="BY339" s="2"/>
      <c r="BZ339" s="2"/>
      <c r="CA339" s="2"/>
      <c r="CB339" s="2"/>
      <c r="CC339" s="2"/>
      <c r="CD339" s="1"/>
      <c r="CE339" s="1"/>
      <c r="CF339" s="1"/>
      <c r="CG339" s="1"/>
      <c r="CH339" s="1"/>
      <c r="CI339" s="2"/>
      <c r="CJ339" s="2"/>
      <c r="CK339" s="2"/>
      <c r="CL339" s="2"/>
      <c r="CM339" s="2"/>
      <c r="CN339" s="2"/>
      <c r="CO339" s="2"/>
      <c r="CP339" s="2"/>
      <c r="CQ339" s="2"/>
      <c r="CR339" s="2"/>
      <c r="CS339" s="2"/>
      <c r="CT339" s="2"/>
      <c r="CU339" s="2"/>
      <c r="CV339" s="2"/>
      <c r="CW339" s="2"/>
      <c r="CX339" s="2"/>
      <c r="CY339" s="2"/>
      <c r="CZ339" s="2"/>
    </row>
    <row r="340" spans="43:104" ht="15" hidden="1" customHeight="1" x14ac:dyDescent="0.2">
      <c r="AQ340" s="12"/>
      <c r="AR340" s="12">
        <v>1970000</v>
      </c>
      <c r="AS340" s="12">
        <v>2750000</v>
      </c>
      <c r="AT340" s="2"/>
      <c r="AU340" s="2"/>
      <c r="AV340" s="2"/>
      <c r="AW340" s="2"/>
      <c r="AX340" s="2"/>
      <c r="AY340" s="2"/>
      <c r="AZ340" s="2"/>
      <c r="BA340" s="2"/>
      <c r="BB340" s="2"/>
      <c r="BC340" s="2"/>
      <c r="BD340" s="2"/>
      <c r="BE340" s="2"/>
      <c r="BK340" s="2"/>
      <c r="BM340" s="2"/>
      <c r="BN340" s="2"/>
      <c r="BO340" s="2"/>
      <c r="BS340" s="11"/>
      <c r="BT340" s="2"/>
      <c r="BU340" s="3"/>
      <c r="BV340" s="3"/>
      <c r="BW340" s="2"/>
      <c r="BX340" s="2"/>
      <c r="BY340" s="2"/>
      <c r="BZ340" s="2"/>
      <c r="CA340" s="2"/>
      <c r="CB340" s="2"/>
      <c r="CC340" s="2"/>
      <c r="CD340" s="1"/>
      <c r="CE340" s="1"/>
      <c r="CF340" s="1"/>
      <c r="CG340" s="1"/>
      <c r="CH340" s="1"/>
      <c r="CI340" s="2"/>
      <c r="CJ340" s="2"/>
      <c r="CK340" s="2"/>
      <c r="CL340" s="2"/>
      <c r="CM340" s="2"/>
      <c r="CN340" s="2"/>
      <c r="CO340" s="2"/>
      <c r="CP340" s="2"/>
      <c r="CQ340" s="2"/>
      <c r="CR340" s="2"/>
      <c r="CS340" s="2"/>
      <c r="CT340" s="2"/>
      <c r="CU340" s="2"/>
      <c r="CV340" s="2"/>
      <c r="CW340" s="2"/>
      <c r="CX340" s="2"/>
      <c r="CY340" s="2"/>
      <c r="CZ340" s="2"/>
    </row>
    <row r="341" spans="43:104" ht="15" hidden="1" customHeight="1" x14ac:dyDescent="0.2">
      <c r="AQ341" s="12"/>
      <c r="AR341" s="12">
        <v>1975000</v>
      </c>
      <c r="AS341" s="12">
        <v>2760000</v>
      </c>
      <c r="AT341" s="2"/>
      <c r="AU341" s="2"/>
      <c r="AV341" s="2"/>
      <c r="AW341" s="2"/>
      <c r="AX341" s="2"/>
      <c r="AY341" s="2"/>
      <c r="AZ341" s="2"/>
      <c r="BA341" s="2"/>
      <c r="BB341" s="2"/>
      <c r="BC341" s="2"/>
      <c r="BD341" s="2"/>
      <c r="BE341" s="2"/>
      <c r="BK341" s="2"/>
      <c r="BM341" s="2"/>
      <c r="BN341" s="2"/>
      <c r="BO341" s="2"/>
      <c r="BS341" s="11"/>
      <c r="BT341" s="2"/>
      <c r="BU341" s="3"/>
      <c r="BV341" s="3"/>
      <c r="BW341" s="2"/>
      <c r="BX341" s="2"/>
      <c r="BY341" s="2"/>
      <c r="BZ341" s="2"/>
      <c r="CA341" s="2"/>
      <c r="CB341" s="2"/>
      <c r="CC341" s="2"/>
      <c r="CD341" s="1"/>
      <c r="CE341" s="1"/>
      <c r="CF341" s="1"/>
      <c r="CG341" s="1"/>
      <c r="CH341" s="1"/>
      <c r="CI341" s="2"/>
      <c r="CJ341" s="2"/>
      <c r="CK341" s="2"/>
      <c r="CL341" s="2"/>
      <c r="CM341" s="2"/>
      <c r="CN341" s="2"/>
      <c r="CO341" s="2"/>
      <c r="CP341" s="2"/>
      <c r="CQ341" s="2"/>
      <c r="CR341" s="2"/>
      <c r="CS341" s="2"/>
      <c r="CT341" s="2"/>
      <c r="CU341" s="2"/>
      <c r="CV341" s="2"/>
      <c r="CW341" s="2"/>
      <c r="CX341" s="2"/>
      <c r="CY341" s="2"/>
      <c r="CZ341" s="2"/>
    </row>
    <row r="342" spans="43:104" ht="15" hidden="1" customHeight="1" x14ac:dyDescent="0.2">
      <c r="AQ342" s="13"/>
      <c r="AR342" s="12">
        <v>1980000</v>
      </c>
      <c r="AS342" s="12">
        <v>2770000</v>
      </c>
      <c r="AT342" s="2"/>
      <c r="AU342" s="2"/>
      <c r="AV342" s="2"/>
      <c r="AW342" s="2"/>
      <c r="AX342" s="2"/>
      <c r="AY342" s="2"/>
      <c r="AZ342" s="2"/>
      <c r="BA342" s="2"/>
      <c r="BB342" s="2"/>
      <c r="BC342" s="2"/>
      <c r="BD342" s="2"/>
      <c r="BE342" s="2"/>
      <c r="BK342" s="2"/>
      <c r="BM342" s="2"/>
      <c r="BN342" s="2"/>
      <c r="BO342" s="2"/>
      <c r="BS342" s="11"/>
      <c r="BT342" s="2"/>
      <c r="BU342" s="3"/>
      <c r="BV342" s="3"/>
      <c r="BW342" s="2"/>
      <c r="BX342" s="2"/>
      <c r="BY342" s="2"/>
      <c r="BZ342" s="2"/>
      <c r="CA342" s="2"/>
      <c r="CB342" s="2"/>
      <c r="CC342" s="2"/>
      <c r="CD342" s="1"/>
      <c r="CE342" s="1"/>
      <c r="CF342" s="1"/>
      <c r="CG342" s="1"/>
      <c r="CH342" s="1"/>
      <c r="CI342" s="2"/>
      <c r="CJ342" s="2"/>
      <c r="CK342" s="2"/>
      <c r="CL342" s="2"/>
      <c r="CM342" s="2"/>
      <c r="CN342" s="2"/>
      <c r="CO342" s="2"/>
      <c r="CP342" s="2"/>
      <c r="CQ342" s="2"/>
      <c r="CR342" s="2"/>
      <c r="CS342" s="2"/>
      <c r="CT342" s="2"/>
      <c r="CU342" s="2"/>
      <c r="CV342" s="2"/>
      <c r="CW342" s="2"/>
      <c r="CX342" s="2"/>
      <c r="CY342" s="2"/>
      <c r="CZ342" s="2"/>
    </row>
    <row r="343" spans="43:104" ht="15" hidden="1" customHeight="1" x14ac:dyDescent="0.2">
      <c r="AQ343" s="13"/>
      <c r="AR343" s="12">
        <v>1985000</v>
      </c>
      <c r="AS343" s="12">
        <v>2780000</v>
      </c>
      <c r="AT343" s="2"/>
      <c r="AU343" s="2"/>
      <c r="AV343" s="2"/>
      <c r="AW343" s="2"/>
      <c r="AX343" s="2"/>
      <c r="AY343" s="2"/>
      <c r="AZ343" s="2"/>
      <c r="BA343" s="2"/>
      <c r="BB343" s="2"/>
      <c r="BC343" s="2"/>
      <c r="BD343" s="2"/>
      <c r="BE343" s="2"/>
      <c r="BK343" s="2"/>
      <c r="BM343" s="2"/>
      <c r="BN343" s="2"/>
      <c r="BO343" s="2"/>
      <c r="BS343" s="11"/>
      <c r="BT343" s="2"/>
      <c r="BU343" s="3"/>
      <c r="BV343" s="3"/>
      <c r="BW343" s="2"/>
      <c r="BX343" s="2"/>
      <c r="BY343" s="2"/>
      <c r="BZ343" s="2"/>
      <c r="CA343" s="2"/>
      <c r="CB343" s="2"/>
      <c r="CC343" s="2"/>
      <c r="CD343" s="1"/>
      <c r="CE343" s="1"/>
      <c r="CF343" s="1"/>
      <c r="CG343" s="1"/>
      <c r="CH343" s="1"/>
      <c r="CI343" s="2"/>
      <c r="CJ343" s="2"/>
      <c r="CK343" s="2"/>
      <c r="CL343" s="2"/>
      <c r="CM343" s="2"/>
      <c r="CN343" s="2"/>
      <c r="CO343" s="2"/>
      <c r="CP343" s="2"/>
      <c r="CQ343" s="2"/>
      <c r="CR343" s="2"/>
      <c r="CS343" s="2"/>
      <c r="CT343" s="2"/>
      <c r="CU343" s="2"/>
      <c r="CV343" s="2"/>
      <c r="CW343" s="2"/>
      <c r="CX343" s="2"/>
      <c r="CY343" s="2"/>
      <c r="CZ343" s="2"/>
    </row>
    <row r="344" spans="43:104" ht="15" hidden="1" customHeight="1" x14ac:dyDescent="0.2">
      <c r="AQ344" s="85"/>
      <c r="AR344" s="12">
        <v>1990000</v>
      </c>
      <c r="AS344" s="12">
        <v>2790000</v>
      </c>
      <c r="AT344" s="2"/>
      <c r="AU344" s="2"/>
      <c r="AV344" s="2"/>
      <c r="AW344" s="2"/>
      <c r="AX344" s="2"/>
      <c r="AY344" s="2"/>
      <c r="AZ344" s="2"/>
      <c r="BA344" s="2"/>
      <c r="BB344" s="2"/>
      <c r="BC344" s="2"/>
      <c r="BD344" s="2"/>
      <c r="BE344" s="2"/>
      <c r="BK344" s="2"/>
      <c r="BM344" s="2"/>
      <c r="BN344" s="2"/>
      <c r="BO344" s="2"/>
      <c r="BS344" s="11"/>
      <c r="BT344" s="2"/>
      <c r="BU344" s="3"/>
      <c r="BV344" s="3"/>
      <c r="BW344" s="2"/>
      <c r="BX344" s="2"/>
      <c r="BY344" s="2"/>
      <c r="BZ344" s="2"/>
      <c r="CA344" s="2"/>
      <c r="CB344" s="2"/>
      <c r="CC344" s="2"/>
      <c r="CD344" s="1"/>
      <c r="CE344" s="1"/>
      <c r="CF344" s="1"/>
      <c r="CG344" s="1"/>
      <c r="CH344" s="1"/>
      <c r="CI344" s="2"/>
      <c r="CJ344" s="2"/>
      <c r="CK344" s="2"/>
      <c r="CL344" s="2"/>
      <c r="CM344" s="2"/>
      <c r="CN344" s="2"/>
      <c r="CO344" s="2"/>
      <c r="CP344" s="2"/>
      <c r="CQ344" s="2"/>
      <c r="CR344" s="2"/>
      <c r="CS344" s="2"/>
      <c r="CT344" s="2"/>
      <c r="CU344" s="2"/>
      <c r="CV344" s="2"/>
      <c r="CW344" s="2"/>
      <c r="CX344" s="2"/>
      <c r="CY344" s="2"/>
      <c r="CZ344" s="2"/>
    </row>
    <row r="345" spans="43:104" ht="15" hidden="1" customHeight="1" x14ac:dyDescent="0.2">
      <c r="AQ345" s="12"/>
      <c r="AR345" s="12">
        <v>1995000</v>
      </c>
      <c r="AS345" s="12">
        <v>2800000</v>
      </c>
      <c r="AT345" s="2"/>
      <c r="AU345" s="2"/>
      <c r="AV345" s="2"/>
      <c r="AW345" s="2"/>
      <c r="AX345" s="2"/>
      <c r="AY345" s="2"/>
      <c r="AZ345" s="2"/>
      <c r="BA345" s="2"/>
      <c r="BB345" s="2"/>
      <c r="BC345" s="2"/>
      <c r="BD345" s="2"/>
      <c r="BE345" s="2"/>
      <c r="BK345" s="2"/>
      <c r="BM345" s="2"/>
      <c r="BN345" s="2"/>
      <c r="BO345" s="2"/>
      <c r="BS345" s="11"/>
      <c r="BT345" s="2"/>
      <c r="BU345" s="3"/>
      <c r="BV345" s="3"/>
      <c r="BW345" s="2"/>
      <c r="BX345" s="2"/>
      <c r="BY345" s="2"/>
      <c r="BZ345" s="46"/>
      <c r="CA345" s="1"/>
      <c r="CB345" s="1"/>
      <c r="CC345" s="1"/>
      <c r="CD345" s="1"/>
      <c r="CE345" s="1"/>
      <c r="CF345" s="1"/>
      <c r="CG345" s="1"/>
      <c r="CH345" s="1"/>
      <c r="CI345" s="2"/>
      <c r="CJ345" s="2"/>
      <c r="CK345" s="2"/>
      <c r="CL345" s="2"/>
      <c r="CM345" s="2"/>
      <c r="CN345" s="2"/>
      <c r="CO345" s="2"/>
      <c r="CP345" s="2"/>
      <c r="CQ345" s="2"/>
      <c r="CR345" s="2"/>
      <c r="CS345" s="2"/>
      <c r="CT345" s="2"/>
      <c r="CU345" s="2"/>
      <c r="CV345" s="2"/>
      <c r="CW345" s="2"/>
      <c r="CX345" s="2"/>
      <c r="CY345" s="2"/>
      <c r="CZ345" s="2"/>
    </row>
    <row r="346" spans="43:104" ht="15" hidden="1" customHeight="1" x14ac:dyDescent="0.2">
      <c r="AQ346" s="12"/>
      <c r="AR346" s="12">
        <v>2000000</v>
      </c>
      <c r="AS346" s="12">
        <v>2810000</v>
      </c>
      <c r="AT346" s="2"/>
      <c r="AU346" s="2"/>
      <c r="AV346" s="2"/>
      <c r="AW346" s="2"/>
      <c r="AX346" s="2"/>
      <c r="AY346" s="2"/>
      <c r="AZ346" s="2"/>
      <c r="BA346" s="2"/>
      <c r="BB346" s="2"/>
      <c r="BC346" s="2"/>
      <c r="BD346" s="2"/>
      <c r="BE346" s="2"/>
      <c r="BK346" s="2"/>
      <c r="BM346" s="2"/>
      <c r="BN346" s="2"/>
      <c r="BO346" s="2"/>
      <c r="BS346" s="11"/>
      <c r="BT346" s="2"/>
      <c r="BU346" s="3"/>
      <c r="BV346" s="3"/>
      <c r="BW346" s="2"/>
      <c r="BX346" s="2"/>
      <c r="BY346" s="2"/>
      <c r="BZ346" s="2"/>
      <c r="CA346" s="2"/>
      <c r="CB346" s="2"/>
      <c r="CC346" s="2"/>
      <c r="CD346" s="1"/>
      <c r="CE346" s="1"/>
      <c r="CF346" s="1"/>
      <c r="CG346" s="1"/>
      <c r="CH346" s="1"/>
      <c r="CI346" s="2"/>
      <c r="CJ346" s="2"/>
      <c r="CK346" s="2"/>
      <c r="CL346" s="2"/>
      <c r="CM346" s="2"/>
      <c r="CN346" s="2"/>
      <c r="CO346" s="2"/>
      <c r="CP346" s="2"/>
      <c r="CQ346" s="2"/>
      <c r="CR346" s="2"/>
      <c r="CS346" s="2"/>
      <c r="CT346" s="2"/>
      <c r="CU346" s="2"/>
      <c r="CV346" s="2"/>
      <c r="CW346" s="2"/>
      <c r="CX346" s="2"/>
      <c r="CY346" s="2"/>
      <c r="CZ346" s="2"/>
    </row>
    <row r="347" spans="43:104" ht="15" hidden="1" customHeight="1" x14ac:dyDescent="0.2">
      <c r="AQ347" s="2"/>
      <c r="AR347" s="12"/>
      <c r="AS347" s="2"/>
      <c r="AT347" s="2"/>
      <c r="AU347" s="2"/>
      <c r="AV347" s="2"/>
      <c r="AW347" s="2"/>
      <c r="AX347" s="2"/>
      <c r="AY347" s="2"/>
      <c r="AZ347" s="2"/>
      <c r="BA347" s="2"/>
      <c r="BB347" s="2"/>
      <c r="BC347" s="2"/>
      <c r="BD347" s="2"/>
      <c r="BE347" s="2"/>
      <c r="BK347" s="2"/>
      <c r="BM347" s="2"/>
      <c r="BN347" s="2"/>
      <c r="BO347" s="2"/>
      <c r="BS347" s="11"/>
      <c r="BT347" s="2"/>
      <c r="BU347" s="3"/>
      <c r="BV347" s="3"/>
      <c r="BW347" s="2"/>
      <c r="BX347" s="2"/>
      <c r="BY347" s="2"/>
      <c r="BZ347" s="2"/>
      <c r="CA347" s="2"/>
      <c r="CB347" s="2"/>
      <c r="CC347" s="2"/>
      <c r="CD347" s="1"/>
      <c r="CE347" s="1"/>
      <c r="CF347" s="1"/>
      <c r="CG347" s="1"/>
      <c r="CH347" s="1"/>
      <c r="CI347" s="2"/>
      <c r="CJ347" s="2"/>
      <c r="CK347" s="2"/>
      <c r="CL347" s="2"/>
      <c r="CM347" s="2"/>
      <c r="CN347" s="2"/>
      <c r="CO347" s="2"/>
      <c r="CP347" s="2"/>
      <c r="CQ347" s="2"/>
      <c r="CR347" s="2"/>
      <c r="CS347" s="2"/>
      <c r="CT347" s="2"/>
      <c r="CU347" s="2"/>
      <c r="CV347" s="2"/>
      <c r="CW347" s="2"/>
      <c r="CX347" s="2"/>
      <c r="CY347" s="2"/>
      <c r="CZ347" s="2"/>
    </row>
    <row r="348" spans="43:104" ht="15" hidden="1" customHeight="1" x14ac:dyDescent="0.2">
      <c r="AQ348" s="2"/>
      <c r="AR348" s="12"/>
      <c r="AS348" s="2"/>
      <c r="AT348" s="2"/>
      <c r="AU348" s="2"/>
      <c r="AV348" s="2"/>
      <c r="AW348" s="2"/>
      <c r="AX348" s="2"/>
      <c r="AY348" s="2"/>
      <c r="AZ348" s="2"/>
      <c r="BA348" s="2"/>
      <c r="BB348" s="2"/>
      <c r="BC348" s="2"/>
      <c r="BD348" s="2"/>
      <c r="BE348" s="2"/>
      <c r="BK348" s="2"/>
      <c r="BM348" s="2"/>
      <c r="BN348" s="2"/>
      <c r="BO348" s="2"/>
      <c r="BS348" s="11"/>
      <c r="BT348" s="2"/>
      <c r="BU348" s="3"/>
      <c r="BV348" s="3"/>
      <c r="BW348" s="2"/>
      <c r="BX348" s="2"/>
      <c r="BY348" s="2"/>
      <c r="BZ348" s="2"/>
      <c r="CA348" s="2"/>
      <c r="CB348" s="2"/>
      <c r="CC348" s="2"/>
      <c r="CD348" s="1"/>
      <c r="CE348" s="1"/>
      <c r="CF348" s="1"/>
      <c r="CG348" s="1"/>
      <c r="CH348" s="1"/>
      <c r="CI348" s="2"/>
      <c r="CJ348" s="2"/>
      <c r="CK348" s="2"/>
      <c r="CL348" s="2"/>
      <c r="CM348" s="2"/>
      <c r="CN348" s="2"/>
      <c r="CO348" s="2"/>
      <c r="CP348" s="2"/>
      <c r="CQ348" s="2"/>
      <c r="CR348" s="2"/>
      <c r="CS348" s="2"/>
      <c r="CT348" s="2"/>
      <c r="CU348" s="2"/>
      <c r="CV348" s="2"/>
      <c r="CW348" s="2"/>
      <c r="CX348" s="2"/>
      <c r="CY348" s="2"/>
      <c r="CZ348" s="2"/>
    </row>
    <row r="349" spans="43:104" ht="15" hidden="1" customHeight="1" x14ac:dyDescent="0.2">
      <c r="AQ349" s="2"/>
      <c r="AR349" s="12"/>
      <c r="AS349" s="2"/>
      <c r="AT349" s="2"/>
      <c r="AU349" s="2"/>
      <c r="AV349" s="2"/>
      <c r="AW349" s="2"/>
      <c r="AX349" s="2"/>
      <c r="AY349" s="2"/>
      <c r="AZ349" s="2"/>
      <c r="BA349" s="2"/>
      <c r="BB349" s="2"/>
      <c r="BC349" s="2"/>
      <c r="BD349" s="2"/>
      <c r="BE349" s="2"/>
      <c r="BK349" s="2"/>
      <c r="BM349" s="2"/>
      <c r="BN349" s="2"/>
      <c r="BO349" s="2"/>
      <c r="BS349" s="11"/>
      <c r="BT349" s="2"/>
      <c r="BU349" s="3"/>
      <c r="BV349" s="3"/>
      <c r="BW349" s="2"/>
      <c r="BX349" s="2"/>
      <c r="BY349" s="2"/>
      <c r="BZ349" s="2"/>
      <c r="CA349" s="2"/>
      <c r="CB349" s="2"/>
      <c r="CC349" s="2"/>
      <c r="CD349" s="1"/>
      <c r="CE349" s="1"/>
      <c r="CF349" s="1"/>
      <c r="CG349" s="1"/>
      <c r="CH349" s="1"/>
      <c r="CI349" s="2"/>
      <c r="CJ349" s="2"/>
      <c r="CK349" s="2"/>
      <c r="CL349" s="2"/>
      <c r="CM349" s="2"/>
      <c r="CN349" s="2"/>
      <c r="CO349" s="2"/>
      <c r="CP349" s="2"/>
      <c r="CQ349" s="2"/>
      <c r="CR349" s="2"/>
      <c r="CS349" s="2"/>
      <c r="CT349" s="2"/>
      <c r="CU349" s="2"/>
      <c r="CV349" s="2"/>
      <c r="CW349" s="2"/>
      <c r="CX349" s="2"/>
      <c r="CY349" s="2"/>
      <c r="CZ349" s="2"/>
    </row>
    <row r="350" spans="43:104" ht="15" hidden="1" customHeight="1" x14ac:dyDescent="0.2">
      <c r="AQ350" s="2"/>
      <c r="AR350" s="12"/>
      <c r="AS350" s="2"/>
      <c r="AT350" s="2"/>
      <c r="AU350" s="2"/>
      <c r="AV350" s="2"/>
      <c r="AW350" s="2"/>
      <c r="AX350" s="2"/>
      <c r="AY350" s="2"/>
      <c r="AZ350" s="2"/>
      <c r="BA350" s="2"/>
      <c r="BB350" s="2"/>
      <c r="BC350" s="2"/>
      <c r="BD350" s="2"/>
      <c r="BE350" s="2"/>
      <c r="BK350" s="2"/>
      <c r="BM350" s="2"/>
      <c r="BN350" s="2"/>
      <c r="BO350" s="2"/>
      <c r="BS350" s="11"/>
      <c r="BT350" s="2"/>
      <c r="BU350" s="3"/>
      <c r="BV350" s="3"/>
      <c r="BW350" s="2"/>
      <c r="BX350" s="2"/>
      <c r="BY350" s="2"/>
      <c r="BZ350" s="2"/>
      <c r="CA350" s="2"/>
      <c r="CB350" s="2"/>
      <c r="CC350" s="2"/>
      <c r="CD350" s="1"/>
      <c r="CE350" s="1"/>
      <c r="CF350" s="1"/>
      <c r="CG350" s="1"/>
      <c r="CH350" s="1"/>
      <c r="CI350" s="2"/>
      <c r="CJ350" s="2"/>
      <c r="CK350" s="2"/>
      <c r="CL350" s="2"/>
      <c r="CM350" s="2"/>
      <c r="CN350" s="2"/>
      <c r="CO350" s="2"/>
      <c r="CP350" s="2"/>
      <c r="CQ350" s="2"/>
      <c r="CR350" s="2"/>
      <c r="CS350" s="2"/>
      <c r="CT350" s="2"/>
      <c r="CU350" s="2"/>
      <c r="CV350" s="2"/>
      <c r="CW350" s="2"/>
      <c r="CX350" s="2"/>
      <c r="CY350" s="2"/>
      <c r="CZ350" s="2"/>
    </row>
    <row r="351" spans="43:104" ht="15" hidden="1" customHeight="1" x14ac:dyDescent="0.2">
      <c r="AQ351" s="2"/>
      <c r="AR351" s="12"/>
      <c r="AS351" s="2"/>
      <c r="AT351" s="2"/>
      <c r="AU351" s="2"/>
      <c r="AV351" s="2"/>
      <c r="AW351" s="2"/>
      <c r="AX351" s="2"/>
      <c r="AY351" s="2"/>
      <c r="AZ351" s="2"/>
      <c r="BA351" s="2"/>
      <c r="BB351" s="2"/>
      <c r="BC351" s="2"/>
      <c r="BD351" s="2"/>
      <c r="BE351" s="2"/>
      <c r="BK351" s="2"/>
      <c r="BM351" s="2"/>
      <c r="BN351" s="2"/>
      <c r="BO351" s="2"/>
      <c r="BS351" s="11"/>
      <c r="BT351" s="2"/>
      <c r="BU351" s="3"/>
      <c r="BV351" s="3"/>
      <c r="BW351" s="2"/>
      <c r="BX351" s="2"/>
      <c r="BY351" s="2"/>
      <c r="BZ351" s="2"/>
      <c r="CA351" s="2"/>
      <c r="CB351" s="2"/>
      <c r="CC351" s="2"/>
      <c r="CD351" s="1"/>
      <c r="CE351" s="1"/>
      <c r="CF351" s="1"/>
      <c r="CG351" s="1"/>
      <c r="CH351" s="1"/>
      <c r="CI351" s="2"/>
      <c r="CJ351" s="2"/>
      <c r="CK351" s="2"/>
      <c r="CL351" s="2"/>
      <c r="CM351" s="2"/>
      <c r="CN351" s="2"/>
      <c r="CO351" s="2"/>
      <c r="CP351" s="2"/>
      <c r="CQ351" s="2"/>
      <c r="CR351" s="2"/>
      <c r="CS351" s="2"/>
      <c r="CT351" s="2"/>
      <c r="CU351" s="2"/>
      <c r="CV351" s="2"/>
      <c r="CW351" s="2"/>
      <c r="CX351" s="2"/>
      <c r="CY351" s="2"/>
      <c r="CZ351" s="2"/>
    </row>
    <row r="352" spans="43:104" ht="15" hidden="1" customHeight="1" x14ac:dyDescent="0.2">
      <c r="AQ352" s="2"/>
      <c r="AR352" s="12"/>
      <c r="AS352" s="2"/>
      <c r="AT352" s="2"/>
      <c r="AU352" s="2"/>
      <c r="AV352" s="2"/>
      <c r="AW352" s="2"/>
      <c r="AX352" s="2"/>
      <c r="AY352" s="2"/>
      <c r="AZ352" s="2"/>
      <c r="BA352" s="2"/>
      <c r="BB352" s="2"/>
      <c r="BC352" s="2"/>
      <c r="BD352" s="2"/>
      <c r="BE352" s="2"/>
      <c r="BK352" s="2"/>
      <c r="BM352" s="2"/>
      <c r="BN352" s="2"/>
      <c r="BO352" s="2"/>
      <c r="BS352" s="11"/>
      <c r="BT352" s="2"/>
      <c r="BU352" s="3"/>
      <c r="BV352" s="3"/>
      <c r="BW352" s="2"/>
      <c r="BX352" s="2"/>
      <c r="BY352" s="2"/>
      <c r="BZ352" s="2"/>
      <c r="CA352" s="2"/>
      <c r="CB352" s="2"/>
      <c r="CC352" s="2"/>
      <c r="CD352" s="1"/>
      <c r="CE352" s="1"/>
      <c r="CF352" s="1"/>
      <c r="CG352" s="1"/>
      <c r="CH352" s="1"/>
      <c r="CI352" s="2"/>
      <c r="CJ352" s="2"/>
      <c r="CK352" s="2"/>
      <c r="CL352" s="2"/>
      <c r="CM352" s="2"/>
      <c r="CN352" s="2"/>
      <c r="CO352" s="2"/>
      <c r="CP352" s="2"/>
      <c r="CQ352" s="2"/>
      <c r="CR352" s="2"/>
      <c r="CS352" s="2"/>
      <c r="CT352" s="2"/>
      <c r="CU352" s="2"/>
      <c r="CV352" s="2"/>
      <c r="CW352" s="2"/>
      <c r="CX352" s="2"/>
      <c r="CY352" s="2"/>
      <c r="CZ352" s="2"/>
    </row>
    <row r="353" spans="44:104" ht="15" hidden="1" customHeight="1" x14ac:dyDescent="0.2">
      <c r="AR353" s="12"/>
      <c r="AS353" s="2"/>
      <c r="AT353" s="2"/>
      <c r="AU353" s="2"/>
      <c r="AV353" s="2"/>
      <c r="AW353" s="2"/>
      <c r="AX353" s="2"/>
      <c r="AY353" s="2"/>
      <c r="AZ353" s="2"/>
      <c r="BA353" s="2"/>
      <c r="BB353" s="2"/>
      <c r="BC353" s="2"/>
      <c r="BD353" s="2"/>
      <c r="BE353" s="2"/>
      <c r="BK353" s="2"/>
      <c r="BM353" s="2"/>
      <c r="BN353" s="2"/>
      <c r="BO353" s="2"/>
      <c r="BS353" s="11"/>
      <c r="BT353" s="2"/>
      <c r="BU353" s="3"/>
      <c r="BV353" s="3"/>
      <c r="BW353" s="2"/>
      <c r="BX353" s="2"/>
      <c r="BY353" s="2"/>
      <c r="BZ353" s="2"/>
      <c r="CA353" s="2"/>
      <c r="CB353" s="2"/>
      <c r="CC353" s="2"/>
      <c r="CD353" s="1"/>
      <c r="CE353" s="1"/>
      <c r="CF353" s="1"/>
      <c r="CG353" s="1"/>
      <c r="CH353" s="1"/>
      <c r="CI353" s="2"/>
      <c r="CJ353" s="2"/>
      <c r="CK353" s="2"/>
      <c r="CL353" s="2"/>
      <c r="CM353" s="2"/>
      <c r="CN353" s="2"/>
      <c r="CO353" s="2"/>
      <c r="CP353" s="2"/>
      <c r="CQ353" s="2"/>
      <c r="CR353" s="2"/>
      <c r="CS353" s="2"/>
      <c r="CT353" s="2"/>
      <c r="CU353" s="2"/>
      <c r="CV353" s="2"/>
      <c r="CW353" s="2"/>
      <c r="CX353" s="2"/>
      <c r="CY353" s="2"/>
      <c r="CZ353" s="2"/>
    </row>
    <row r="354" spans="44:104" ht="15" hidden="1" customHeight="1" x14ac:dyDescent="0.2">
      <c r="AR354" s="12"/>
      <c r="AS354" s="2"/>
      <c r="AT354" s="2"/>
      <c r="AU354" s="2"/>
      <c r="AV354" s="2"/>
      <c r="AW354" s="2"/>
      <c r="AX354" s="2"/>
      <c r="AY354" s="2"/>
      <c r="AZ354" s="2"/>
      <c r="BA354" s="2"/>
      <c r="BB354" s="2"/>
      <c r="BC354" s="2"/>
      <c r="BD354" s="2"/>
      <c r="BE354" s="2"/>
      <c r="BK354" s="2"/>
      <c r="BM354" s="2"/>
      <c r="BN354" s="2"/>
      <c r="BO354" s="2"/>
      <c r="BS354" s="11"/>
      <c r="BT354" s="2"/>
      <c r="BU354" s="3"/>
      <c r="BV354" s="3"/>
      <c r="BW354" s="2"/>
      <c r="BX354" s="2"/>
      <c r="BY354" s="2"/>
      <c r="BZ354" s="2"/>
      <c r="CA354" s="2"/>
      <c r="CB354" s="2"/>
      <c r="CC354" s="2"/>
      <c r="CD354" s="1"/>
      <c r="CE354" s="1"/>
      <c r="CF354" s="1"/>
      <c r="CG354" s="1"/>
      <c r="CH354" s="1"/>
      <c r="CI354" s="2"/>
      <c r="CJ354" s="2"/>
      <c r="CK354" s="2"/>
      <c r="CL354" s="2"/>
      <c r="CM354" s="2"/>
      <c r="CN354" s="2"/>
      <c r="CO354" s="2"/>
      <c r="CP354" s="2"/>
      <c r="CQ354" s="2"/>
      <c r="CR354" s="2"/>
      <c r="CS354" s="2"/>
      <c r="CT354" s="2"/>
      <c r="CU354" s="2"/>
      <c r="CV354" s="2"/>
      <c r="CW354" s="2"/>
      <c r="CX354" s="2"/>
      <c r="CY354" s="2"/>
      <c r="CZ354" s="2"/>
    </row>
    <row r="355" spans="44:104" ht="15" hidden="1" customHeight="1" x14ac:dyDescent="0.2">
      <c r="AR355" s="12"/>
      <c r="AS355" s="2"/>
      <c r="AT355" s="2"/>
      <c r="AU355" s="2"/>
      <c r="AV355" s="2"/>
      <c r="AW355" s="2"/>
      <c r="AX355" s="2"/>
      <c r="AY355" s="2"/>
      <c r="AZ355" s="2"/>
      <c r="BA355" s="2"/>
      <c r="BB355" s="2"/>
      <c r="BC355" s="2"/>
      <c r="BD355" s="2"/>
      <c r="BE355" s="2"/>
      <c r="BK355" s="2"/>
      <c r="BM355" s="2"/>
      <c r="BN355" s="2"/>
      <c r="BO355" s="2"/>
      <c r="BS355" s="11"/>
      <c r="BT355" s="2"/>
      <c r="BU355" s="3"/>
      <c r="BV355" s="3"/>
      <c r="BW355" s="2"/>
      <c r="BX355" s="2"/>
      <c r="BY355" s="2"/>
      <c r="BZ355" s="2"/>
      <c r="CA355" s="2"/>
      <c r="CB355" s="2"/>
      <c r="CC355" s="2"/>
      <c r="CD355" s="1"/>
      <c r="CE355" s="1"/>
      <c r="CF355" s="1"/>
      <c r="CG355" s="1"/>
      <c r="CH355" s="1"/>
      <c r="CI355" s="2"/>
      <c r="CJ355" s="2"/>
      <c r="CK355" s="2"/>
      <c r="CL355" s="2"/>
      <c r="CM355" s="2"/>
      <c r="CN355" s="2"/>
      <c r="CO355" s="2"/>
      <c r="CP355" s="2"/>
      <c r="CQ355" s="2"/>
      <c r="CR355" s="2"/>
      <c r="CS355" s="2"/>
      <c r="CT355" s="2"/>
      <c r="CU355" s="2"/>
      <c r="CV355" s="2"/>
      <c r="CW355" s="2"/>
      <c r="CX355" s="2"/>
      <c r="CY355" s="2"/>
      <c r="CZ355" s="2"/>
    </row>
    <row r="356" spans="44:104" ht="15" hidden="1" customHeight="1" x14ac:dyDescent="0.2">
      <c r="AR356" s="12"/>
      <c r="AS356" s="2"/>
      <c r="AT356" s="2"/>
      <c r="AU356" s="2"/>
      <c r="AV356" s="2"/>
      <c r="AW356" s="2"/>
      <c r="AX356" s="2"/>
      <c r="AY356" s="2"/>
      <c r="AZ356" s="2"/>
      <c r="BA356" s="2"/>
      <c r="BB356" s="2"/>
      <c r="BC356" s="2"/>
      <c r="BD356" s="2"/>
      <c r="BE356" s="2"/>
      <c r="BK356" s="2"/>
      <c r="BM356" s="2"/>
      <c r="BN356" s="2"/>
      <c r="BO356" s="2"/>
      <c r="BS356" s="11"/>
      <c r="BT356" s="2"/>
      <c r="BU356" s="3"/>
      <c r="BV356" s="3"/>
      <c r="BW356" s="2"/>
      <c r="BX356" s="2"/>
      <c r="BY356" s="2"/>
      <c r="BZ356" s="2"/>
      <c r="CA356" s="2"/>
      <c r="CB356" s="2"/>
      <c r="CC356" s="2"/>
      <c r="CD356" s="1"/>
      <c r="CE356" s="1"/>
      <c r="CF356" s="1"/>
      <c r="CG356" s="1"/>
      <c r="CH356" s="1"/>
      <c r="CI356" s="2"/>
      <c r="CJ356" s="2"/>
      <c r="CK356" s="2"/>
      <c r="CL356" s="2"/>
      <c r="CM356" s="2"/>
      <c r="CN356" s="2"/>
      <c r="CO356" s="2"/>
      <c r="CP356" s="2"/>
      <c r="CQ356" s="2"/>
      <c r="CR356" s="2"/>
      <c r="CS356" s="2"/>
      <c r="CT356" s="2"/>
      <c r="CU356" s="2"/>
      <c r="CV356" s="2"/>
      <c r="CW356" s="2"/>
      <c r="CX356" s="2"/>
      <c r="CY356" s="2"/>
      <c r="CZ356" s="2"/>
    </row>
    <row r="357" spans="44:104" ht="15" hidden="1" customHeight="1" x14ac:dyDescent="0.2">
      <c r="AR357" s="12"/>
      <c r="AS357" s="2"/>
      <c r="AT357" s="2"/>
      <c r="AU357" s="2"/>
      <c r="AV357" s="2"/>
      <c r="AW357" s="2"/>
      <c r="AX357" s="2"/>
      <c r="AY357" s="2"/>
      <c r="AZ357" s="2"/>
      <c r="BA357" s="2"/>
      <c r="BB357" s="2"/>
      <c r="BC357" s="2"/>
      <c r="BD357" s="2"/>
      <c r="BE357" s="2"/>
      <c r="BK357" s="2"/>
      <c r="BM357" s="2"/>
      <c r="BN357" s="2"/>
      <c r="BO357" s="2"/>
      <c r="BS357" s="11"/>
      <c r="BT357" s="2"/>
      <c r="BU357" s="3"/>
      <c r="BV357" s="3"/>
      <c r="BW357" s="2"/>
      <c r="BX357" s="2"/>
      <c r="BY357" s="2"/>
      <c r="BZ357" s="2"/>
      <c r="CA357" s="2"/>
      <c r="CB357" s="2"/>
      <c r="CC357" s="2"/>
      <c r="CD357" s="1"/>
      <c r="CE357" s="1"/>
      <c r="CF357" s="1"/>
      <c r="CG357" s="1"/>
      <c r="CH357" s="1"/>
      <c r="CI357" s="2"/>
      <c r="CJ357" s="2"/>
      <c r="CK357" s="2"/>
      <c r="CL357" s="2"/>
      <c r="CM357" s="2"/>
      <c r="CN357" s="2"/>
      <c r="CO357" s="2"/>
      <c r="CP357" s="2"/>
      <c r="CQ357" s="2"/>
      <c r="CR357" s="2"/>
      <c r="CS357" s="2"/>
      <c r="CT357" s="2"/>
      <c r="CU357" s="2"/>
      <c r="CV357" s="2"/>
      <c r="CW357" s="2"/>
      <c r="CX357" s="2"/>
      <c r="CY357" s="2"/>
      <c r="CZ357" s="2"/>
    </row>
    <row r="358" spans="44:104" ht="15" hidden="1" customHeight="1" x14ac:dyDescent="0.2">
      <c r="AR358" s="12"/>
      <c r="AS358" s="2"/>
      <c r="AT358" s="2"/>
      <c r="AU358" s="2"/>
      <c r="AV358" s="2"/>
      <c r="AW358" s="2"/>
      <c r="AX358" s="2"/>
      <c r="AY358" s="2"/>
      <c r="AZ358" s="2"/>
      <c r="BA358" s="2"/>
      <c r="BB358" s="2"/>
      <c r="BC358" s="2"/>
      <c r="BD358" s="2"/>
      <c r="BE358" s="2"/>
      <c r="BK358" s="2"/>
      <c r="BM358" s="2"/>
      <c r="BN358" s="2"/>
      <c r="BO358" s="2"/>
      <c r="BS358" s="11"/>
      <c r="BT358" s="2"/>
      <c r="BU358" s="3"/>
      <c r="BV358" s="3"/>
      <c r="BW358" s="2"/>
      <c r="BX358" s="2"/>
      <c r="BY358" s="2"/>
      <c r="BZ358" s="2"/>
      <c r="CA358" s="2"/>
      <c r="CB358" s="2"/>
      <c r="CC358" s="2"/>
      <c r="CD358" s="1"/>
      <c r="CE358" s="1"/>
      <c r="CF358" s="1"/>
      <c r="CG358" s="1"/>
      <c r="CH358" s="1"/>
      <c r="CI358" s="2"/>
      <c r="CJ358" s="2"/>
      <c r="CK358" s="2"/>
      <c r="CL358" s="2"/>
      <c r="CM358" s="2"/>
      <c r="CN358" s="2"/>
      <c r="CO358" s="2"/>
      <c r="CP358" s="2"/>
      <c r="CQ358" s="2"/>
      <c r="CR358" s="2"/>
      <c r="CS358" s="2"/>
      <c r="CT358" s="2"/>
      <c r="CU358" s="2"/>
      <c r="CV358" s="2"/>
      <c r="CW358" s="2"/>
      <c r="CX358" s="2"/>
      <c r="CY358" s="2"/>
      <c r="CZ358" s="2"/>
    </row>
    <row r="359" spans="44:104" ht="15" hidden="1" customHeight="1" x14ac:dyDescent="0.2">
      <c r="AR359" s="12"/>
      <c r="AS359" s="2"/>
      <c r="AT359" s="2"/>
      <c r="AU359" s="2"/>
      <c r="AV359" s="2"/>
      <c r="AW359" s="2"/>
      <c r="AX359" s="2"/>
      <c r="AY359" s="2"/>
      <c r="AZ359" s="2"/>
      <c r="BA359" s="2"/>
      <c r="BB359" s="2"/>
      <c r="BC359" s="2"/>
      <c r="BD359" s="2"/>
      <c r="BE359" s="2"/>
      <c r="BK359" s="2"/>
      <c r="BM359" s="2"/>
      <c r="BN359" s="2"/>
      <c r="BO359" s="2"/>
      <c r="BS359" s="11"/>
      <c r="BT359" s="2"/>
      <c r="BU359" s="3"/>
      <c r="BV359" s="3"/>
      <c r="BW359" s="2"/>
      <c r="BX359" s="2"/>
      <c r="BY359" s="2"/>
      <c r="BZ359" s="2"/>
      <c r="CA359" s="2"/>
      <c r="CB359" s="2"/>
      <c r="CC359" s="2"/>
      <c r="CD359" s="1"/>
      <c r="CE359" s="1"/>
      <c r="CF359" s="1"/>
      <c r="CG359" s="1"/>
      <c r="CH359" s="1"/>
      <c r="CI359" s="2"/>
      <c r="CJ359" s="2"/>
      <c r="CK359" s="2"/>
      <c r="CL359" s="2"/>
      <c r="CM359" s="2"/>
      <c r="CN359" s="2"/>
      <c r="CO359" s="2"/>
      <c r="CP359" s="2"/>
      <c r="CQ359" s="2"/>
      <c r="CR359" s="2"/>
      <c r="CS359" s="2"/>
      <c r="CT359" s="2"/>
      <c r="CU359" s="2"/>
      <c r="CV359" s="2"/>
      <c r="CW359" s="2"/>
      <c r="CX359" s="2"/>
      <c r="CY359" s="2"/>
      <c r="CZ359" s="2"/>
    </row>
    <row r="360" spans="44:104" ht="15" hidden="1" customHeight="1" x14ac:dyDescent="0.2">
      <c r="AR360" s="12"/>
      <c r="AS360" s="2"/>
      <c r="AT360" s="2"/>
      <c r="AU360" s="2"/>
      <c r="AV360" s="2"/>
      <c r="AW360" s="2"/>
      <c r="AX360" s="2"/>
      <c r="AY360" s="2"/>
      <c r="AZ360" s="2"/>
      <c r="BA360" s="2"/>
      <c r="BB360" s="2"/>
      <c r="BC360" s="2"/>
      <c r="BD360" s="2"/>
      <c r="BE360" s="2"/>
      <c r="BK360" s="2"/>
      <c r="BM360" s="2"/>
      <c r="BN360" s="2"/>
      <c r="BO360" s="2"/>
      <c r="BS360" s="11"/>
      <c r="BT360" s="2"/>
      <c r="BU360" s="3"/>
      <c r="BV360" s="3"/>
      <c r="BW360" s="2"/>
      <c r="BX360" s="2"/>
      <c r="BY360" s="2"/>
      <c r="BZ360" s="2"/>
      <c r="CA360" s="2"/>
      <c r="CB360" s="2"/>
      <c r="CC360" s="2"/>
      <c r="CD360" s="1"/>
      <c r="CE360" s="1"/>
      <c r="CF360" s="1"/>
      <c r="CG360" s="1"/>
      <c r="CH360" s="1"/>
      <c r="CI360" s="2"/>
      <c r="CJ360" s="2"/>
      <c r="CK360" s="2"/>
      <c r="CL360" s="2"/>
      <c r="CM360" s="2"/>
      <c r="CN360" s="2"/>
      <c r="CO360" s="2"/>
      <c r="CP360" s="2"/>
      <c r="CQ360" s="2"/>
      <c r="CR360" s="2"/>
      <c r="CS360" s="2"/>
      <c r="CT360" s="2"/>
      <c r="CU360" s="2"/>
      <c r="CV360" s="2"/>
      <c r="CW360" s="2"/>
      <c r="CX360" s="2"/>
      <c r="CY360" s="2"/>
      <c r="CZ360" s="2"/>
    </row>
    <row r="361" spans="44:104" ht="15" hidden="1" customHeight="1" x14ac:dyDescent="0.2">
      <c r="AR361" s="12"/>
      <c r="AS361" s="2"/>
      <c r="AT361" s="2"/>
      <c r="AU361" s="2"/>
      <c r="AV361" s="2"/>
      <c r="AW361" s="2"/>
      <c r="AX361" s="2"/>
      <c r="AY361" s="2"/>
      <c r="AZ361" s="2"/>
      <c r="BA361" s="2"/>
      <c r="BB361" s="2"/>
      <c r="BC361" s="2"/>
      <c r="BD361" s="2"/>
      <c r="BE361" s="2"/>
      <c r="BK361" s="2"/>
      <c r="BM361" s="2"/>
      <c r="BN361" s="2"/>
      <c r="BO361" s="2"/>
      <c r="BS361" s="11"/>
      <c r="BT361" s="2"/>
      <c r="BU361" s="3"/>
      <c r="BV361" s="3"/>
      <c r="BW361" s="2"/>
      <c r="BX361" s="2"/>
      <c r="BY361" s="2"/>
      <c r="BZ361" s="2"/>
      <c r="CA361" s="2"/>
      <c r="CB361" s="2"/>
      <c r="CC361" s="2"/>
      <c r="CD361" s="1"/>
      <c r="CE361" s="1"/>
      <c r="CF361" s="1"/>
      <c r="CG361" s="1"/>
      <c r="CH361" s="1"/>
      <c r="CI361" s="2"/>
      <c r="CJ361" s="2"/>
      <c r="CK361" s="2"/>
      <c r="CL361" s="2"/>
      <c r="CM361" s="2"/>
      <c r="CN361" s="2"/>
      <c r="CO361" s="2"/>
      <c r="CP361" s="2"/>
      <c r="CQ361" s="2"/>
      <c r="CR361" s="2"/>
      <c r="CS361" s="2"/>
      <c r="CT361" s="2"/>
      <c r="CU361" s="2"/>
      <c r="CV361" s="2"/>
      <c r="CW361" s="2"/>
      <c r="CX361" s="2"/>
      <c r="CY361" s="2"/>
      <c r="CZ361" s="2"/>
    </row>
    <row r="362" spans="44:104" ht="15" hidden="1" customHeight="1" x14ac:dyDescent="0.2">
      <c r="AR362" s="12"/>
      <c r="AS362" s="2"/>
      <c r="AT362" s="2"/>
      <c r="AU362" s="2"/>
      <c r="AV362" s="2"/>
      <c r="AW362" s="2"/>
      <c r="AX362" s="2"/>
      <c r="AY362" s="2"/>
      <c r="AZ362" s="2"/>
      <c r="BA362" s="2"/>
      <c r="BB362" s="2"/>
      <c r="BC362" s="2"/>
      <c r="BD362" s="2"/>
      <c r="BE362" s="2"/>
      <c r="BK362" s="2"/>
      <c r="BM362" s="2"/>
      <c r="BN362" s="2"/>
      <c r="BO362" s="2"/>
      <c r="BS362" s="11"/>
      <c r="BT362" s="2"/>
      <c r="BU362" s="3"/>
      <c r="BV362" s="3"/>
      <c r="BW362" s="2"/>
      <c r="BX362" s="2"/>
      <c r="BY362" s="2"/>
      <c r="BZ362" s="46"/>
      <c r="CA362" s="1"/>
      <c r="CB362" s="1"/>
      <c r="CC362" s="1"/>
      <c r="CD362" s="1"/>
      <c r="CE362" s="1"/>
      <c r="CF362" s="1"/>
      <c r="CG362" s="1"/>
      <c r="CH362" s="1"/>
      <c r="CI362" s="2"/>
      <c r="CJ362" s="2"/>
      <c r="CK362" s="2"/>
      <c r="CL362" s="2"/>
      <c r="CM362" s="2"/>
      <c r="CN362" s="2"/>
      <c r="CO362" s="2"/>
      <c r="CP362" s="2"/>
      <c r="CQ362" s="2"/>
      <c r="CR362" s="2"/>
      <c r="CS362" s="2"/>
      <c r="CT362" s="2"/>
      <c r="CU362" s="2"/>
      <c r="CV362" s="2"/>
      <c r="CW362" s="2"/>
      <c r="CX362" s="2"/>
      <c r="CY362" s="2"/>
      <c r="CZ362" s="2"/>
    </row>
    <row r="363" spans="44:104" ht="15" hidden="1" customHeight="1" x14ac:dyDescent="0.2">
      <c r="AR363" s="12"/>
      <c r="AS363" s="2"/>
      <c r="AT363" s="2"/>
      <c r="AU363" s="2"/>
      <c r="AV363" s="2"/>
      <c r="AW363" s="2"/>
      <c r="AX363" s="2"/>
      <c r="AY363" s="2"/>
      <c r="AZ363" s="2"/>
      <c r="BA363" s="2"/>
      <c r="BB363" s="2"/>
      <c r="BC363" s="2"/>
      <c r="BD363" s="2"/>
      <c r="BE363" s="2"/>
      <c r="BK363" s="2"/>
      <c r="BM363" s="2"/>
      <c r="BN363" s="2"/>
      <c r="BO363" s="2"/>
      <c r="BS363" s="11"/>
      <c r="BT363" s="2"/>
      <c r="BU363" s="3"/>
      <c r="BV363" s="3"/>
      <c r="BW363" s="2"/>
      <c r="BX363" s="2"/>
      <c r="BY363" s="2"/>
      <c r="BZ363" s="2"/>
      <c r="CA363" s="2"/>
      <c r="CB363" s="2"/>
      <c r="CC363" s="2"/>
      <c r="CD363" s="1"/>
      <c r="CE363" s="1"/>
      <c r="CF363" s="1"/>
      <c r="CG363" s="1"/>
      <c r="CH363" s="1"/>
      <c r="CI363" s="2"/>
      <c r="CJ363" s="2"/>
      <c r="CK363" s="2"/>
      <c r="CL363" s="2"/>
      <c r="CM363" s="2"/>
      <c r="CN363" s="2"/>
      <c r="CO363" s="2"/>
      <c r="CP363" s="2"/>
      <c r="CQ363" s="2"/>
      <c r="CR363" s="2"/>
      <c r="CS363" s="2"/>
      <c r="CT363" s="2"/>
      <c r="CU363" s="2"/>
      <c r="CV363" s="2"/>
      <c r="CW363" s="2"/>
      <c r="CX363" s="2"/>
      <c r="CY363" s="2"/>
      <c r="CZ363" s="2"/>
    </row>
    <row r="364" spans="44:104" ht="15" hidden="1" customHeight="1" x14ac:dyDescent="0.2">
      <c r="AR364" s="12"/>
      <c r="AS364" s="2"/>
      <c r="AT364" s="2"/>
      <c r="AU364" s="2"/>
      <c r="AV364" s="2"/>
      <c r="AW364" s="2"/>
      <c r="AX364" s="2"/>
      <c r="AY364" s="2"/>
      <c r="AZ364" s="2"/>
      <c r="BA364" s="2"/>
      <c r="BB364" s="2"/>
      <c r="BC364" s="2"/>
      <c r="BD364" s="2"/>
      <c r="BE364" s="2"/>
      <c r="BK364" s="2"/>
      <c r="BM364" s="2"/>
      <c r="BN364" s="2"/>
      <c r="BO364" s="2"/>
      <c r="BS364" s="11"/>
      <c r="BT364" s="2"/>
      <c r="BU364" s="3"/>
      <c r="BV364" s="3"/>
      <c r="BW364" s="2"/>
      <c r="BX364" s="2"/>
      <c r="BY364" s="2"/>
      <c r="BZ364" s="2"/>
      <c r="CA364" s="2"/>
      <c r="CB364" s="2"/>
      <c r="CC364" s="2"/>
      <c r="CD364" s="1"/>
      <c r="CE364" s="1"/>
      <c r="CF364" s="1"/>
      <c r="CG364" s="1"/>
      <c r="CH364" s="1"/>
      <c r="CI364" s="2"/>
      <c r="CJ364" s="2"/>
      <c r="CK364" s="2"/>
      <c r="CL364" s="2"/>
      <c r="CM364" s="2"/>
      <c r="CN364" s="2"/>
      <c r="CO364" s="2"/>
      <c r="CP364" s="2"/>
      <c r="CQ364" s="2"/>
      <c r="CR364" s="2"/>
      <c r="CS364" s="2"/>
      <c r="CT364" s="2"/>
      <c r="CU364" s="2"/>
      <c r="CV364" s="2"/>
      <c r="CW364" s="2"/>
      <c r="CX364" s="2"/>
      <c r="CY364" s="2"/>
      <c r="CZ364" s="2"/>
    </row>
    <row r="365" spans="44:104" ht="15" hidden="1" customHeight="1" x14ac:dyDescent="0.2">
      <c r="AR365" s="2"/>
      <c r="AS365" s="2"/>
      <c r="AT365" s="2"/>
      <c r="AU365" s="2"/>
      <c r="AV365" s="2"/>
      <c r="AW365" s="2"/>
      <c r="AX365" s="2"/>
      <c r="AY365" s="2"/>
      <c r="AZ365" s="2"/>
      <c r="BA365" s="2"/>
      <c r="BB365" s="2"/>
      <c r="BC365" s="2"/>
      <c r="BD365" s="2"/>
      <c r="BE365" s="2"/>
      <c r="BK365" s="2"/>
      <c r="BM365" s="2"/>
      <c r="BN365" s="2"/>
      <c r="BO365" s="2"/>
      <c r="BS365" s="11"/>
      <c r="BT365" s="2"/>
      <c r="BU365" s="3"/>
      <c r="BV365" s="3"/>
      <c r="BW365" s="2"/>
      <c r="BX365" s="2"/>
      <c r="BY365" s="2"/>
      <c r="BZ365" s="2"/>
      <c r="CA365" s="2"/>
      <c r="CB365" s="2"/>
      <c r="CC365" s="2"/>
      <c r="CD365" s="1"/>
      <c r="CE365" s="1"/>
      <c r="CF365" s="1"/>
      <c r="CG365" s="1"/>
      <c r="CH365" s="1"/>
      <c r="CI365" s="2"/>
      <c r="CJ365" s="2"/>
      <c r="CK365" s="2"/>
      <c r="CL365" s="2"/>
      <c r="CM365" s="2"/>
      <c r="CN365" s="2"/>
      <c r="CO365" s="2"/>
      <c r="CP365" s="2"/>
      <c r="CQ365" s="2"/>
      <c r="CR365" s="2"/>
      <c r="CS365" s="2"/>
      <c r="CT365" s="2"/>
      <c r="CU365" s="2"/>
      <c r="CV365" s="2"/>
      <c r="CW365" s="2"/>
      <c r="CX365" s="2"/>
      <c r="CY365" s="2"/>
      <c r="CZ365" s="2"/>
    </row>
    <row r="366" spans="44:104" ht="15" hidden="1" customHeight="1" x14ac:dyDescent="0.2">
      <c r="AR366" s="2"/>
      <c r="AS366" s="2"/>
      <c r="AT366" s="2"/>
      <c r="AU366" s="2"/>
      <c r="AV366" s="2"/>
      <c r="AW366" s="2"/>
      <c r="AX366" s="2"/>
      <c r="AY366" s="2"/>
      <c r="AZ366" s="2"/>
      <c r="BA366" s="2"/>
      <c r="BB366" s="2"/>
      <c r="BC366" s="2"/>
      <c r="BD366" s="2"/>
      <c r="BE366" s="2"/>
      <c r="BK366" s="2"/>
      <c r="BM366" s="2"/>
      <c r="BN366" s="2"/>
      <c r="BO366" s="2"/>
      <c r="BS366" s="11"/>
      <c r="BT366" s="2"/>
      <c r="BU366" s="3"/>
      <c r="BV366" s="3"/>
      <c r="BW366" s="2"/>
      <c r="BX366" s="2"/>
      <c r="BY366" s="2"/>
      <c r="BZ366" s="2"/>
      <c r="CA366" s="2"/>
      <c r="CB366" s="2"/>
      <c r="CC366" s="2"/>
      <c r="CD366" s="1"/>
      <c r="CE366" s="1"/>
      <c r="CF366" s="1"/>
      <c r="CG366" s="1"/>
      <c r="CH366" s="1"/>
      <c r="CI366" s="2"/>
      <c r="CJ366" s="2"/>
      <c r="CK366" s="2"/>
      <c r="CL366" s="2"/>
      <c r="CM366" s="2"/>
      <c r="CN366" s="2"/>
      <c r="CO366" s="2"/>
      <c r="CP366" s="2"/>
      <c r="CQ366" s="2"/>
      <c r="CR366" s="2"/>
      <c r="CS366" s="2"/>
      <c r="CT366" s="2"/>
      <c r="CU366" s="2"/>
      <c r="CV366" s="2"/>
      <c r="CW366" s="2"/>
      <c r="CX366" s="2"/>
      <c r="CY366" s="2"/>
      <c r="CZ366" s="2"/>
    </row>
    <row r="367" spans="44:104" ht="15" hidden="1" customHeight="1" x14ac:dyDescent="0.2">
      <c r="AR367" s="2"/>
      <c r="AS367" s="2"/>
      <c r="AT367" s="2"/>
      <c r="AU367" s="2"/>
      <c r="AV367" s="2"/>
      <c r="AW367" s="2"/>
      <c r="AX367" s="2"/>
      <c r="AY367" s="2"/>
      <c r="AZ367" s="2"/>
      <c r="BA367" s="2"/>
      <c r="BB367" s="2"/>
      <c r="BC367" s="2"/>
      <c r="BD367" s="2"/>
      <c r="BE367" s="2"/>
      <c r="BK367" s="2"/>
      <c r="BM367" s="2"/>
      <c r="BN367" s="2"/>
      <c r="BO367" s="2"/>
      <c r="BS367" s="11"/>
      <c r="BT367" s="2"/>
      <c r="BU367" s="3"/>
      <c r="BV367" s="3"/>
      <c r="BW367" s="2"/>
      <c r="BX367" s="2"/>
      <c r="BY367" s="2"/>
      <c r="BZ367" s="2"/>
      <c r="CA367" s="2"/>
      <c r="CB367" s="2"/>
      <c r="CC367" s="2"/>
      <c r="CD367" s="1"/>
      <c r="CE367" s="1"/>
      <c r="CF367" s="1"/>
      <c r="CG367" s="1"/>
      <c r="CH367" s="1"/>
      <c r="CI367" s="2"/>
      <c r="CJ367" s="2"/>
      <c r="CK367" s="2"/>
      <c r="CL367" s="2"/>
      <c r="CM367" s="2"/>
      <c r="CN367" s="2"/>
      <c r="CO367" s="2"/>
      <c r="CP367" s="2"/>
      <c r="CQ367" s="2"/>
      <c r="CR367" s="2"/>
      <c r="CS367" s="2"/>
      <c r="CT367" s="2"/>
      <c r="CU367" s="2"/>
      <c r="CV367" s="2"/>
      <c r="CW367" s="2"/>
      <c r="CX367" s="2"/>
      <c r="CY367" s="2"/>
      <c r="CZ367" s="2"/>
    </row>
    <row r="368" spans="44:104" ht="15" hidden="1" customHeight="1" x14ac:dyDescent="0.2">
      <c r="AR368" s="2"/>
      <c r="AS368" s="2"/>
      <c r="AT368" s="2"/>
      <c r="AU368" s="2"/>
      <c r="AV368" s="2"/>
      <c r="AW368" s="2"/>
      <c r="AX368" s="2"/>
      <c r="AY368" s="2"/>
      <c r="AZ368" s="2"/>
      <c r="BA368" s="2"/>
      <c r="BB368" s="2"/>
      <c r="BC368" s="2"/>
      <c r="BD368" s="2"/>
      <c r="BE368" s="2"/>
      <c r="BK368" s="2"/>
      <c r="BM368" s="2"/>
      <c r="BN368" s="2"/>
      <c r="BO368" s="2"/>
      <c r="BS368" s="11"/>
      <c r="BT368" s="2"/>
      <c r="BU368" s="3"/>
      <c r="BV368" s="3"/>
      <c r="BW368" s="2"/>
      <c r="BX368" s="2"/>
      <c r="BY368" s="2"/>
      <c r="BZ368" s="2"/>
      <c r="CA368" s="2"/>
      <c r="CB368" s="2"/>
      <c r="CC368" s="2"/>
      <c r="CD368" s="1"/>
      <c r="CE368" s="1"/>
      <c r="CF368" s="1"/>
      <c r="CG368" s="1"/>
      <c r="CH368" s="1"/>
      <c r="CI368" s="2"/>
      <c r="CJ368" s="2"/>
      <c r="CK368" s="2"/>
      <c r="CL368" s="2"/>
      <c r="CM368" s="2"/>
      <c r="CN368" s="2"/>
      <c r="CO368" s="2"/>
      <c r="CP368" s="2"/>
      <c r="CQ368" s="2"/>
      <c r="CR368" s="2"/>
      <c r="CS368" s="2"/>
      <c r="CT368" s="2"/>
      <c r="CU368" s="2"/>
      <c r="CV368" s="2"/>
      <c r="CW368" s="2"/>
      <c r="CX368" s="2"/>
      <c r="CY368" s="2"/>
      <c r="CZ368" s="2"/>
    </row>
    <row r="369" spans="44:104" ht="15" hidden="1" customHeight="1" x14ac:dyDescent="0.2">
      <c r="AR369" s="2"/>
      <c r="AS369" s="2"/>
      <c r="AT369" s="2"/>
      <c r="AU369" s="2"/>
      <c r="AV369" s="2"/>
      <c r="AW369" s="2"/>
      <c r="AX369" s="2"/>
      <c r="AY369" s="2"/>
      <c r="AZ369" s="2"/>
      <c r="BA369" s="2"/>
      <c r="BB369" s="2"/>
      <c r="BC369" s="2"/>
      <c r="BD369" s="2"/>
      <c r="BE369" s="2"/>
      <c r="BK369" s="2"/>
      <c r="BM369" s="2"/>
      <c r="BN369" s="2"/>
      <c r="BO369" s="2"/>
      <c r="BS369" s="11"/>
      <c r="BT369" s="2"/>
      <c r="BU369" s="3"/>
      <c r="BV369" s="3"/>
      <c r="BW369" s="2"/>
      <c r="BX369" s="2"/>
      <c r="BY369" s="2"/>
      <c r="BZ369" s="2"/>
      <c r="CA369" s="2"/>
      <c r="CB369" s="2"/>
      <c r="CC369" s="2"/>
      <c r="CD369" s="1"/>
      <c r="CE369" s="1"/>
      <c r="CF369" s="1"/>
      <c r="CG369" s="1"/>
      <c r="CH369" s="1"/>
      <c r="CI369" s="2"/>
      <c r="CJ369" s="2"/>
      <c r="CK369" s="2"/>
      <c r="CL369" s="2"/>
      <c r="CM369" s="2"/>
      <c r="CN369" s="2"/>
      <c r="CO369" s="2"/>
      <c r="CP369" s="2"/>
      <c r="CQ369" s="2"/>
      <c r="CR369" s="2"/>
      <c r="CS369" s="2"/>
      <c r="CT369" s="2"/>
      <c r="CU369" s="2"/>
      <c r="CV369" s="2"/>
      <c r="CW369" s="2"/>
      <c r="CX369" s="2"/>
      <c r="CY369" s="2"/>
      <c r="CZ369" s="2"/>
    </row>
    <row r="370" spans="44:104" ht="15" hidden="1" customHeight="1" x14ac:dyDescent="0.2">
      <c r="AR370" s="2"/>
      <c r="AS370" s="2"/>
      <c r="AT370" s="2"/>
      <c r="AU370" s="2"/>
      <c r="AV370" s="2"/>
      <c r="AW370" s="2"/>
      <c r="AX370" s="2"/>
      <c r="AY370" s="2"/>
      <c r="AZ370" s="2"/>
      <c r="BA370" s="2"/>
      <c r="BB370" s="2"/>
      <c r="BC370" s="2"/>
      <c r="BD370" s="2"/>
      <c r="BE370" s="2"/>
      <c r="BK370" s="2"/>
      <c r="BM370" s="2"/>
      <c r="BN370" s="2"/>
      <c r="BO370" s="2"/>
      <c r="BS370" s="11"/>
      <c r="BT370" s="2"/>
      <c r="BU370" s="3"/>
      <c r="BV370" s="3"/>
      <c r="BW370" s="2"/>
      <c r="BX370" s="2"/>
      <c r="BY370" s="2"/>
      <c r="BZ370" s="2"/>
      <c r="CA370" s="2"/>
      <c r="CB370" s="2"/>
      <c r="CC370" s="2"/>
      <c r="CD370" s="1"/>
      <c r="CE370" s="1"/>
      <c r="CF370" s="1"/>
      <c r="CG370" s="1"/>
      <c r="CH370" s="1"/>
      <c r="CI370" s="2"/>
      <c r="CJ370" s="2"/>
      <c r="CK370" s="2"/>
      <c r="CL370" s="2"/>
      <c r="CM370" s="2"/>
      <c r="CN370" s="2"/>
      <c r="CO370" s="2"/>
      <c r="CP370" s="2"/>
      <c r="CQ370" s="2"/>
      <c r="CR370" s="2"/>
      <c r="CS370" s="2"/>
      <c r="CT370" s="2"/>
      <c r="CU370" s="2"/>
      <c r="CV370" s="2"/>
      <c r="CW370" s="2"/>
      <c r="CX370" s="2"/>
      <c r="CY370" s="2"/>
      <c r="CZ370" s="2"/>
    </row>
    <row r="371" spans="44:104" ht="15" hidden="1" customHeight="1" x14ac:dyDescent="0.2">
      <c r="AR371" s="2"/>
      <c r="AS371" s="2"/>
      <c r="AT371" s="2"/>
      <c r="AU371" s="2"/>
      <c r="AV371" s="2"/>
      <c r="AW371" s="2"/>
      <c r="AX371" s="2"/>
      <c r="AY371" s="2"/>
      <c r="AZ371" s="2"/>
      <c r="BA371" s="2"/>
      <c r="BB371" s="2"/>
      <c r="BC371" s="2"/>
      <c r="BD371" s="2"/>
      <c r="BE371" s="2"/>
      <c r="BK371" s="2"/>
      <c r="BM371" s="2"/>
      <c r="BN371" s="2"/>
      <c r="BO371" s="2"/>
      <c r="BS371" s="11"/>
      <c r="BT371" s="2"/>
      <c r="BU371" s="3"/>
      <c r="BV371" s="3"/>
      <c r="BW371" s="2"/>
      <c r="BX371" s="2"/>
      <c r="BY371" s="2"/>
      <c r="BZ371" s="2"/>
      <c r="CA371" s="2"/>
      <c r="CB371" s="2"/>
      <c r="CC371" s="2"/>
      <c r="CD371" s="1"/>
      <c r="CE371" s="1"/>
      <c r="CF371" s="1"/>
      <c r="CG371" s="1"/>
      <c r="CH371" s="1"/>
      <c r="CI371" s="2"/>
      <c r="CJ371" s="2"/>
      <c r="CK371" s="2"/>
      <c r="CL371" s="2"/>
      <c r="CM371" s="2"/>
      <c r="CN371" s="2"/>
      <c r="CO371" s="2"/>
      <c r="CP371" s="2"/>
      <c r="CQ371" s="2"/>
      <c r="CR371" s="2"/>
      <c r="CS371" s="2"/>
      <c r="CT371" s="2"/>
      <c r="CU371" s="2"/>
      <c r="CV371" s="2"/>
      <c r="CW371" s="2"/>
      <c r="CX371" s="2"/>
      <c r="CY371" s="2"/>
      <c r="CZ371" s="2"/>
    </row>
    <row r="372" spans="44:104" ht="15" hidden="1" customHeight="1" x14ac:dyDescent="0.2">
      <c r="AR372" s="2"/>
      <c r="AS372" s="2"/>
      <c r="AT372" s="2"/>
      <c r="AU372" s="2"/>
      <c r="AV372" s="2"/>
      <c r="AW372" s="2"/>
      <c r="AX372" s="2"/>
      <c r="AY372" s="2"/>
      <c r="AZ372" s="2"/>
      <c r="BA372" s="2"/>
      <c r="BB372" s="2"/>
      <c r="BC372" s="2"/>
      <c r="BD372" s="2"/>
      <c r="BE372" s="2"/>
      <c r="BK372" s="2"/>
      <c r="BM372" s="2"/>
      <c r="BN372" s="2"/>
      <c r="BO372" s="2"/>
      <c r="BS372" s="11"/>
      <c r="BT372" s="2"/>
      <c r="BU372" s="3"/>
      <c r="BV372" s="3"/>
      <c r="BW372" s="2"/>
      <c r="BX372" s="2"/>
      <c r="BY372" s="2"/>
      <c r="BZ372" s="46"/>
      <c r="CA372" s="1"/>
      <c r="CB372" s="1"/>
      <c r="CC372" s="1"/>
      <c r="CD372" s="1"/>
      <c r="CE372" s="1"/>
      <c r="CF372" s="1"/>
      <c r="CG372" s="1"/>
      <c r="CH372" s="1"/>
      <c r="CI372" s="2"/>
      <c r="CJ372" s="2"/>
      <c r="CK372" s="2"/>
      <c r="CL372" s="2"/>
      <c r="CM372" s="2"/>
      <c r="CN372" s="2"/>
      <c r="CO372" s="2"/>
      <c r="CP372" s="2"/>
      <c r="CQ372" s="2"/>
      <c r="CR372" s="2"/>
      <c r="CS372" s="2"/>
      <c r="CT372" s="2"/>
      <c r="CU372" s="2"/>
      <c r="CV372" s="2"/>
      <c r="CW372" s="2"/>
      <c r="CX372" s="2"/>
      <c r="CY372" s="2"/>
      <c r="CZ372" s="2"/>
    </row>
    <row r="373" spans="44:104" ht="15" hidden="1" customHeight="1" x14ac:dyDescent="0.2">
      <c r="AR373" s="2"/>
      <c r="AS373" s="2"/>
      <c r="AT373" s="2"/>
      <c r="AU373" s="2"/>
      <c r="AV373" s="2"/>
      <c r="AW373" s="2"/>
      <c r="AX373" s="2"/>
      <c r="AY373" s="2"/>
      <c r="AZ373" s="2"/>
      <c r="BA373" s="2"/>
      <c r="BB373" s="2"/>
      <c r="BC373" s="2"/>
      <c r="BD373" s="2"/>
      <c r="BE373" s="2"/>
      <c r="BK373" s="2"/>
      <c r="BM373" s="2"/>
      <c r="BN373" s="2"/>
      <c r="BO373" s="2"/>
      <c r="BS373" s="11"/>
      <c r="BT373" s="2"/>
      <c r="BU373" s="3"/>
      <c r="BV373" s="3"/>
      <c r="BW373" s="2"/>
      <c r="BX373" s="2"/>
      <c r="BY373" s="2"/>
      <c r="BZ373" s="2"/>
      <c r="CA373" s="2"/>
      <c r="CB373" s="2"/>
      <c r="CC373" s="2"/>
      <c r="CD373" s="1"/>
      <c r="CE373" s="1"/>
      <c r="CF373" s="1"/>
      <c r="CG373" s="1"/>
      <c r="CH373" s="1"/>
      <c r="CI373" s="2"/>
      <c r="CJ373" s="2"/>
      <c r="CK373" s="2"/>
      <c r="CL373" s="2"/>
      <c r="CM373" s="2"/>
      <c r="CN373" s="2"/>
      <c r="CO373" s="2"/>
      <c r="CP373" s="2"/>
      <c r="CQ373" s="2"/>
      <c r="CR373" s="2"/>
      <c r="CS373" s="2"/>
      <c r="CT373" s="2"/>
      <c r="CU373" s="2"/>
      <c r="CV373" s="2"/>
      <c r="CW373" s="2"/>
      <c r="CX373" s="2"/>
      <c r="CY373" s="2"/>
      <c r="CZ373" s="2"/>
    </row>
    <row r="374" spans="44:104" ht="15" hidden="1" customHeight="1" x14ac:dyDescent="0.2">
      <c r="AR374" s="2"/>
      <c r="AS374" s="2"/>
      <c r="AT374" s="2"/>
      <c r="AU374" s="2"/>
      <c r="AV374" s="2"/>
      <c r="AW374" s="2"/>
      <c r="AX374" s="2"/>
      <c r="AY374" s="2"/>
      <c r="AZ374" s="2"/>
      <c r="BA374" s="2"/>
      <c r="BB374" s="2"/>
      <c r="BC374" s="2"/>
      <c r="BD374" s="2"/>
      <c r="BE374" s="2"/>
      <c r="BK374" s="2"/>
      <c r="BM374" s="2"/>
      <c r="BN374" s="2"/>
      <c r="BO374" s="2"/>
      <c r="BS374" s="11"/>
      <c r="BT374" s="2"/>
      <c r="BU374" s="3"/>
      <c r="BV374" s="3"/>
      <c r="BW374" s="2"/>
      <c r="BX374" s="2"/>
      <c r="BY374" s="2"/>
      <c r="BZ374" s="2"/>
      <c r="CA374" s="2"/>
      <c r="CB374" s="2"/>
      <c r="CC374" s="2"/>
      <c r="CD374" s="1"/>
      <c r="CE374" s="1"/>
      <c r="CF374" s="1"/>
      <c r="CG374" s="1"/>
      <c r="CH374" s="1"/>
      <c r="CI374" s="2"/>
      <c r="CJ374" s="2"/>
      <c r="CK374" s="2"/>
      <c r="CL374" s="2"/>
      <c r="CM374" s="2"/>
      <c r="CN374" s="2"/>
      <c r="CO374" s="2"/>
      <c r="CP374" s="2"/>
      <c r="CQ374" s="2"/>
      <c r="CR374" s="2"/>
      <c r="CS374" s="2"/>
      <c r="CT374" s="2"/>
      <c r="CU374" s="2"/>
      <c r="CV374" s="2"/>
      <c r="CW374" s="2"/>
      <c r="CX374" s="2"/>
      <c r="CY374" s="2"/>
      <c r="CZ374" s="2"/>
    </row>
    <row r="375" spans="44:104" ht="15" hidden="1" customHeight="1" x14ac:dyDescent="0.2">
      <c r="AR375" s="2"/>
      <c r="AS375" s="2"/>
      <c r="AT375" s="2"/>
      <c r="AU375" s="2"/>
      <c r="AV375" s="2"/>
      <c r="AW375" s="2"/>
      <c r="AX375" s="2"/>
      <c r="AY375" s="2"/>
      <c r="AZ375" s="2"/>
      <c r="BA375" s="2"/>
      <c r="BB375" s="2"/>
      <c r="BC375" s="2"/>
      <c r="BD375" s="2"/>
      <c r="BE375" s="2"/>
      <c r="BK375" s="2"/>
      <c r="BM375" s="2"/>
      <c r="BN375" s="2"/>
      <c r="BO375" s="2"/>
      <c r="BS375" s="11"/>
      <c r="BT375" s="2"/>
      <c r="BU375" s="3"/>
      <c r="BV375" s="3"/>
      <c r="BW375" s="2"/>
      <c r="BX375" s="2"/>
      <c r="BY375" s="2"/>
      <c r="BZ375" s="2"/>
      <c r="CA375" s="2"/>
      <c r="CB375" s="2"/>
      <c r="CC375" s="2"/>
      <c r="CD375" s="1"/>
      <c r="CE375" s="1"/>
      <c r="CF375" s="1"/>
      <c r="CG375" s="1"/>
      <c r="CH375" s="1"/>
      <c r="CI375" s="2"/>
      <c r="CJ375" s="2"/>
      <c r="CK375" s="2"/>
      <c r="CL375" s="2"/>
      <c r="CM375" s="2"/>
      <c r="CN375" s="2"/>
      <c r="CO375" s="2"/>
      <c r="CP375" s="2"/>
      <c r="CQ375" s="2"/>
      <c r="CR375" s="2"/>
      <c r="CS375" s="2"/>
      <c r="CT375" s="2"/>
      <c r="CU375" s="2"/>
      <c r="CV375" s="2"/>
      <c r="CW375" s="2"/>
      <c r="CX375" s="2"/>
      <c r="CY375" s="2"/>
      <c r="CZ375" s="2"/>
    </row>
    <row r="376" spans="44:104" ht="15" hidden="1" customHeight="1" x14ac:dyDescent="0.2">
      <c r="AR376" s="2"/>
      <c r="AS376" s="2"/>
      <c r="AT376" s="2"/>
      <c r="AU376" s="2"/>
      <c r="AV376" s="2"/>
      <c r="AW376" s="2"/>
      <c r="AX376" s="2"/>
      <c r="AY376" s="2"/>
      <c r="AZ376" s="2"/>
      <c r="BA376" s="2"/>
      <c r="BB376" s="2"/>
      <c r="BC376" s="2"/>
      <c r="BD376" s="2"/>
      <c r="BE376" s="2"/>
      <c r="BK376" s="2"/>
      <c r="BM376" s="2"/>
      <c r="BN376" s="2"/>
      <c r="BO376" s="2"/>
      <c r="BS376" s="11"/>
      <c r="BT376" s="2"/>
      <c r="BU376" s="3"/>
      <c r="BV376" s="3"/>
      <c r="BW376" s="2"/>
      <c r="BX376" s="2"/>
      <c r="BY376" s="2"/>
      <c r="BZ376" s="2"/>
      <c r="CA376" s="2"/>
      <c r="CB376" s="2"/>
      <c r="CC376" s="2"/>
      <c r="CD376" s="1"/>
      <c r="CE376" s="1"/>
      <c r="CF376" s="1"/>
      <c r="CG376" s="1"/>
      <c r="CH376" s="1"/>
      <c r="CI376" s="2"/>
      <c r="CJ376" s="2"/>
      <c r="CK376" s="2"/>
      <c r="CL376" s="2"/>
      <c r="CM376" s="2"/>
      <c r="CN376" s="2"/>
      <c r="CO376" s="2"/>
      <c r="CP376" s="2"/>
      <c r="CQ376" s="2"/>
      <c r="CR376" s="2"/>
      <c r="CS376" s="2"/>
      <c r="CT376" s="2"/>
      <c r="CU376" s="2"/>
      <c r="CV376" s="2"/>
      <c r="CW376" s="2"/>
      <c r="CX376" s="2"/>
      <c r="CY376" s="2"/>
      <c r="CZ376" s="2"/>
    </row>
    <row r="377" spans="44:104" ht="15" hidden="1" customHeight="1" x14ac:dyDescent="0.2">
      <c r="AR377" s="2"/>
      <c r="AS377" s="2"/>
      <c r="AT377" s="2"/>
      <c r="AU377" s="2"/>
      <c r="AV377" s="2"/>
      <c r="AW377" s="2"/>
      <c r="AX377" s="2"/>
      <c r="AY377" s="2"/>
      <c r="AZ377" s="2"/>
      <c r="BA377" s="2"/>
      <c r="BB377" s="2"/>
      <c r="BC377" s="2"/>
      <c r="BD377" s="2"/>
      <c r="BE377" s="2"/>
      <c r="BK377" s="2"/>
      <c r="BM377" s="2"/>
      <c r="BN377" s="2"/>
      <c r="BO377" s="2"/>
      <c r="BS377" s="11"/>
      <c r="BT377" s="2"/>
      <c r="BU377" s="3"/>
      <c r="BV377" s="3"/>
      <c r="BW377" s="2"/>
      <c r="BX377" s="2"/>
      <c r="BY377" s="2"/>
      <c r="BZ377" s="2"/>
      <c r="CA377" s="2"/>
      <c r="CB377" s="2"/>
      <c r="CC377" s="2"/>
      <c r="CD377" s="1"/>
      <c r="CE377" s="1"/>
      <c r="CF377" s="1"/>
      <c r="CG377" s="1"/>
      <c r="CH377" s="1"/>
      <c r="CI377" s="2"/>
      <c r="CJ377" s="2"/>
      <c r="CK377" s="2"/>
      <c r="CL377" s="2"/>
      <c r="CM377" s="2"/>
      <c r="CN377" s="2"/>
      <c r="CO377" s="2"/>
      <c r="CP377" s="2"/>
      <c r="CQ377" s="2"/>
      <c r="CR377" s="2"/>
      <c r="CS377" s="2"/>
      <c r="CT377" s="2"/>
      <c r="CU377" s="2"/>
      <c r="CV377" s="2"/>
      <c r="CW377" s="2"/>
      <c r="CX377" s="2"/>
      <c r="CY377" s="2"/>
      <c r="CZ377" s="2"/>
    </row>
    <row r="378" spans="44:104" ht="15" hidden="1" customHeight="1" x14ac:dyDescent="0.2">
      <c r="AR378" s="2"/>
      <c r="AS378" s="2"/>
      <c r="AT378" s="2"/>
      <c r="AU378" s="2"/>
      <c r="AV378" s="2"/>
      <c r="AW378" s="2"/>
      <c r="AX378" s="2"/>
      <c r="AY378" s="2"/>
      <c r="AZ378" s="2"/>
      <c r="BA378" s="2"/>
      <c r="BB378" s="2"/>
      <c r="BC378" s="2"/>
      <c r="BD378" s="2"/>
      <c r="BE378" s="2"/>
      <c r="BK378" s="2"/>
      <c r="BM378" s="2"/>
      <c r="BN378" s="2"/>
      <c r="BO378" s="2"/>
      <c r="BS378" s="11"/>
      <c r="BT378" s="2"/>
      <c r="BU378" s="3"/>
      <c r="BV378" s="3"/>
      <c r="BW378" s="2"/>
      <c r="BX378" s="2"/>
      <c r="BY378" s="2"/>
      <c r="BZ378" s="2"/>
      <c r="CA378" s="2"/>
      <c r="CB378" s="2"/>
      <c r="CC378" s="2"/>
      <c r="CD378" s="1"/>
      <c r="CE378" s="1"/>
      <c r="CF378" s="1"/>
      <c r="CG378" s="1"/>
      <c r="CH378" s="1"/>
      <c r="CI378" s="2"/>
      <c r="CJ378" s="2"/>
      <c r="CK378" s="2"/>
      <c r="CL378" s="2"/>
      <c r="CM378" s="2"/>
      <c r="CN378" s="2"/>
      <c r="CO378" s="2"/>
      <c r="CP378" s="2"/>
      <c r="CQ378" s="2"/>
      <c r="CR378" s="2"/>
      <c r="CS378" s="2"/>
      <c r="CT378" s="2"/>
      <c r="CU378" s="2"/>
      <c r="CV378" s="2"/>
      <c r="CW378" s="2"/>
      <c r="CX378" s="2"/>
      <c r="CY378" s="2"/>
      <c r="CZ378" s="2"/>
    </row>
    <row r="379" spans="44:104" ht="15" hidden="1" customHeight="1" x14ac:dyDescent="0.2">
      <c r="AR379" s="2"/>
      <c r="AS379" s="2"/>
      <c r="AT379" s="2"/>
      <c r="AU379" s="2"/>
      <c r="AV379" s="2"/>
      <c r="AW379" s="2"/>
      <c r="AX379" s="2"/>
      <c r="AY379" s="2"/>
      <c r="AZ379" s="2"/>
      <c r="BA379" s="2"/>
      <c r="BB379" s="2"/>
      <c r="BC379" s="2"/>
      <c r="BD379" s="2"/>
      <c r="BE379" s="2"/>
      <c r="BK379" s="2"/>
      <c r="BM379" s="2"/>
      <c r="BN379" s="2"/>
      <c r="BO379" s="2"/>
      <c r="BS379" s="11"/>
      <c r="BT379" s="2"/>
      <c r="BU379" s="3"/>
      <c r="BV379" s="3"/>
      <c r="BW379" s="2"/>
      <c r="BX379" s="2"/>
      <c r="BY379" s="2"/>
      <c r="BZ379" s="2"/>
      <c r="CA379" s="2"/>
      <c r="CB379" s="2"/>
      <c r="CC379" s="2"/>
      <c r="CD379" s="1"/>
      <c r="CE379" s="1"/>
      <c r="CF379" s="1"/>
      <c r="CG379" s="1"/>
      <c r="CH379" s="1"/>
      <c r="CI379" s="2"/>
      <c r="CJ379" s="2"/>
      <c r="CK379" s="2"/>
      <c r="CL379" s="2"/>
      <c r="CM379" s="2"/>
      <c r="CN379" s="2"/>
      <c r="CO379" s="2"/>
      <c r="CP379" s="2"/>
      <c r="CQ379" s="2"/>
      <c r="CR379" s="2"/>
      <c r="CS379" s="2"/>
      <c r="CT379" s="2"/>
      <c r="CU379" s="2"/>
      <c r="CV379" s="2"/>
      <c r="CW379" s="2"/>
      <c r="CX379" s="2"/>
      <c r="CY379" s="2"/>
      <c r="CZ379" s="2"/>
    </row>
    <row r="380" spans="44:104" ht="15" hidden="1" customHeight="1" x14ac:dyDescent="0.2">
      <c r="AR380" s="2"/>
      <c r="AS380" s="2"/>
      <c r="AT380" s="2"/>
      <c r="AU380" s="2"/>
      <c r="AV380" s="2"/>
      <c r="AW380" s="2"/>
      <c r="AX380" s="2"/>
      <c r="AY380" s="2"/>
      <c r="AZ380" s="2"/>
      <c r="BA380" s="2"/>
      <c r="BB380" s="2"/>
      <c r="BC380" s="2"/>
      <c r="BD380" s="2"/>
      <c r="BE380" s="2"/>
      <c r="BK380" s="2"/>
      <c r="BM380" s="2"/>
      <c r="BN380" s="2"/>
      <c r="BO380" s="2"/>
      <c r="BS380" s="11"/>
      <c r="BT380" s="2"/>
      <c r="BU380" s="3"/>
      <c r="BV380" s="3"/>
      <c r="BW380" s="2"/>
      <c r="BX380" s="2"/>
      <c r="BY380" s="2"/>
      <c r="BZ380" s="2"/>
      <c r="CA380" s="2"/>
      <c r="CB380" s="2"/>
      <c r="CC380" s="2"/>
      <c r="CD380" s="1"/>
      <c r="CE380" s="1"/>
      <c r="CF380" s="1"/>
      <c r="CG380" s="1"/>
      <c r="CH380" s="1"/>
      <c r="CI380" s="2"/>
      <c r="CJ380" s="2"/>
      <c r="CK380" s="2"/>
      <c r="CL380" s="2"/>
      <c r="CM380" s="2"/>
      <c r="CN380" s="2"/>
      <c r="CO380" s="2"/>
      <c r="CP380" s="2"/>
      <c r="CQ380" s="2"/>
      <c r="CR380" s="2"/>
      <c r="CS380" s="2"/>
      <c r="CT380" s="2"/>
      <c r="CU380" s="2"/>
      <c r="CV380" s="2"/>
      <c r="CW380" s="2"/>
      <c r="CX380" s="2"/>
      <c r="CY380" s="2"/>
      <c r="CZ380" s="2"/>
    </row>
    <row r="381" spans="44:104" ht="15" hidden="1" customHeight="1" x14ac:dyDescent="0.2">
      <c r="AR381" s="2"/>
      <c r="AS381" s="2"/>
      <c r="AT381" s="2"/>
      <c r="AU381" s="2"/>
      <c r="AV381" s="2"/>
      <c r="AW381" s="2"/>
      <c r="AX381" s="2"/>
      <c r="AY381" s="2"/>
      <c r="AZ381" s="2"/>
      <c r="BA381" s="2"/>
      <c r="BB381" s="2"/>
      <c r="BC381" s="2"/>
      <c r="BD381" s="2"/>
      <c r="BE381" s="2"/>
      <c r="BK381" s="2"/>
      <c r="BM381" s="2"/>
      <c r="BN381" s="2"/>
      <c r="BO381" s="2"/>
      <c r="BS381" s="11"/>
      <c r="BT381" s="2"/>
      <c r="BU381" s="3"/>
      <c r="BV381" s="3"/>
      <c r="BW381" s="2"/>
      <c r="BX381" s="2"/>
      <c r="BY381" s="2"/>
      <c r="BZ381" s="2"/>
      <c r="CA381" s="2"/>
      <c r="CB381" s="2"/>
      <c r="CC381" s="2"/>
      <c r="CD381" s="1"/>
      <c r="CE381" s="1"/>
      <c r="CF381" s="1"/>
      <c r="CG381" s="1"/>
      <c r="CH381" s="1"/>
      <c r="CI381" s="2"/>
      <c r="CJ381" s="2"/>
      <c r="CK381" s="2"/>
      <c r="CL381" s="2"/>
      <c r="CM381" s="2"/>
      <c r="CN381" s="2"/>
      <c r="CO381" s="2"/>
      <c r="CP381" s="2"/>
      <c r="CQ381" s="2"/>
      <c r="CR381" s="2"/>
      <c r="CS381" s="2"/>
      <c r="CT381" s="2"/>
      <c r="CU381" s="2"/>
      <c r="CV381" s="2"/>
      <c r="CW381" s="2"/>
      <c r="CX381" s="2"/>
      <c r="CY381" s="2"/>
      <c r="CZ381" s="2"/>
    </row>
    <row r="382" spans="44:104" ht="15" hidden="1" customHeight="1" x14ac:dyDescent="0.2">
      <c r="AR382" s="2"/>
      <c r="AS382" s="2"/>
      <c r="AT382" s="2"/>
      <c r="AU382" s="2"/>
      <c r="AV382" s="2"/>
      <c r="AW382" s="2"/>
      <c r="AX382" s="2"/>
      <c r="AY382" s="2"/>
      <c r="AZ382" s="2"/>
      <c r="BA382" s="2"/>
      <c r="BB382" s="2"/>
      <c r="BC382" s="2"/>
      <c r="BD382" s="2"/>
      <c r="BE382" s="2"/>
      <c r="BK382" s="2"/>
      <c r="BM382" s="2"/>
      <c r="BN382" s="2"/>
      <c r="BO382" s="2"/>
      <c r="BS382" s="11"/>
      <c r="BT382" s="2"/>
      <c r="BU382" s="3"/>
      <c r="BV382" s="3"/>
      <c r="BW382" s="2"/>
      <c r="BX382" s="2"/>
      <c r="BY382" s="2"/>
      <c r="BZ382" s="2"/>
      <c r="CA382" s="2"/>
      <c r="CB382" s="2"/>
      <c r="CC382" s="2"/>
      <c r="CD382" s="1"/>
      <c r="CE382" s="1"/>
      <c r="CF382" s="1"/>
      <c r="CG382" s="1"/>
      <c r="CH382" s="1"/>
      <c r="CI382" s="2"/>
      <c r="CJ382" s="2"/>
      <c r="CK382" s="2"/>
      <c r="CL382" s="2"/>
      <c r="CM382" s="2"/>
      <c r="CN382" s="2"/>
      <c r="CO382" s="2"/>
      <c r="CP382" s="2"/>
      <c r="CQ382" s="2"/>
      <c r="CR382" s="2"/>
      <c r="CS382" s="2"/>
      <c r="CT382" s="2"/>
      <c r="CU382" s="2"/>
      <c r="CV382" s="2"/>
      <c r="CW382" s="2"/>
      <c r="CX382" s="2"/>
      <c r="CY382" s="2"/>
      <c r="CZ382" s="2"/>
    </row>
    <row r="383" spans="44:104" ht="15" hidden="1" customHeight="1" x14ac:dyDescent="0.2">
      <c r="AR383" s="2"/>
      <c r="AS383" s="2"/>
      <c r="AT383" s="2"/>
      <c r="AU383" s="2"/>
      <c r="AV383" s="2"/>
      <c r="AW383" s="2"/>
      <c r="AX383" s="2"/>
      <c r="AY383" s="2"/>
      <c r="AZ383" s="2"/>
      <c r="BA383" s="2"/>
      <c r="BB383" s="2"/>
      <c r="BC383" s="2"/>
      <c r="BD383" s="2"/>
      <c r="BE383" s="2"/>
      <c r="BK383" s="2"/>
      <c r="BM383" s="2"/>
      <c r="BN383" s="2"/>
      <c r="BO383" s="2"/>
      <c r="BS383" s="11"/>
      <c r="BT383" s="2"/>
      <c r="BU383" s="3"/>
      <c r="BV383" s="3"/>
      <c r="BW383" s="2"/>
      <c r="BX383" s="2"/>
      <c r="BY383" s="2"/>
      <c r="BZ383" s="2"/>
      <c r="CA383" s="2"/>
      <c r="CB383" s="2"/>
      <c r="CC383" s="2"/>
      <c r="CD383" s="1"/>
      <c r="CE383" s="1"/>
      <c r="CF383" s="1"/>
      <c r="CG383" s="1"/>
      <c r="CH383" s="1"/>
      <c r="CI383" s="2"/>
      <c r="CJ383" s="2"/>
      <c r="CK383" s="2"/>
      <c r="CL383" s="2"/>
      <c r="CM383" s="2"/>
      <c r="CN383" s="2"/>
      <c r="CO383" s="2"/>
      <c r="CP383" s="2"/>
      <c r="CQ383" s="2"/>
      <c r="CR383" s="2"/>
      <c r="CS383" s="2"/>
      <c r="CT383" s="2"/>
      <c r="CU383" s="2"/>
      <c r="CV383" s="2"/>
      <c r="CW383" s="2"/>
      <c r="CX383" s="2"/>
      <c r="CY383" s="2"/>
      <c r="CZ383" s="2"/>
    </row>
    <row r="384" spans="44:104" ht="15" hidden="1" customHeight="1" x14ac:dyDescent="0.2">
      <c r="AR384" s="2"/>
      <c r="AS384" s="2"/>
      <c r="AT384" s="2"/>
      <c r="AU384" s="2"/>
      <c r="AV384" s="2"/>
      <c r="AW384" s="2"/>
      <c r="AX384" s="2"/>
      <c r="AY384" s="2"/>
      <c r="AZ384" s="2"/>
      <c r="BA384" s="2"/>
      <c r="BB384" s="2"/>
      <c r="BC384" s="2"/>
      <c r="BD384" s="2"/>
      <c r="BE384" s="2"/>
      <c r="BK384" s="2"/>
      <c r="BM384" s="2"/>
      <c r="BN384" s="2"/>
      <c r="BO384" s="2"/>
      <c r="BS384" s="11"/>
      <c r="BT384" s="2"/>
      <c r="BU384" s="3"/>
      <c r="BV384" s="3"/>
      <c r="BW384" s="2"/>
      <c r="BX384" s="2"/>
      <c r="BY384" s="2"/>
      <c r="BZ384" s="2"/>
      <c r="CA384" s="2"/>
      <c r="CB384" s="2"/>
      <c r="CC384" s="2"/>
      <c r="CD384" s="1"/>
      <c r="CE384" s="1"/>
      <c r="CF384" s="1"/>
      <c r="CG384" s="1"/>
      <c r="CH384" s="1"/>
      <c r="CI384" s="2"/>
      <c r="CJ384" s="2"/>
      <c r="CK384" s="2"/>
      <c r="CL384" s="2"/>
      <c r="CM384" s="2"/>
      <c r="CN384" s="2"/>
      <c r="CO384" s="2"/>
      <c r="CP384" s="2"/>
      <c r="CQ384" s="2"/>
      <c r="CR384" s="2"/>
      <c r="CS384" s="2"/>
      <c r="CT384" s="2"/>
      <c r="CU384" s="2"/>
      <c r="CV384" s="2"/>
      <c r="CW384" s="2"/>
      <c r="CX384" s="2"/>
      <c r="CY384" s="2"/>
      <c r="CZ384" s="2"/>
    </row>
    <row r="385" spans="44:104" ht="15" hidden="1" customHeight="1" x14ac:dyDescent="0.2">
      <c r="AR385" s="2"/>
      <c r="AS385" s="2"/>
      <c r="AT385" s="2"/>
      <c r="AU385" s="2"/>
      <c r="AV385" s="2"/>
      <c r="AW385" s="2"/>
      <c r="AX385" s="2"/>
      <c r="AY385" s="2"/>
      <c r="AZ385" s="2"/>
      <c r="BA385" s="2"/>
      <c r="BB385" s="2"/>
      <c r="BC385" s="2"/>
      <c r="BD385" s="2"/>
      <c r="BE385" s="2"/>
      <c r="BK385" s="2"/>
      <c r="BM385" s="2"/>
      <c r="BN385" s="2"/>
      <c r="BO385" s="2"/>
      <c r="BS385" s="11"/>
      <c r="BT385" s="2"/>
      <c r="BU385" s="3"/>
      <c r="BV385" s="3"/>
      <c r="BW385" s="2"/>
      <c r="BX385" s="2"/>
      <c r="BY385" s="2"/>
      <c r="BZ385" s="2"/>
      <c r="CA385" s="2"/>
      <c r="CB385" s="2"/>
      <c r="CC385" s="2"/>
      <c r="CD385" s="1"/>
      <c r="CE385" s="1"/>
      <c r="CF385" s="1"/>
      <c r="CG385" s="1"/>
      <c r="CH385" s="1"/>
      <c r="CI385" s="2"/>
      <c r="CJ385" s="2"/>
      <c r="CK385" s="2"/>
      <c r="CL385" s="2"/>
      <c r="CM385" s="2"/>
      <c r="CN385" s="2"/>
      <c r="CO385" s="2"/>
      <c r="CP385" s="2"/>
      <c r="CQ385" s="2"/>
      <c r="CR385" s="2"/>
      <c r="CS385" s="2"/>
      <c r="CT385" s="2"/>
      <c r="CU385" s="2"/>
      <c r="CV385" s="2"/>
      <c r="CW385" s="2"/>
      <c r="CX385" s="2"/>
      <c r="CY385" s="2"/>
      <c r="CZ385" s="2"/>
    </row>
    <row r="386" spans="44:104" ht="15" hidden="1" customHeight="1" x14ac:dyDescent="0.2">
      <c r="AR386" s="2"/>
      <c r="AS386" s="2"/>
      <c r="AT386" s="2"/>
      <c r="AU386" s="2"/>
      <c r="AV386" s="2"/>
      <c r="AW386" s="2"/>
      <c r="AX386" s="2"/>
      <c r="AY386" s="2"/>
      <c r="AZ386" s="2"/>
      <c r="BA386" s="2"/>
      <c r="BB386" s="2"/>
      <c r="BC386" s="2"/>
      <c r="BD386" s="2"/>
      <c r="BE386" s="2"/>
      <c r="BK386" s="2"/>
      <c r="BM386" s="2"/>
      <c r="BN386" s="2"/>
      <c r="BO386" s="2"/>
      <c r="BS386" s="11"/>
      <c r="BT386" s="2"/>
      <c r="BU386" s="3"/>
      <c r="BV386" s="3"/>
      <c r="BW386" s="2"/>
      <c r="BX386" s="2"/>
      <c r="BY386" s="2"/>
      <c r="BZ386" s="2"/>
      <c r="CA386" s="2"/>
      <c r="CB386" s="2"/>
      <c r="CC386" s="2"/>
      <c r="CD386" s="1"/>
      <c r="CE386" s="1"/>
      <c r="CF386" s="1"/>
      <c r="CG386" s="1"/>
      <c r="CH386" s="1"/>
      <c r="CI386" s="2"/>
      <c r="CJ386" s="2"/>
      <c r="CK386" s="2"/>
      <c r="CL386" s="2"/>
      <c r="CM386" s="2"/>
      <c r="CN386" s="2"/>
      <c r="CO386" s="2"/>
      <c r="CP386" s="2"/>
      <c r="CQ386" s="2"/>
      <c r="CR386" s="2"/>
      <c r="CS386" s="2"/>
      <c r="CT386" s="2"/>
      <c r="CU386" s="2"/>
      <c r="CV386" s="2"/>
      <c r="CW386" s="2"/>
      <c r="CX386" s="2"/>
      <c r="CY386" s="2"/>
      <c r="CZ386" s="2"/>
    </row>
    <row r="387" spans="44:104" ht="15" hidden="1" customHeight="1" x14ac:dyDescent="0.2">
      <c r="AR387" s="2"/>
      <c r="AS387" s="2"/>
      <c r="AT387" s="2"/>
      <c r="AU387" s="2"/>
      <c r="AV387" s="2"/>
      <c r="AW387" s="2"/>
      <c r="AX387" s="2"/>
      <c r="AY387" s="2"/>
      <c r="AZ387" s="2"/>
      <c r="BA387" s="2"/>
      <c r="BB387" s="2"/>
      <c r="BC387" s="2"/>
      <c r="BD387" s="2"/>
      <c r="BE387" s="2"/>
      <c r="BK387" s="2"/>
      <c r="BM387" s="2"/>
      <c r="BN387" s="2"/>
      <c r="BO387" s="2"/>
      <c r="BS387" s="11"/>
      <c r="BT387" s="2"/>
      <c r="BU387" s="3"/>
      <c r="BV387" s="3"/>
      <c r="BW387" s="2"/>
      <c r="BX387" s="2"/>
      <c r="BY387" s="2"/>
      <c r="BZ387" s="46"/>
      <c r="CA387" s="1"/>
      <c r="CB387" s="1"/>
      <c r="CC387" s="1"/>
      <c r="CD387" s="1"/>
      <c r="CE387" s="1"/>
      <c r="CF387" s="1"/>
      <c r="CG387" s="1"/>
      <c r="CH387" s="1"/>
      <c r="CI387" s="2"/>
      <c r="CJ387" s="2"/>
      <c r="CK387" s="2"/>
      <c r="CL387" s="2"/>
      <c r="CM387" s="2"/>
      <c r="CN387" s="2"/>
      <c r="CO387" s="2"/>
      <c r="CP387" s="2"/>
      <c r="CQ387" s="2"/>
      <c r="CR387" s="2"/>
      <c r="CS387" s="2"/>
      <c r="CT387" s="2"/>
      <c r="CU387" s="2"/>
      <c r="CV387" s="2"/>
      <c r="CW387" s="2"/>
      <c r="CX387" s="2"/>
      <c r="CY387" s="2"/>
      <c r="CZ387" s="2"/>
    </row>
    <row r="388" spans="44:104" ht="15" hidden="1" customHeight="1" x14ac:dyDescent="0.2">
      <c r="AR388" s="2"/>
      <c r="AS388" s="2"/>
      <c r="AT388" s="2"/>
      <c r="AU388" s="2"/>
      <c r="AV388" s="2"/>
      <c r="AW388" s="2"/>
      <c r="AX388" s="2"/>
      <c r="AY388" s="2"/>
      <c r="AZ388" s="2"/>
      <c r="BA388" s="2"/>
      <c r="BB388" s="2"/>
      <c r="BC388" s="2"/>
      <c r="BD388" s="2"/>
      <c r="BE388" s="2"/>
      <c r="BK388" s="2"/>
      <c r="BM388" s="2"/>
      <c r="BN388" s="2"/>
      <c r="BO388" s="2"/>
      <c r="BS388" s="11"/>
      <c r="BT388" s="2"/>
      <c r="BU388" s="3"/>
      <c r="BV388" s="3"/>
      <c r="BW388" s="2"/>
      <c r="BX388" s="2"/>
      <c r="BY388" s="2"/>
      <c r="BZ388" s="2"/>
      <c r="CA388" s="2"/>
      <c r="CB388" s="2"/>
      <c r="CC388" s="2"/>
      <c r="CD388" s="1"/>
      <c r="CE388" s="1"/>
      <c r="CF388" s="1"/>
      <c r="CG388" s="1"/>
      <c r="CH388" s="1"/>
      <c r="CI388" s="2"/>
      <c r="CJ388" s="2"/>
      <c r="CK388" s="2"/>
      <c r="CL388" s="2"/>
      <c r="CM388" s="2"/>
      <c r="CN388" s="2"/>
      <c r="CO388" s="2"/>
      <c r="CP388" s="2"/>
      <c r="CQ388" s="2"/>
      <c r="CR388" s="2"/>
      <c r="CS388" s="2"/>
      <c r="CT388" s="2"/>
      <c r="CU388" s="2"/>
      <c r="CV388" s="2"/>
      <c r="CW388" s="2"/>
      <c r="CX388" s="2"/>
      <c r="CY388" s="2"/>
      <c r="CZ388" s="2"/>
    </row>
    <row r="389" spans="44:104" ht="15" hidden="1" customHeight="1" x14ac:dyDescent="0.2">
      <c r="AR389" s="2"/>
      <c r="AS389" s="2"/>
      <c r="AT389" s="2"/>
      <c r="AU389" s="2"/>
      <c r="AV389" s="2"/>
      <c r="AW389" s="2"/>
      <c r="AX389" s="2"/>
      <c r="AY389" s="2"/>
      <c r="AZ389" s="2"/>
      <c r="BA389" s="2"/>
      <c r="BB389" s="2"/>
      <c r="BC389" s="2"/>
      <c r="BD389" s="2"/>
      <c r="BE389" s="2"/>
      <c r="BK389" s="2"/>
      <c r="BM389" s="2"/>
      <c r="BN389" s="2"/>
      <c r="BO389" s="2"/>
      <c r="BS389" s="11"/>
      <c r="BT389" s="2"/>
      <c r="BU389" s="3"/>
      <c r="BV389" s="3"/>
      <c r="BW389" s="2"/>
      <c r="BX389" s="2"/>
      <c r="BY389" s="2"/>
      <c r="BZ389" s="2"/>
      <c r="CA389" s="2"/>
      <c r="CB389" s="2"/>
      <c r="CC389" s="2"/>
      <c r="CD389" s="1"/>
      <c r="CE389" s="1"/>
      <c r="CF389" s="1"/>
      <c r="CG389" s="1"/>
      <c r="CH389" s="1"/>
      <c r="CI389" s="2"/>
      <c r="CJ389" s="2"/>
      <c r="CK389" s="2"/>
      <c r="CL389" s="2"/>
      <c r="CM389" s="2"/>
      <c r="CN389" s="2"/>
      <c r="CO389" s="2"/>
      <c r="CP389" s="2"/>
      <c r="CQ389" s="2"/>
      <c r="CR389" s="2"/>
      <c r="CS389" s="2"/>
      <c r="CT389" s="2"/>
      <c r="CU389" s="2"/>
      <c r="CV389" s="2"/>
      <c r="CW389" s="2"/>
      <c r="CX389" s="2"/>
      <c r="CY389" s="2"/>
      <c r="CZ389" s="2"/>
    </row>
    <row r="390" spans="44:104" ht="15" hidden="1" customHeight="1" x14ac:dyDescent="0.2">
      <c r="AR390" s="2"/>
      <c r="AS390" s="2"/>
      <c r="AT390" s="2"/>
      <c r="AU390" s="2"/>
      <c r="AV390" s="2"/>
      <c r="AW390" s="2"/>
      <c r="AX390" s="2"/>
      <c r="AY390" s="2"/>
      <c r="AZ390" s="2"/>
      <c r="BA390" s="2"/>
      <c r="BB390" s="2"/>
      <c r="BC390" s="2"/>
      <c r="BD390" s="2"/>
      <c r="BE390" s="2"/>
      <c r="BK390" s="2"/>
      <c r="BM390" s="2"/>
      <c r="BN390" s="2"/>
      <c r="BO390" s="2"/>
      <c r="BS390" s="11"/>
      <c r="BT390" s="2"/>
      <c r="BU390" s="3"/>
      <c r="BV390" s="3"/>
      <c r="BW390" s="2"/>
      <c r="BX390" s="2"/>
      <c r="BY390" s="2"/>
      <c r="BZ390" s="2"/>
      <c r="CA390" s="2"/>
      <c r="CB390" s="2"/>
      <c r="CC390" s="2"/>
      <c r="CD390" s="1"/>
      <c r="CE390" s="1"/>
      <c r="CF390" s="1"/>
      <c r="CG390" s="1"/>
      <c r="CH390" s="1"/>
      <c r="CI390" s="2"/>
      <c r="CJ390" s="2"/>
      <c r="CK390" s="2"/>
      <c r="CL390" s="2"/>
      <c r="CM390" s="2"/>
      <c r="CN390" s="2"/>
      <c r="CO390" s="2"/>
      <c r="CP390" s="2"/>
      <c r="CQ390" s="2"/>
      <c r="CR390" s="2"/>
      <c r="CS390" s="2"/>
      <c r="CT390" s="2"/>
      <c r="CU390" s="2"/>
      <c r="CV390" s="2"/>
      <c r="CW390" s="2"/>
      <c r="CX390" s="2"/>
      <c r="CY390" s="2"/>
      <c r="CZ390" s="2"/>
    </row>
    <row r="391" spans="44:104" ht="15" hidden="1" customHeight="1" x14ac:dyDescent="0.2">
      <c r="AR391" s="2"/>
      <c r="AS391" s="2"/>
      <c r="AT391" s="2"/>
      <c r="AU391" s="2"/>
      <c r="AV391" s="2"/>
      <c r="AW391" s="2"/>
      <c r="AX391" s="2"/>
      <c r="AY391" s="2"/>
      <c r="AZ391" s="2"/>
      <c r="BA391" s="2"/>
      <c r="BB391" s="2"/>
      <c r="BC391" s="2"/>
      <c r="BD391" s="2"/>
      <c r="BE391" s="2"/>
      <c r="BK391" s="2"/>
      <c r="BM391" s="2"/>
      <c r="BN391" s="2"/>
      <c r="BO391" s="2"/>
      <c r="BS391" s="11"/>
      <c r="BT391" s="2"/>
      <c r="BU391" s="3"/>
      <c r="BV391" s="3"/>
      <c r="BW391" s="2"/>
      <c r="BX391" s="2"/>
      <c r="BY391" s="2"/>
      <c r="BZ391" s="2"/>
      <c r="CA391" s="2"/>
      <c r="CB391" s="2"/>
      <c r="CC391" s="2"/>
      <c r="CD391" s="1"/>
      <c r="CE391" s="1"/>
      <c r="CF391" s="1"/>
      <c r="CG391" s="1"/>
      <c r="CH391" s="1"/>
      <c r="CI391" s="2"/>
      <c r="CJ391" s="2"/>
      <c r="CK391" s="2"/>
      <c r="CL391" s="2"/>
      <c r="CM391" s="2"/>
      <c r="CN391" s="2"/>
      <c r="CO391" s="2"/>
      <c r="CP391" s="2"/>
      <c r="CQ391" s="2"/>
      <c r="CR391" s="2"/>
      <c r="CS391" s="2"/>
      <c r="CT391" s="2"/>
      <c r="CU391" s="2"/>
      <c r="CV391" s="2"/>
      <c r="CW391" s="2"/>
      <c r="CX391" s="2"/>
      <c r="CY391" s="2"/>
      <c r="CZ391" s="2"/>
    </row>
    <row r="392" spans="44:104" ht="15" hidden="1" customHeight="1" x14ac:dyDescent="0.2">
      <c r="AR392" s="2"/>
      <c r="AS392" s="2"/>
      <c r="AT392" s="2"/>
      <c r="AU392" s="2"/>
      <c r="AV392" s="2"/>
      <c r="AW392" s="2"/>
      <c r="AX392" s="2"/>
      <c r="AY392" s="2"/>
      <c r="AZ392" s="2"/>
      <c r="BA392" s="2"/>
      <c r="BB392" s="2"/>
      <c r="BC392" s="2"/>
      <c r="BD392" s="2"/>
      <c r="BE392" s="2"/>
      <c r="BK392" s="2"/>
      <c r="BM392" s="2"/>
      <c r="BN392" s="2"/>
      <c r="BO392" s="2"/>
      <c r="BS392" s="11"/>
      <c r="BT392" s="2"/>
      <c r="BU392" s="3"/>
      <c r="BV392" s="3"/>
      <c r="BW392" s="2"/>
      <c r="BX392" s="2"/>
      <c r="BY392" s="2"/>
      <c r="BZ392" s="2"/>
      <c r="CA392" s="2"/>
      <c r="CB392" s="2"/>
      <c r="CC392" s="2"/>
      <c r="CD392" s="1"/>
      <c r="CE392" s="1"/>
      <c r="CF392" s="1"/>
      <c r="CG392" s="1"/>
      <c r="CH392" s="1"/>
      <c r="CI392" s="2"/>
      <c r="CJ392" s="2"/>
      <c r="CK392" s="2"/>
      <c r="CL392" s="2"/>
      <c r="CM392" s="2"/>
      <c r="CN392" s="2"/>
      <c r="CO392" s="2"/>
      <c r="CP392" s="2"/>
      <c r="CQ392" s="2"/>
      <c r="CR392" s="2"/>
      <c r="CS392" s="2"/>
      <c r="CT392" s="2"/>
      <c r="CU392" s="2"/>
      <c r="CV392" s="2"/>
      <c r="CW392" s="2"/>
      <c r="CX392" s="2"/>
      <c r="CY392" s="2"/>
      <c r="CZ392" s="2"/>
    </row>
    <row r="393" spans="44:104" ht="15" hidden="1" customHeight="1" x14ac:dyDescent="0.2">
      <c r="AR393" s="2"/>
      <c r="AS393" s="2"/>
      <c r="AT393" s="2"/>
      <c r="AU393" s="2"/>
      <c r="AV393" s="2"/>
      <c r="AW393" s="2"/>
      <c r="AX393" s="2"/>
      <c r="AY393" s="2"/>
      <c r="AZ393" s="2"/>
      <c r="BA393" s="2"/>
      <c r="BB393" s="2"/>
      <c r="BC393" s="2"/>
      <c r="BD393" s="2"/>
      <c r="BE393" s="2"/>
      <c r="BK393" s="2"/>
      <c r="BM393" s="2"/>
      <c r="BN393" s="2"/>
      <c r="BO393" s="2"/>
      <c r="BS393" s="11"/>
      <c r="BT393" s="2"/>
      <c r="BU393" s="3"/>
      <c r="BV393" s="3"/>
      <c r="BW393" s="2"/>
      <c r="BX393" s="2"/>
      <c r="BY393" s="2"/>
      <c r="BZ393" s="2"/>
      <c r="CA393" s="2"/>
      <c r="CB393" s="2"/>
      <c r="CC393" s="2"/>
      <c r="CD393" s="1"/>
      <c r="CE393" s="1"/>
      <c r="CF393" s="1"/>
      <c r="CG393" s="1"/>
      <c r="CH393" s="1"/>
      <c r="CI393" s="2"/>
      <c r="CJ393" s="2"/>
      <c r="CK393" s="2"/>
      <c r="CL393" s="2"/>
      <c r="CM393" s="2"/>
      <c r="CN393" s="2"/>
      <c r="CO393" s="2"/>
      <c r="CP393" s="2"/>
      <c r="CQ393" s="2"/>
      <c r="CR393" s="2"/>
      <c r="CS393" s="2"/>
      <c r="CT393" s="2"/>
      <c r="CU393" s="2"/>
      <c r="CV393" s="2"/>
      <c r="CW393" s="2"/>
      <c r="CX393" s="2"/>
      <c r="CY393" s="2"/>
      <c r="CZ393" s="2"/>
    </row>
    <row r="394" spans="44:104" ht="15" hidden="1" customHeight="1" x14ac:dyDescent="0.2">
      <c r="AR394" s="2"/>
      <c r="AS394" s="2"/>
      <c r="AT394" s="2"/>
      <c r="AU394" s="2"/>
      <c r="AV394" s="2"/>
      <c r="AW394" s="2"/>
      <c r="AX394" s="2"/>
      <c r="AY394" s="2"/>
      <c r="AZ394" s="2"/>
      <c r="BA394" s="2"/>
      <c r="BB394" s="2"/>
      <c r="BC394" s="2"/>
      <c r="BD394" s="2"/>
      <c r="BE394" s="2"/>
      <c r="BK394" s="2"/>
      <c r="BM394" s="2"/>
      <c r="BN394" s="2"/>
      <c r="BO394" s="2"/>
      <c r="BS394" s="11"/>
      <c r="BT394" s="2"/>
      <c r="BU394" s="3"/>
      <c r="BV394" s="3"/>
      <c r="BW394" s="2"/>
      <c r="BX394" s="2"/>
      <c r="BY394" s="2"/>
      <c r="BZ394" s="2"/>
      <c r="CA394" s="2"/>
      <c r="CB394" s="2"/>
      <c r="CC394" s="2"/>
      <c r="CD394" s="1"/>
      <c r="CE394" s="1"/>
      <c r="CF394" s="1"/>
      <c r="CG394" s="1"/>
      <c r="CH394" s="1"/>
      <c r="CI394" s="2"/>
      <c r="CJ394" s="2"/>
      <c r="CK394" s="2"/>
      <c r="CL394" s="2"/>
      <c r="CM394" s="2"/>
      <c r="CN394" s="2"/>
      <c r="CO394" s="2"/>
      <c r="CP394" s="2"/>
      <c r="CQ394" s="2"/>
      <c r="CR394" s="2"/>
      <c r="CS394" s="2"/>
      <c r="CT394" s="2"/>
      <c r="CU394" s="2"/>
      <c r="CV394" s="2"/>
      <c r="CW394" s="2"/>
      <c r="CX394" s="2"/>
      <c r="CY394" s="2"/>
      <c r="CZ394" s="2"/>
    </row>
    <row r="395" spans="44:104" ht="15" hidden="1" customHeight="1" x14ac:dyDescent="0.2">
      <c r="AR395" s="2"/>
      <c r="AS395" s="2"/>
      <c r="AT395" s="2"/>
      <c r="AU395" s="2"/>
      <c r="AV395" s="2"/>
      <c r="AW395" s="2"/>
      <c r="AX395" s="2"/>
      <c r="AY395" s="2"/>
      <c r="AZ395" s="2"/>
      <c r="BA395" s="2"/>
      <c r="BB395" s="2"/>
      <c r="BC395" s="2"/>
      <c r="BD395" s="2"/>
      <c r="BE395" s="2"/>
      <c r="BK395" s="2"/>
      <c r="BM395" s="2"/>
      <c r="BN395" s="2"/>
      <c r="BO395" s="2"/>
      <c r="BS395" s="11"/>
      <c r="BT395" s="2"/>
      <c r="BU395" s="3"/>
      <c r="BV395" s="3"/>
      <c r="BW395" s="2"/>
      <c r="BX395" s="2"/>
      <c r="BY395" s="2"/>
      <c r="BZ395" s="2"/>
      <c r="CA395" s="2"/>
      <c r="CB395" s="2"/>
      <c r="CC395" s="2"/>
      <c r="CD395" s="1"/>
      <c r="CE395" s="1"/>
      <c r="CF395" s="1"/>
      <c r="CG395" s="1"/>
      <c r="CH395" s="1"/>
      <c r="CI395" s="2"/>
      <c r="CJ395" s="2"/>
      <c r="CK395" s="2"/>
      <c r="CL395" s="2"/>
      <c r="CM395" s="2"/>
      <c r="CN395" s="2"/>
      <c r="CO395" s="2"/>
      <c r="CP395" s="2"/>
      <c r="CQ395" s="2"/>
      <c r="CR395" s="2"/>
      <c r="CS395" s="2"/>
      <c r="CT395" s="2"/>
      <c r="CU395" s="2"/>
      <c r="CV395" s="2"/>
      <c r="CW395" s="2"/>
      <c r="CX395" s="2"/>
      <c r="CY395" s="2"/>
      <c r="CZ395" s="2"/>
    </row>
    <row r="396" spans="44:104" ht="15" hidden="1" customHeight="1" x14ac:dyDescent="0.2">
      <c r="AR396" s="2"/>
      <c r="AS396" s="2"/>
      <c r="AT396" s="2"/>
      <c r="AU396" s="2"/>
      <c r="AV396" s="2"/>
      <c r="AW396" s="2"/>
      <c r="AX396" s="2"/>
      <c r="AY396" s="2"/>
      <c r="AZ396" s="2"/>
      <c r="BA396" s="2"/>
      <c r="BB396" s="2"/>
      <c r="BC396" s="2"/>
      <c r="BD396" s="2"/>
      <c r="BE396" s="2"/>
      <c r="BK396" s="2"/>
      <c r="BM396" s="2"/>
      <c r="BN396" s="2"/>
      <c r="BO396" s="2"/>
      <c r="BS396" s="11"/>
      <c r="BT396" s="2"/>
      <c r="BU396" s="3"/>
      <c r="BV396" s="3"/>
      <c r="BW396" s="2"/>
      <c r="BX396" s="2"/>
      <c r="BY396" s="2"/>
      <c r="BZ396" s="2"/>
      <c r="CA396" s="2"/>
      <c r="CB396" s="2"/>
      <c r="CC396" s="2"/>
      <c r="CD396" s="1"/>
      <c r="CE396" s="1"/>
      <c r="CF396" s="1"/>
      <c r="CG396" s="1"/>
      <c r="CH396" s="1"/>
      <c r="CI396" s="2"/>
      <c r="CJ396" s="2"/>
      <c r="CK396" s="2"/>
      <c r="CL396" s="2"/>
      <c r="CM396" s="2"/>
      <c r="CN396" s="2"/>
      <c r="CO396" s="2"/>
      <c r="CP396" s="2"/>
      <c r="CQ396" s="2"/>
      <c r="CR396" s="2"/>
      <c r="CS396" s="2"/>
      <c r="CT396" s="2"/>
      <c r="CU396" s="2"/>
      <c r="CV396" s="2"/>
      <c r="CW396" s="2"/>
      <c r="CX396" s="2"/>
      <c r="CY396" s="2"/>
      <c r="CZ396" s="2"/>
    </row>
    <row r="397" spans="44:104" ht="15" hidden="1" customHeight="1" x14ac:dyDescent="0.2">
      <c r="AR397" s="2"/>
      <c r="AS397" s="2"/>
      <c r="AT397" s="2"/>
      <c r="AU397" s="2"/>
      <c r="AV397" s="2"/>
      <c r="AW397" s="2"/>
      <c r="AX397" s="2"/>
      <c r="AY397" s="2"/>
      <c r="AZ397" s="2"/>
      <c r="BA397" s="2"/>
      <c r="BB397" s="2"/>
      <c r="BC397" s="2"/>
      <c r="BD397" s="2"/>
      <c r="BE397" s="2"/>
      <c r="BK397" s="2"/>
      <c r="BM397" s="2"/>
      <c r="BN397" s="2"/>
      <c r="BO397" s="2"/>
      <c r="BS397" s="11"/>
      <c r="BT397" s="2"/>
      <c r="BU397" s="3"/>
      <c r="BV397" s="3"/>
      <c r="BW397" s="2"/>
      <c r="BX397" s="2"/>
      <c r="BY397" s="2"/>
      <c r="BZ397" s="2"/>
      <c r="CA397" s="2"/>
      <c r="CB397" s="2"/>
      <c r="CC397" s="2"/>
      <c r="CD397" s="1"/>
      <c r="CE397" s="1"/>
      <c r="CF397" s="1"/>
      <c r="CG397" s="1"/>
      <c r="CH397" s="1"/>
      <c r="CI397" s="2"/>
      <c r="CJ397" s="2"/>
      <c r="CK397" s="2"/>
      <c r="CL397" s="2"/>
      <c r="CM397" s="2"/>
      <c r="CN397" s="2"/>
      <c r="CO397" s="2"/>
      <c r="CP397" s="2"/>
      <c r="CQ397" s="2"/>
      <c r="CR397" s="2"/>
      <c r="CS397" s="2"/>
      <c r="CT397" s="2"/>
      <c r="CU397" s="2"/>
      <c r="CV397" s="2"/>
      <c r="CW397" s="2"/>
      <c r="CX397" s="2"/>
      <c r="CY397" s="2"/>
      <c r="CZ397" s="2"/>
    </row>
    <row r="398" spans="44:104" ht="15" hidden="1" customHeight="1" x14ac:dyDescent="0.2">
      <c r="AR398" s="2"/>
      <c r="AS398" s="2"/>
      <c r="AT398" s="2"/>
      <c r="AU398" s="2"/>
      <c r="AV398" s="2"/>
      <c r="AW398" s="2"/>
      <c r="AX398" s="2"/>
      <c r="AY398" s="2"/>
      <c r="AZ398" s="2"/>
      <c r="BA398" s="2"/>
      <c r="BB398" s="2"/>
      <c r="BC398" s="2"/>
      <c r="BD398" s="2"/>
      <c r="BE398" s="2"/>
      <c r="BK398" s="2"/>
      <c r="BM398" s="2"/>
      <c r="BN398" s="2"/>
      <c r="BO398" s="2"/>
      <c r="BS398" s="11"/>
      <c r="BT398" s="2"/>
      <c r="BU398" s="3"/>
      <c r="BV398" s="3"/>
      <c r="BW398" s="2"/>
      <c r="BX398" s="2"/>
      <c r="BY398" s="2"/>
      <c r="BZ398" s="2"/>
      <c r="CA398" s="2"/>
      <c r="CB398" s="2"/>
      <c r="CC398" s="2"/>
      <c r="CD398" s="1"/>
      <c r="CE398" s="1"/>
      <c r="CF398" s="1"/>
      <c r="CG398" s="1"/>
      <c r="CH398" s="1"/>
      <c r="CI398" s="2"/>
      <c r="CJ398" s="2"/>
      <c r="CK398" s="2"/>
      <c r="CL398" s="2"/>
      <c r="CM398" s="2"/>
      <c r="CN398" s="2"/>
      <c r="CO398" s="2"/>
      <c r="CP398" s="2"/>
      <c r="CQ398" s="2"/>
      <c r="CR398" s="2"/>
      <c r="CS398" s="2"/>
      <c r="CT398" s="2"/>
      <c r="CU398" s="2"/>
      <c r="CV398" s="2"/>
      <c r="CW398" s="2"/>
      <c r="CX398" s="2"/>
      <c r="CY398" s="2"/>
      <c r="CZ398" s="2"/>
    </row>
    <row r="399" spans="44:104" ht="15" hidden="1" customHeight="1" x14ac:dyDescent="0.2">
      <c r="AR399" s="2"/>
      <c r="AS399" s="2"/>
      <c r="AT399" s="2"/>
      <c r="AU399" s="2"/>
      <c r="AV399" s="2"/>
      <c r="AW399" s="2"/>
      <c r="AX399" s="2"/>
      <c r="AY399" s="2"/>
      <c r="AZ399" s="2"/>
      <c r="BA399" s="2"/>
      <c r="BB399" s="2"/>
      <c r="BC399" s="2"/>
      <c r="BD399" s="2"/>
      <c r="BE399" s="2"/>
      <c r="BK399" s="2"/>
      <c r="BM399" s="2"/>
      <c r="BN399" s="2"/>
      <c r="BO399" s="2"/>
      <c r="BS399" s="11"/>
      <c r="BT399" s="2"/>
      <c r="BU399" s="3"/>
      <c r="BV399" s="3"/>
      <c r="BW399" s="2"/>
      <c r="BX399" s="2"/>
      <c r="BY399" s="2"/>
      <c r="BZ399" s="2"/>
      <c r="CA399" s="2"/>
      <c r="CB399" s="2"/>
      <c r="CC399" s="2"/>
      <c r="CD399" s="1"/>
      <c r="CE399" s="1"/>
      <c r="CF399" s="1"/>
      <c r="CG399" s="1"/>
      <c r="CH399" s="1"/>
      <c r="CI399" s="2"/>
      <c r="CJ399" s="2"/>
      <c r="CK399" s="2"/>
      <c r="CL399" s="2"/>
      <c r="CM399" s="2"/>
      <c r="CN399" s="2"/>
      <c r="CO399" s="2"/>
      <c r="CP399" s="2"/>
      <c r="CQ399" s="2"/>
      <c r="CR399" s="2"/>
      <c r="CS399" s="2"/>
      <c r="CT399" s="2"/>
      <c r="CU399" s="2"/>
      <c r="CV399" s="2"/>
      <c r="CW399" s="2"/>
      <c r="CX399" s="2"/>
      <c r="CY399" s="2"/>
      <c r="CZ399" s="2"/>
    </row>
    <row r="400" spans="44:104" ht="15" hidden="1" customHeight="1" x14ac:dyDescent="0.2">
      <c r="AR400" s="2"/>
      <c r="AS400" s="2"/>
      <c r="AT400" s="2"/>
      <c r="AU400" s="2"/>
      <c r="AV400" s="2"/>
      <c r="AW400" s="2"/>
      <c r="AX400" s="2"/>
      <c r="AY400" s="2"/>
      <c r="AZ400" s="2"/>
      <c r="BA400" s="2"/>
      <c r="BB400" s="2"/>
      <c r="BC400" s="2"/>
      <c r="BD400" s="2"/>
      <c r="BE400" s="2"/>
      <c r="BK400" s="2"/>
      <c r="BM400" s="2"/>
      <c r="BN400" s="2"/>
      <c r="BO400" s="2"/>
      <c r="BS400" s="11"/>
      <c r="BT400" s="2"/>
      <c r="BU400" s="3"/>
      <c r="BV400" s="3"/>
      <c r="BW400" s="2"/>
      <c r="BX400" s="2"/>
      <c r="BY400" s="2"/>
      <c r="BZ400" s="2"/>
      <c r="CA400" s="2"/>
      <c r="CB400" s="2"/>
      <c r="CC400" s="2"/>
      <c r="CD400" s="1"/>
      <c r="CE400" s="1"/>
      <c r="CF400" s="1"/>
      <c r="CG400" s="1"/>
      <c r="CH400" s="1"/>
      <c r="CI400" s="2"/>
      <c r="CJ400" s="2"/>
      <c r="CK400" s="2"/>
      <c r="CL400" s="2"/>
      <c r="CM400" s="2"/>
      <c r="CN400" s="2"/>
      <c r="CO400" s="2"/>
      <c r="CP400" s="2"/>
      <c r="CQ400" s="2"/>
      <c r="CR400" s="2"/>
      <c r="CS400" s="2"/>
      <c r="CT400" s="2"/>
      <c r="CU400" s="2"/>
      <c r="CV400" s="2"/>
      <c r="CW400" s="2"/>
      <c r="CX400" s="2"/>
      <c r="CY400" s="2"/>
      <c r="CZ400" s="2"/>
    </row>
    <row r="401" spans="44:104" ht="15" hidden="1" customHeight="1" x14ac:dyDescent="0.2">
      <c r="AR401" s="2"/>
      <c r="AS401" s="2"/>
      <c r="AT401" s="2"/>
      <c r="AU401" s="2"/>
      <c r="AV401" s="2"/>
      <c r="AW401" s="2"/>
      <c r="AX401" s="2"/>
      <c r="AY401" s="2"/>
      <c r="AZ401" s="2"/>
      <c r="BA401" s="2"/>
      <c r="BB401" s="2"/>
      <c r="BC401" s="2"/>
      <c r="BD401" s="2"/>
      <c r="BE401" s="2"/>
      <c r="BK401" s="2"/>
      <c r="BM401" s="2"/>
      <c r="BN401" s="2"/>
      <c r="BO401" s="2"/>
      <c r="BS401" s="11"/>
      <c r="BT401" s="2"/>
      <c r="BU401" s="3"/>
      <c r="BV401" s="3"/>
      <c r="BW401" s="2"/>
      <c r="BX401" s="2"/>
      <c r="BY401" s="2"/>
      <c r="BZ401" s="2"/>
      <c r="CA401" s="2"/>
      <c r="CB401" s="2"/>
      <c r="CC401" s="2"/>
      <c r="CD401" s="1"/>
      <c r="CE401" s="1"/>
      <c r="CF401" s="1"/>
      <c r="CG401" s="1"/>
      <c r="CH401" s="1"/>
      <c r="CI401" s="2"/>
      <c r="CJ401" s="2"/>
      <c r="CK401" s="2"/>
      <c r="CL401" s="2"/>
      <c r="CM401" s="2"/>
      <c r="CN401" s="2"/>
      <c r="CO401" s="2"/>
      <c r="CP401" s="2"/>
      <c r="CQ401" s="2"/>
      <c r="CR401" s="2"/>
      <c r="CS401" s="2"/>
      <c r="CT401" s="2"/>
      <c r="CU401" s="2"/>
      <c r="CV401" s="2"/>
      <c r="CW401" s="2"/>
      <c r="CX401" s="2"/>
      <c r="CY401" s="2"/>
      <c r="CZ401" s="2"/>
    </row>
    <row r="402" spans="44:104" ht="15" hidden="1" customHeight="1" x14ac:dyDescent="0.2">
      <c r="AR402" s="2"/>
      <c r="AS402" s="2"/>
      <c r="AT402" s="2"/>
      <c r="AU402" s="2"/>
      <c r="AV402" s="2"/>
      <c r="AW402" s="2"/>
      <c r="AX402" s="2"/>
      <c r="AY402" s="2"/>
      <c r="AZ402" s="2"/>
      <c r="BA402" s="2"/>
      <c r="BB402" s="2"/>
      <c r="BC402" s="2"/>
      <c r="BD402" s="2"/>
      <c r="BE402" s="2"/>
      <c r="BK402" s="2"/>
      <c r="BM402" s="2"/>
      <c r="BN402" s="2"/>
      <c r="BO402" s="2"/>
      <c r="BS402" s="11"/>
      <c r="BT402" s="2"/>
      <c r="BU402" s="3"/>
      <c r="BV402" s="3"/>
      <c r="BW402" s="2"/>
      <c r="BX402" s="2"/>
      <c r="BY402" s="2"/>
      <c r="BZ402" s="2"/>
      <c r="CA402" s="2"/>
      <c r="CB402" s="2"/>
      <c r="CC402" s="2"/>
      <c r="CD402" s="1"/>
      <c r="CE402" s="1"/>
      <c r="CF402" s="1"/>
      <c r="CG402" s="1"/>
      <c r="CH402" s="1"/>
      <c r="CI402" s="2"/>
      <c r="CJ402" s="2"/>
      <c r="CK402" s="2"/>
      <c r="CL402" s="2"/>
      <c r="CM402" s="2"/>
      <c r="CN402" s="2"/>
      <c r="CO402" s="2"/>
      <c r="CP402" s="2"/>
      <c r="CQ402" s="2"/>
      <c r="CR402" s="2"/>
      <c r="CS402" s="2"/>
      <c r="CT402" s="2"/>
      <c r="CU402" s="2"/>
      <c r="CV402" s="2"/>
      <c r="CW402" s="2"/>
      <c r="CX402" s="2"/>
      <c r="CY402" s="2"/>
      <c r="CZ402" s="2"/>
    </row>
    <row r="403" spans="44:104" ht="15" hidden="1" customHeight="1" x14ac:dyDescent="0.2">
      <c r="AR403" s="2"/>
      <c r="AS403" s="2"/>
      <c r="AT403" s="2"/>
      <c r="AU403" s="2"/>
      <c r="AV403" s="2"/>
      <c r="AW403" s="2"/>
      <c r="AX403" s="2"/>
      <c r="AY403" s="2"/>
      <c r="AZ403" s="2"/>
      <c r="BA403" s="2"/>
      <c r="BB403" s="2"/>
      <c r="BC403" s="2"/>
      <c r="BD403" s="2"/>
      <c r="BE403" s="2"/>
      <c r="BK403" s="2"/>
      <c r="BM403" s="2"/>
      <c r="BN403" s="2"/>
      <c r="BO403" s="2"/>
      <c r="BS403" s="11"/>
      <c r="BT403" s="2"/>
      <c r="BU403" s="3"/>
      <c r="BV403" s="3"/>
      <c r="BW403" s="2"/>
      <c r="BX403" s="2"/>
      <c r="BY403" s="2"/>
      <c r="BZ403" s="46"/>
      <c r="CA403" s="1"/>
      <c r="CB403" s="1"/>
      <c r="CC403" s="1"/>
      <c r="CD403" s="1"/>
      <c r="CE403" s="1"/>
      <c r="CF403" s="1"/>
      <c r="CG403" s="1"/>
      <c r="CH403" s="1"/>
      <c r="CI403" s="2"/>
      <c r="CJ403" s="2"/>
      <c r="CK403" s="2"/>
      <c r="CL403" s="2"/>
      <c r="CM403" s="2"/>
      <c r="CN403" s="2"/>
      <c r="CO403" s="2"/>
      <c r="CP403" s="2"/>
      <c r="CQ403" s="2"/>
      <c r="CR403" s="2"/>
      <c r="CS403" s="2"/>
      <c r="CT403" s="2"/>
      <c r="CU403" s="2"/>
      <c r="CV403" s="2"/>
      <c r="CW403" s="2"/>
      <c r="CX403" s="2"/>
      <c r="CY403" s="2"/>
      <c r="CZ403" s="2"/>
    </row>
    <row r="404" spans="44:104" ht="15" hidden="1" customHeight="1" x14ac:dyDescent="0.2">
      <c r="AR404" s="2"/>
      <c r="AS404" s="2"/>
      <c r="AT404" s="2"/>
      <c r="AU404" s="2"/>
      <c r="AV404" s="2"/>
      <c r="AW404" s="2"/>
      <c r="AX404" s="2"/>
      <c r="AY404" s="2"/>
      <c r="AZ404" s="2"/>
      <c r="BA404" s="2"/>
      <c r="BB404" s="2"/>
      <c r="BC404" s="2"/>
      <c r="BD404" s="2"/>
      <c r="BE404" s="2"/>
      <c r="BK404" s="2"/>
      <c r="BM404" s="2"/>
      <c r="BN404" s="2"/>
      <c r="BO404" s="2"/>
      <c r="BS404" s="11"/>
      <c r="BT404" s="2"/>
      <c r="BU404" s="3"/>
      <c r="BV404" s="3"/>
      <c r="BW404" s="2"/>
      <c r="BX404" s="2"/>
      <c r="BY404" s="2"/>
      <c r="BZ404" s="2"/>
      <c r="CA404" s="2"/>
      <c r="CB404" s="2"/>
      <c r="CC404" s="2"/>
      <c r="CD404" s="1"/>
      <c r="CE404" s="1"/>
      <c r="CF404" s="1"/>
      <c r="CG404" s="1"/>
      <c r="CH404" s="1"/>
      <c r="CI404" s="2"/>
      <c r="CJ404" s="2"/>
      <c r="CK404" s="2"/>
      <c r="CL404" s="2"/>
      <c r="CM404" s="2"/>
      <c r="CN404" s="2"/>
      <c r="CO404" s="2"/>
      <c r="CP404" s="2"/>
      <c r="CQ404" s="2"/>
      <c r="CR404" s="2"/>
      <c r="CS404" s="2"/>
      <c r="CT404" s="2"/>
      <c r="CU404" s="2"/>
      <c r="CV404" s="2"/>
      <c r="CW404" s="2"/>
      <c r="CX404" s="2"/>
      <c r="CY404" s="2"/>
      <c r="CZ404" s="2"/>
    </row>
    <row r="405" spans="44:104" ht="15" hidden="1" customHeight="1" x14ac:dyDescent="0.2">
      <c r="AR405" s="2"/>
      <c r="AS405" s="2"/>
      <c r="AT405" s="2"/>
      <c r="AU405" s="2"/>
      <c r="AV405" s="2"/>
      <c r="AW405" s="2"/>
      <c r="AX405" s="2"/>
      <c r="AY405" s="2"/>
      <c r="AZ405" s="2"/>
      <c r="BA405" s="2"/>
      <c r="BB405" s="2"/>
      <c r="BC405" s="2"/>
      <c r="BD405" s="2"/>
      <c r="BE405" s="2"/>
      <c r="BK405" s="2"/>
      <c r="BM405" s="2"/>
      <c r="BN405" s="2"/>
      <c r="BO405" s="2"/>
      <c r="BS405" s="11"/>
      <c r="BT405" s="2"/>
      <c r="BU405" s="3"/>
      <c r="BV405" s="3"/>
      <c r="BW405" s="2"/>
      <c r="BX405" s="2"/>
      <c r="BY405" s="2"/>
      <c r="BZ405" s="2"/>
      <c r="CA405" s="2"/>
      <c r="CB405" s="2"/>
      <c r="CC405" s="2"/>
      <c r="CD405" s="1"/>
      <c r="CE405" s="1"/>
      <c r="CF405" s="1"/>
      <c r="CG405" s="1"/>
      <c r="CH405" s="1"/>
      <c r="CI405" s="2"/>
      <c r="CJ405" s="2"/>
      <c r="CK405" s="2"/>
      <c r="CL405" s="2"/>
      <c r="CM405" s="2"/>
      <c r="CN405" s="2"/>
      <c r="CO405" s="2"/>
      <c r="CP405" s="2"/>
      <c r="CQ405" s="2"/>
      <c r="CR405" s="2"/>
      <c r="CS405" s="2"/>
      <c r="CT405" s="2"/>
      <c r="CU405" s="2"/>
      <c r="CV405" s="2"/>
      <c r="CW405" s="2"/>
      <c r="CX405" s="2"/>
      <c r="CY405" s="2"/>
      <c r="CZ405" s="2"/>
    </row>
    <row r="406" spans="44:104" ht="15" hidden="1" customHeight="1" x14ac:dyDescent="0.2">
      <c r="AR406" s="2"/>
      <c r="AS406" s="2"/>
      <c r="AT406" s="2"/>
      <c r="AU406" s="2"/>
      <c r="AV406" s="2"/>
      <c r="AW406" s="2"/>
      <c r="AX406" s="2"/>
      <c r="AY406" s="2"/>
      <c r="AZ406" s="2"/>
      <c r="BA406" s="2"/>
      <c r="BB406" s="2"/>
      <c r="BC406" s="2"/>
      <c r="BD406" s="2"/>
      <c r="BE406" s="2"/>
      <c r="BK406" s="2"/>
      <c r="BM406" s="2"/>
      <c r="BN406" s="2"/>
      <c r="BO406" s="2"/>
      <c r="BS406" s="11"/>
      <c r="BT406" s="2"/>
      <c r="BU406" s="3"/>
      <c r="BV406" s="3"/>
      <c r="BW406" s="2"/>
      <c r="BX406" s="2"/>
      <c r="BY406" s="2"/>
      <c r="BZ406" s="2"/>
      <c r="CA406" s="2"/>
      <c r="CB406" s="2"/>
      <c r="CC406" s="2"/>
      <c r="CD406" s="1"/>
      <c r="CE406" s="1"/>
      <c r="CF406" s="1"/>
      <c r="CG406" s="1"/>
      <c r="CH406" s="1"/>
      <c r="CI406" s="2"/>
      <c r="CJ406" s="2"/>
      <c r="CK406" s="2"/>
      <c r="CL406" s="2"/>
      <c r="CM406" s="2"/>
      <c r="CN406" s="2"/>
      <c r="CO406" s="2"/>
      <c r="CP406" s="2"/>
      <c r="CQ406" s="2"/>
      <c r="CR406" s="2"/>
      <c r="CS406" s="2"/>
      <c r="CT406" s="2"/>
      <c r="CU406" s="2"/>
      <c r="CV406" s="2"/>
      <c r="CW406" s="2"/>
      <c r="CX406" s="2"/>
      <c r="CY406" s="2"/>
      <c r="CZ406" s="2"/>
    </row>
  </sheetData>
  <sheetProtection algorithmName="SHA-512" hashValue="d8C43P6n5cR/z9w4HBZL+kkitsDAauy7d4cDcScaZHOeFSdVVfxDUnzd97B5UgJLeAXPdxlUrKTtGf4P+NPJpA==" saltValue="+0n842TMooSriw7Mwb+wvw==" spinCount="100000" sheet="1" objects="1" scenarios="1"/>
  <mergeCells count="275">
    <mergeCell ref="B74:F74"/>
    <mergeCell ref="AS35:AV35"/>
    <mergeCell ref="AR32:AV32"/>
    <mergeCell ref="AN19:AO19"/>
    <mergeCell ref="AN21:AO21"/>
    <mergeCell ref="AA19:AM19"/>
    <mergeCell ref="AN22:AO22"/>
    <mergeCell ref="AK23:AL23"/>
    <mergeCell ref="AN23:AO23"/>
    <mergeCell ref="AK24:AL24"/>
    <mergeCell ref="AN24:AO24"/>
    <mergeCell ref="AD26:AH26"/>
    <mergeCell ref="AN20:AO20"/>
    <mergeCell ref="AD29:AO29"/>
    <mergeCell ref="W37:X37"/>
    <mergeCell ref="Y37:AB37"/>
    <mergeCell ref="AC37:AD37"/>
    <mergeCell ref="AE37:AI37"/>
    <mergeCell ref="L35:O35"/>
    <mergeCell ref="C37:D37"/>
    <mergeCell ref="E37:J37"/>
    <mergeCell ref="K37:L37"/>
    <mergeCell ref="M37:P37"/>
    <mergeCell ref="Q37:R37"/>
    <mergeCell ref="AM1:AO1"/>
    <mergeCell ref="AM2:AO2"/>
    <mergeCell ref="AM3:AO3"/>
    <mergeCell ref="AM4:AO4"/>
    <mergeCell ref="AM5:AO5"/>
    <mergeCell ref="AM6:AO6"/>
    <mergeCell ref="AM7:AO7"/>
    <mergeCell ref="AM8:AO8"/>
    <mergeCell ref="AM9:AO9"/>
    <mergeCell ref="AI1:AL1"/>
    <mergeCell ref="O1:AD1"/>
    <mergeCell ref="O2:AD2"/>
    <mergeCell ref="O3:AD3"/>
    <mergeCell ref="O4:AD4"/>
    <mergeCell ref="O5:AD5"/>
    <mergeCell ref="O6:AD6"/>
    <mergeCell ref="O7:AD7"/>
    <mergeCell ref="O8:AD8"/>
    <mergeCell ref="AI8:AL8"/>
    <mergeCell ref="AI6:AL6"/>
    <mergeCell ref="AE6:AH6"/>
    <mergeCell ref="AI3:AL3"/>
    <mergeCell ref="AI4:AL4"/>
    <mergeCell ref="AI5:AL5"/>
    <mergeCell ref="AE3:AH3"/>
    <mergeCell ref="AE4:AH4"/>
    <mergeCell ref="AE5:AH5"/>
    <mergeCell ref="CG45:CL45"/>
    <mergeCell ref="CN45:CS45"/>
    <mergeCell ref="CU45:CZ45"/>
    <mergeCell ref="BK45:BP45"/>
    <mergeCell ref="BS45:BX45"/>
    <mergeCell ref="W38:Y38"/>
    <mergeCell ref="Z38:AA38"/>
    <mergeCell ref="AB38:AD38"/>
    <mergeCell ref="AE38:AF38"/>
    <mergeCell ref="B39:AO39"/>
    <mergeCell ref="C40:D40"/>
    <mergeCell ref="S41:T41"/>
    <mergeCell ref="N40:R40"/>
    <mergeCell ref="N41:R41"/>
    <mergeCell ref="L40:M40"/>
    <mergeCell ref="CA69:CB69"/>
    <mergeCell ref="C38:D38"/>
    <mergeCell ref="BZ45:CE45"/>
    <mergeCell ref="E38:J38"/>
    <mergeCell ref="K38:L38"/>
    <mergeCell ref="M38:O38"/>
    <mergeCell ref="P38:Q38"/>
    <mergeCell ref="R38:T38"/>
    <mergeCell ref="U38:V38"/>
    <mergeCell ref="B68:F68"/>
    <mergeCell ref="B69:F69"/>
    <mergeCell ref="BW65:BX65"/>
    <mergeCell ref="BY65:BZ65"/>
    <mergeCell ref="AC64:AG64"/>
    <mergeCell ref="AK64:AO64"/>
    <mergeCell ref="BS65:BT65"/>
    <mergeCell ref="BU65:BV65"/>
    <mergeCell ref="AB22:AC22"/>
    <mergeCell ref="AB23:AC23"/>
    <mergeCell ref="AB24:AC24"/>
    <mergeCell ref="AD24:AH24"/>
    <mergeCell ref="AB25:AC25"/>
    <mergeCell ref="AD25:AH25"/>
    <mergeCell ref="R27:V27"/>
    <mergeCell ref="Y22:Z22"/>
    <mergeCell ref="AD22:AH22"/>
    <mergeCell ref="R23:V23"/>
    <mergeCell ref="Y23:Z23"/>
    <mergeCell ref="AD23:AH23"/>
    <mergeCell ref="AB27:AC27"/>
    <mergeCell ref="J24:Q24"/>
    <mergeCell ref="R24:V24"/>
    <mergeCell ref="Y24:Z24"/>
    <mergeCell ref="N25:Q25"/>
    <mergeCell ref="R25:V25"/>
    <mergeCell ref="B64:F64"/>
    <mergeCell ref="B65:F65"/>
    <mergeCell ref="B66:F66"/>
    <mergeCell ref="B67:F67"/>
    <mergeCell ref="Y28:Z28"/>
    <mergeCell ref="N26:Q26"/>
    <mergeCell ref="K64:O64"/>
    <mergeCell ref="Q64:U64"/>
    <mergeCell ref="W64:AA64"/>
    <mergeCell ref="W30:AI30"/>
    <mergeCell ref="B33:AO33"/>
    <mergeCell ref="B34:AO34"/>
    <mergeCell ref="B36:AO36"/>
    <mergeCell ref="D31:AO31"/>
    <mergeCell ref="Q35:T35"/>
    <mergeCell ref="V35:Y35"/>
    <mergeCell ref="AD27:AH27"/>
    <mergeCell ref="AD28:AH28"/>
    <mergeCell ref="AB28:AC28"/>
    <mergeCell ref="B89:F89"/>
    <mergeCell ref="J23:Q23"/>
    <mergeCell ref="R22:V22"/>
    <mergeCell ref="R26:V26"/>
    <mergeCell ref="B70:F70"/>
    <mergeCell ref="J29:M29"/>
    <mergeCell ref="N29:Q29"/>
    <mergeCell ref="J30:Q30"/>
    <mergeCell ref="R30:V30"/>
    <mergeCell ref="C30:I30"/>
    <mergeCell ref="A31:C31"/>
    <mergeCell ref="C35:D35"/>
    <mergeCell ref="E35:J35"/>
    <mergeCell ref="A32:AO32"/>
    <mergeCell ref="R29:AC29"/>
    <mergeCell ref="S37:V37"/>
    <mergeCell ref="AA35:AD35"/>
    <mergeCell ref="AF35:AI35"/>
    <mergeCell ref="N28:Q28"/>
    <mergeCell ref="R28:V28"/>
    <mergeCell ref="Y25:Z25"/>
    <mergeCell ref="Y26:Z26"/>
    <mergeCell ref="AB26:AC26"/>
    <mergeCell ref="Y27:Z27"/>
    <mergeCell ref="C4:F4"/>
    <mergeCell ref="C19:F19"/>
    <mergeCell ref="A21:B30"/>
    <mergeCell ref="C21:I21"/>
    <mergeCell ref="C23:I23"/>
    <mergeCell ref="C24:I24"/>
    <mergeCell ref="C25:I25"/>
    <mergeCell ref="J21:Q21"/>
    <mergeCell ref="C14:F14"/>
    <mergeCell ref="C15:F15"/>
    <mergeCell ref="C16:F16"/>
    <mergeCell ref="C17:F17"/>
    <mergeCell ref="C18:F18"/>
    <mergeCell ref="C26:I26"/>
    <mergeCell ref="C27:I27"/>
    <mergeCell ref="C28:I28"/>
    <mergeCell ref="C29:I29"/>
    <mergeCell ref="J25:M25"/>
    <mergeCell ref="J26:M26"/>
    <mergeCell ref="J27:M27"/>
    <mergeCell ref="N27:Q27"/>
    <mergeCell ref="J28:M28"/>
    <mergeCell ref="C5:F5"/>
    <mergeCell ref="C6:F6"/>
    <mergeCell ref="AM10:AO10"/>
    <mergeCell ref="AM11:AO11"/>
    <mergeCell ref="AM12:AO12"/>
    <mergeCell ref="AM13:AO13"/>
    <mergeCell ref="AM14:AO14"/>
    <mergeCell ref="AM15:AO15"/>
    <mergeCell ref="AM16:AO16"/>
    <mergeCell ref="C7:F7"/>
    <mergeCell ref="C8:F8"/>
    <mergeCell ref="C9:F9"/>
    <mergeCell ref="C10:F10"/>
    <mergeCell ref="C11:F11"/>
    <mergeCell ref="C12:F12"/>
    <mergeCell ref="C13:F13"/>
    <mergeCell ref="AI9:AL9"/>
    <mergeCell ref="AI10:AL10"/>
    <mergeCell ref="AE8:AH8"/>
    <mergeCell ref="AI7:AL7"/>
    <mergeCell ref="AE7:AH7"/>
    <mergeCell ref="O9:AD9"/>
    <mergeCell ref="O10:AD10"/>
    <mergeCell ref="O11:AD11"/>
    <mergeCell ref="O12:AD12"/>
    <mergeCell ref="O13:AD13"/>
    <mergeCell ref="AE9:AH9"/>
    <mergeCell ref="AE10:AH10"/>
    <mergeCell ref="AE11:AH11"/>
    <mergeCell ref="AE12:AH12"/>
    <mergeCell ref="AE13:AH13"/>
    <mergeCell ref="AE14:AH14"/>
    <mergeCell ref="AE15:AH15"/>
    <mergeCell ref="AE16:AH16"/>
    <mergeCell ref="AI16:AL16"/>
    <mergeCell ref="AI11:AL11"/>
    <mergeCell ref="AI12:AL12"/>
    <mergeCell ref="C1:F1"/>
    <mergeCell ref="C2:F2"/>
    <mergeCell ref="C3:F3"/>
    <mergeCell ref="G1:I1"/>
    <mergeCell ref="AI2:AL2"/>
    <mergeCell ref="AE2:AH2"/>
    <mergeCell ref="AE1:AH1"/>
    <mergeCell ref="AX1:BF1"/>
    <mergeCell ref="AP1:AP39"/>
    <mergeCell ref="AJ30:AL30"/>
    <mergeCell ref="AM30:AO30"/>
    <mergeCell ref="AK35:AN35"/>
    <mergeCell ref="AJ37:AK37"/>
    <mergeCell ref="AG38:AI38"/>
    <mergeCell ref="AJ38:AK38"/>
    <mergeCell ref="AK25:AL25"/>
    <mergeCell ref="AN25:AO25"/>
    <mergeCell ref="AK26:AL26"/>
    <mergeCell ref="AN26:AO26"/>
    <mergeCell ref="AK27:AL27"/>
    <mergeCell ref="AN27:AO27"/>
    <mergeCell ref="AK28:AL28"/>
    <mergeCell ref="AN28:AO28"/>
    <mergeCell ref="C22:I22"/>
    <mergeCell ref="C20:F20"/>
    <mergeCell ref="R21:V21"/>
    <mergeCell ref="Y21:Z21"/>
    <mergeCell ref="AB21:AC21"/>
    <mergeCell ref="AD21:AH21"/>
    <mergeCell ref="J22:Q22"/>
    <mergeCell ref="AI13:AL13"/>
    <mergeCell ref="AI14:AL14"/>
    <mergeCell ref="AI15:AL15"/>
    <mergeCell ref="O19:Z19"/>
    <mergeCell ref="O20:Z20"/>
    <mergeCell ref="AA20:AM20"/>
    <mergeCell ref="AK21:AL21"/>
    <mergeCell ref="AK22:AL22"/>
    <mergeCell ref="AM17:AO17"/>
    <mergeCell ref="AI17:AL17"/>
    <mergeCell ref="AA18:AM18"/>
    <mergeCell ref="AN18:AO18"/>
    <mergeCell ref="O18:Z18"/>
    <mergeCell ref="AE17:AH17"/>
    <mergeCell ref="O14:AD14"/>
    <mergeCell ref="O15:AD15"/>
    <mergeCell ref="O16:AD16"/>
    <mergeCell ref="O17:AD17"/>
    <mergeCell ref="B75:F75"/>
    <mergeCell ref="B76:F76"/>
    <mergeCell ref="B77:F77"/>
    <mergeCell ref="A42:AQ42"/>
    <mergeCell ref="AN40:AO40"/>
    <mergeCell ref="AN41:AO41"/>
    <mergeCell ref="AI40:AM40"/>
    <mergeCell ref="AI41:AM41"/>
    <mergeCell ref="AG40:AH40"/>
    <mergeCell ref="AG41:AH41"/>
    <mergeCell ref="AB40:AF40"/>
    <mergeCell ref="AB41:AF41"/>
    <mergeCell ref="Z40:AA40"/>
    <mergeCell ref="Z41:AA41"/>
    <mergeCell ref="U40:Y40"/>
    <mergeCell ref="U41:Y41"/>
    <mergeCell ref="S40:T40"/>
    <mergeCell ref="L41:M41"/>
    <mergeCell ref="E40:K40"/>
    <mergeCell ref="E41:K41"/>
    <mergeCell ref="C41:D41"/>
    <mergeCell ref="B71:F71"/>
    <mergeCell ref="B72:F72"/>
    <mergeCell ref="B73:F73"/>
  </mergeCells>
  <conditionalFormatting sqref="B2:O17 AF18:AO19">
    <cfRule type="cellIs" dxfId="77" priority="23" operator="equal">
      <formula>0</formula>
    </cfRule>
  </conditionalFormatting>
  <conditionalFormatting sqref="B20:AO20">
    <cfRule type="cellIs" dxfId="76" priority="2" operator="equal">
      <formula>0</formula>
    </cfRule>
  </conditionalFormatting>
  <conditionalFormatting sqref="G2:N20">
    <cfRule type="cellIs" dxfId="75" priority="8" operator="equal">
      <formula>"0+"</formula>
    </cfRule>
  </conditionalFormatting>
  <conditionalFormatting sqref="I18:I20">
    <cfRule type="cellIs" dxfId="74" priority="18" operator="equal">
      <formula>2</formula>
    </cfRule>
  </conditionalFormatting>
  <conditionalFormatting sqref="J2:K17">
    <cfRule type="cellIs" dxfId="73" priority="26" operator="lessThan">
      <formula>W66</formula>
    </cfRule>
    <cfRule type="cellIs" dxfId="72" priority="27" operator="greaterThan">
      <formula>W66</formula>
    </cfRule>
  </conditionalFormatting>
  <conditionalFormatting sqref="L2:L17">
    <cfRule type="expression" dxfId="71" priority="119">
      <formula>M66&lt;Y66</formula>
    </cfRule>
  </conditionalFormatting>
  <conditionalFormatting sqref="L2:M17">
    <cfRule type="expression" dxfId="70" priority="118">
      <formula>M66&gt;Y66</formula>
    </cfRule>
  </conditionalFormatting>
  <conditionalFormatting sqref="M2:M12">
    <cfRule type="expression" dxfId="69" priority="136">
      <formula>N66&lt;Z66</formula>
    </cfRule>
  </conditionalFormatting>
  <conditionalFormatting sqref="M13">
    <cfRule type="expression" dxfId="68" priority="193">
      <formula>N77&lt;Z77</formula>
    </cfRule>
  </conditionalFormatting>
  <conditionalFormatting sqref="M14:M17">
    <cfRule type="expression" dxfId="67" priority="195">
      <formula>N78&lt;Z78</formula>
    </cfRule>
  </conditionalFormatting>
  <conditionalFormatting sqref="N2:N17">
    <cfRule type="expression" dxfId="66" priority="56">
      <formula>O66&lt;AA66</formula>
    </cfRule>
    <cfRule type="expression" dxfId="65" priority="57">
      <formula>O66&gt;AA66</formula>
    </cfRule>
  </conditionalFormatting>
  <conditionalFormatting sqref="O2:O17">
    <cfRule type="cellIs" dxfId="64" priority="116" operator="equal">
      <formula>0&amp;BF2</formula>
    </cfRule>
    <cfRule type="expression" dxfId="63" priority="117">
      <formula>AW2&lt;&gt;""</formula>
    </cfRule>
  </conditionalFormatting>
  <conditionalFormatting sqref="O18:AM18">
    <cfRule type="expression" dxfId="62" priority="215">
      <formula>$AV$18="NO"</formula>
    </cfRule>
  </conditionalFormatting>
  <conditionalFormatting sqref="O19:AM19">
    <cfRule type="expression" dxfId="61" priority="217">
      <formula>$AV$19="NO"</formula>
    </cfRule>
  </conditionalFormatting>
  <conditionalFormatting sqref="W28">
    <cfRule type="expression" dxfId="60" priority="112">
      <formula>$Y$28=0</formula>
    </cfRule>
  </conditionalFormatting>
  <conditionalFormatting sqref="W30">
    <cfRule type="cellIs" dxfId="59" priority="25" operator="equal">
      <formula>0</formula>
    </cfRule>
  </conditionalFormatting>
  <conditionalFormatting sqref="X28:AA28">
    <cfRule type="expression" dxfId="58" priority="110">
      <formula>$Y$28=0</formula>
    </cfRule>
  </conditionalFormatting>
  <conditionalFormatting sqref="AB28:AC28">
    <cfRule type="expression" dxfId="57" priority="111">
      <formula>$Y$28=0</formula>
    </cfRule>
  </conditionalFormatting>
  <conditionalFormatting sqref="AG43:AH59">
    <cfRule type="cellIs" dxfId="56" priority="20" operator="equal">
      <formula>0</formula>
    </cfRule>
  </conditionalFormatting>
  <conditionalFormatting sqref="AI2:AI17 AE2:AE19 B18:AD19 B43:AF58">
    <cfRule type="cellIs" dxfId="55" priority="21" operator="equal">
      <formula>0</formula>
    </cfRule>
  </conditionalFormatting>
  <conditionalFormatting sqref="AI28">
    <cfRule type="expression" dxfId="54" priority="115">
      <formula>$AK$28=0</formula>
    </cfRule>
  </conditionalFormatting>
  <conditionalFormatting sqref="AJ21:AL21">
    <cfRule type="expression" dxfId="53" priority="207">
      <formula>$AK$21=0</formula>
    </cfRule>
  </conditionalFormatting>
  <conditionalFormatting sqref="AJ28:AL28">
    <cfRule type="expression" dxfId="52" priority="113">
      <formula>$AK$28=0</formula>
    </cfRule>
  </conditionalFormatting>
  <conditionalFormatting sqref="AJ23:AM23">
    <cfRule type="expression" dxfId="51" priority="137">
      <formula>$AK$23=0</formula>
    </cfRule>
  </conditionalFormatting>
  <conditionalFormatting sqref="AJ24:AM24">
    <cfRule type="expression" dxfId="50" priority="138">
      <formula>$AK$24=0</formula>
    </cfRule>
  </conditionalFormatting>
  <conditionalFormatting sqref="AJ25:AM25">
    <cfRule type="expression" dxfId="49" priority="139">
      <formula>$AK$25=0</formula>
    </cfRule>
  </conditionalFormatting>
  <conditionalFormatting sqref="AJ26:AM26">
    <cfRule type="expression" dxfId="48" priority="140">
      <formula>$AK$26=0</formula>
    </cfRule>
  </conditionalFormatting>
  <conditionalFormatting sqref="AJ27:AM27">
    <cfRule type="expression" dxfId="47" priority="141">
      <formula>$AK$27=0</formula>
    </cfRule>
  </conditionalFormatting>
  <conditionalFormatting sqref="AN18:AO20">
    <cfRule type="cellIs" dxfId="46" priority="134" operator="equal">
      <formula>0</formula>
    </cfRule>
  </conditionalFormatting>
  <conditionalFormatting sqref="AN21:AO21">
    <cfRule type="expression" dxfId="45" priority="208">
      <formula>$AK$21=0</formula>
    </cfRule>
  </conditionalFormatting>
  <conditionalFormatting sqref="AN23:AO23">
    <cfRule type="expression" dxfId="44" priority="202">
      <formula>$AK$23=0</formula>
    </cfRule>
  </conditionalFormatting>
  <conditionalFormatting sqref="AN24:AO24">
    <cfRule type="expression" dxfId="43" priority="203">
      <formula>$AK$24=0</formula>
    </cfRule>
  </conditionalFormatting>
  <conditionalFormatting sqref="AN25:AO25">
    <cfRule type="expression" dxfId="42" priority="204">
      <formula>$AK$25=0</formula>
    </cfRule>
  </conditionalFormatting>
  <conditionalFormatting sqref="AN26:AO26">
    <cfRule type="expression" dxfId="41" priority="205">
      <formula>$AK$26=0</formula>
    </cfRule>
  </conditionalFormatting>
  <conditionalFormatting sqref="AN27:AO27">
    <cfRule type="expression" dxfId="40" priority="206">
      <formula>$AK$27=0</formula>
    </cfRule>
  </conditionalFormatting>
  <conditionalFormatting sqref="AN28:AO28">
    <cfRule type="expression" dxfId="39" priority="114">
      <formula>$AK$28=0</formula>
    </cfRule>
  </conditionalFormatting>
  <dataValidations count="39">
    <dataValidation type="list" allowBlank="1" showErrorMessage="1" sqref="C2:C17" xr:uid="{00000000-0002-0000-0100-000000000000}">
      <formula1>$BJ$2:$BJ$14</formula1>
    </dataValidation>
    <dataValidation type="list" allowBlank="1" showErrorMessage="1" sqref="AC37" xr:uid="{00000000-0002-0000-0100-000001000000}">
      <formula1>$AQ$65:$AQ$164</formula1>
    </dataValidation>
    <dataValidation type="list" allowBlank="1" showErrorMessage="1" sqref="C38 K38" xr:uid="{00000000-0002-0000-0100-000002000000}">
      <formula1>$AS$65:$AS$75</formula1>
    </dataValidation>
    <dataValidation type="list" allowBlank="1" showErrorMessage="1" sqref="AJ37" xr:uid="{00000000-0002-0000-0100-000003000000}">
      <formula1>$AS$65:$AS$135</formula1>
    </dataValidation>
    <dataValidation type="list" allowBlank="1" showErrorMessage="1" sqref="AD26" xr:uid="{00000000-0002-0000-0100-000005000000}">
      <formula1>$BL$64:$BL$69</formula1>
    </dataValidation>
    <dataValidation type="list" allowBlank="1" showErrorMessage="1" sqref="W26 Z35" xr:uid="{00000000-0002-0000-0100-000006000000}">
      <formula1>$AY$67:$AY$71</formula1>
    </dataValidation>
    <dataValidation type="list" allowBlank="1" showErrorMessage="1" sqref="AD23" xr:uid="{00000000-0002-0000-0100-000007000000}">
      <formula1>$BH$64:$BH$76</formula1>
    </dataValidation>
    <dataValidation type="list" allowBlank="1" showErrorMessage="1" sqref="W25 AO35 AI28" xr:uid="{00000000-0002-0000-0100-000008000000}">
      <formula1>$AY$67:$AY$69</formula1>
    </dataValidation>
    <dataValidation type="list" allowBlank="1" showErrorMessage="1" sqref="AI27 K35" xr:uid="{00000000-0002-0000-0100-000009000000}">
      <formula1>$AY$67:$AY$70</formula1>
    </dataValidation>
    <dataValidation type="list" allowBlank="1" showErrorMessage="1" sqref="W24 W21" xr:uid="{00000000-0002-0000-0100-00000B000000}">
      <formula1>$AY$67:$AY$73</formula1>
    </dataValidation>
    <dataValidation type="list" allowBlank="1" showErrorMessage="1" sqref="C37 W37 K37" xr:uid="{00000000-0002-0000-0100-00000C000000}">
      <formula1>$AX$67:$AX$88</formula1>
    </dataValidation>
    <dataValidation type="list" allowBlank="1" showErrorMessage="1" sqref="W22" xr:uid="{00000000-0002-0000-0100-00000D000000}">
      <formula1>$AY$67:$AY$75</formula1>
    </dataValidation>
    <dataValidation type="list" allowBlank="1" showErrorMessage="1" sqref="C35" xr:uid="{00000000-0002-0000-0100-00000F000000}">
      <formula1>valorequipo</formula1>
    </dataValidation>
    <dataValidation type="list" allowBlank="1" showErrorMessage="1" sqref="P38 AJ38 AE38 Z38 U38" xr:uid="{00000000-0002-0000-0100-000010000000}">
      <formula1>$AS$65:$AS$85</formula1>
    </dataValidation>
    <dataValidation type="list" allowBlank="1" showErrorMessage="1" sqref="AD24" xr:uid="{00000000-0002-0000-0100-000011000000}">
      <formula1>$BD$64:$BD$74</formula1>
    </dataValidation>
    <dataValidation type="list" allowBlank="1" showErrorMessage="1" sqref="P35 AJ35 AE35 U35" xr:uid="{00000000-0002-0000-0100-000012000000}">
      <formula1>$BB$73:$BB$74</formula1>
    </dataValidation>
    <dataValidation type="list" allowBlank="1" showErrorMessage="1" sqref="AI21:AI26 W27:W28" xr:uid="{00000000-0002-0000-0100-000013000000}">
      <formula1>$AY$67:$AY$68</formula1>
    </dataValidation>
    <dataValidation type="list" allowBlank="1" showErrorMessage="1" sqref="W23" xr:uid="{00000000-0002-0000-0100-000014000000}">
      <formula1>$AY$67:$AY$77</formula1>
    </dataValidation>
    <dataValidation type="list" allowBlank="1" showErrorMessage="1" sqref="J24:Q24" xr:uid="{00000000-0002-0000-0100-000015000000}">
      <formula1>$BA$67:$BA$71</formula1>
    </dataValidation>
    <dataValidation type="list" allowBlank="1" showErrorMessage="1" sqref="AD27:AH27" xr:uid="{00000000-0002-0000-0100-000017000000}">
      <formula1>$BO$64:$BO$78</formula1>
    </dataValidation>
    <dataValidation type="list" allowBlank="1" showErrorMessage="1" sqref="AD25:AH25" xr:uid="{00000000-0002-0000-0100-000018000000}">
      <formula1>$BD$64:$BD$75</formula1>
    </dataValidation>
    <dataValidation type="list" allowBlank="1" showErrorMessage="1" sqref="AI17 AE14:AE17" xr:uid="{00000000-0002-0000-0100-000019000000}">
      <formula1>$CV$65:$CV$139</formula1>
    </dataValidation>
    <dataValidation type="list" allowBlank="1" showErrorMessage="1" sqref="AI16" xr:uid="{00000000-0002-0000-0100-00001A000000}">
      <formula1>$CU$65:$CU$139</formula1>
    </dataValidation>
    <dataValidation type="list" allowBlank="1" showErrorMessage="1" sqref="AI15" xr:uid="{00000000-0002-0000-0100-00001B000000}">
      <formula1>$CT$65:$CT$139</formula1>
    </dataValidation>
    <dataValidation type="list" allowBlank="1" showErrorMessage="1" sqref="AI14" xr:uid="{00000000-0002-0000-0100-00001C000000}">
      <formula1>$CS$65:$CS$139</formula1>
    </dataValidation>
    <dataValidation type="list" allowBlank="1" showErrorMessage="1" sqref="AI13 AE13" xr:uid="{00000000-0002-0000-0100-00001D000000}">
      <formula1>$CR$65:$CR$139</formula1>
    </dataValidation>
    <dataValidation type="list" allowBlank="1" showErrorMessage="1" sqref="AI12 AE12" xr:uid="{00000000-0002-0000-0100-00001E000000}">
      <formula1>$CQ$65:$CQ$139</formula1>
    </dataValidation>
    <dataValidation type="list" allowBlank="1" showErrorMessage="1" sqref="AI11 AE11" xr:uid="{00000000-0002-0000-0100-00001F000000}">
      <formula1>$CP$65:$CP$139</formula1>
    </dataValidation>
    <dataValidation type="list" allowBlank="1" showErrorMessage="1" sqref="AI10 AE10" xr:uid="{00000000-0002-0000-0100-000020000000}">
      <formula1>$CO$65:$CO$139</formula1>
    </dataValidation>
    <dataValidation type="list" allowBlank="1" showErrorMessage="1" sqref="AI9 AE9" xr:uid="{00000000-0002-0000-0100-000021000000}">
      <formula1>$CN$65:$CN$139</formula1>
    </dataValidation>
    <dataValidation type="list" allowBlank="1" showErrorMessage="1" sqref="AI8 AE8" xr:uid="{00000000-0002-0000-0100-000022000000}">
      <formula1>$CM$65:$CM$139</formula1>
    </dataValidation>
    <dataValidation type="list" allowBlank="1" showErrorMessage="1" sqref="AI7 AE7" xr:uid="{00000000-0002-0000-0100-000023000000}">
      <formula1>$CL$65:$CL$139</formula1>
    </dataValidation>
    <dataValidation type="list" allowBlank="1" showErrorMessage="1" sqref="AI6 AE6" xr:uid="{00000000-0002-0000-0100-000024000000}">
      <formula1>$CK$65:$CK$139</formula1>
    </dataValidation>
    <dataValidation type="list" allowBlank="1" showErrorMessage="1" sqref="AI5 AE5" xr:uid="{00000000-0002-0000-0100-000025000000}">
      <formula1>$CJ$65:$CJ$139</formula1>
    </dataValidation>
    <dataValidation type="list" allowBlank="1" showErrorMessage="1" sqref="AI4 AE4" xr:uid="{00000000-0002-0000-0100-000026000000}">
      <formula1>$CI$65:$CI$139</formula1>
    </dataValidation>
    <dataValidation type="list" allowBlank="1" showErrorMessage="1" sqref="AE3" xr:uid="{00000000-0002-0000-0100-000027000000}">
      <formula1>$CH$65:$CH$139</formula1>
    </dataValidation>
    <dataValidation type="list" allowBlank="1" showErrorMessage="1" sqref="AI2:AI3 AE2" xr:uid="{00000000-0002-0000-0100-000028000000}">
      <formula1>$CG$65:$CG$139</formula1>
    </dataValidation>
    <dataValidation type="list" allowBlank="1" showErrorMessage="1" sqref="J23:Q23" xr:uid="{00000000-0002-0000-0100-000029000000}">
      <formula1>$BM$3:$BM$36</formula1>
    </dataValidation>
    <dataValidation type="list" allowBlank="1" showErrorMessage="1" sqref="AJ30:AL30" xr:uid="{A2C229A3-5FF5-4AEC-BBF8-2099FD6C44B3}">
      <formula1>$BA$81:$BA$88</formula1>
    </dataValidation>
  </dataValidations>
  <pageMargins left="0.19685039370078741" right="0.19685039370078741" top="0.39370078740157483" bottom="0.19685039370078741" header="0" footer="0"/>
  <pageSetup paperSize="9" scale="53" orientation="landscape" cellComments="atEnd" r:id="rId1"/>
  <extLst>
    <ext xmlns:x14="http://schemas.microsoft.com/office/spreadsheetml/2009/9/main" uri="{CCE6A557-97BC-4b89-ADB6-D9C93CAAB3DF}">
      <x14:dataValidations xmlns:xm="http://schemas.microsoft.com/office/excel/2006/main" count="1">
        <x14:dataValidation type="list" allowBlank="1" showErrorMessage="1" xr:uid="{00000000-0002-0000-0100-00002A000000}">
          <x14:formula1>
            <xm:f>StarPlayersBB2020!$C$94:$C$140</xm:f>
          </x14:formula1>
          <xm:sqref>C18:F20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17BD2-C5E0-473C-B3A5-2F01CF9F973B}">
  <sheetPr>
    <pageSetUpPr fitToPage="1"/>
  </sheetPr>
  <dimension ref="A1:CZ406"/>
  <sheetViews>
    <sheetView zoomScale="80" zoomScaleNormal="80" workbookViewId="0"/>
  </sheetViews>
  <sheetFormatPr baseColWidth="10" defaultColWidth="0" defaultRowHeight="15" customHeight="1" zeroHeight="1" x14ac:dyDescent="0.2"/>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15" hidden="1" customWidth="1"/>
    <col min="83" max="86" width="10.28515625" style="15" hidden="1" customWidth="1"/>
    <col min="87" max="94" width="8" hidden="1" customWidth="1"/>
    <col min="95" max="95" width="7.5703125" hidden="1" customWidth="1"/>
    <col min="96" max="104" width="8" hidden="1" customWidth="1"/>
    <col min="105" max="16384" width="9.140625" hidden="1"/>
  </cols>
  <sheetData>
    <row r="1" spans="1:104" ht="30" customHeight="1" x14ac:dyDescent="0.2">
      <c r="A1" s="33" t="s">
        <v>9</v>
      </c>
      <c r="B1" s="34" t="str">
        <f>IF(J24="Italiano","NOME GIOCATORE",(IF(J24="Español","NOMBRE JUGADOR",(IF(J24="Deutsch","NAME",(IF(J24="Français","NOM DU JOUEUR","PLAYER NAME")))))))</f>
        <v>NOMBRE JUGADOR</v>
      </c>
      <c r="C1" s="217" t="str">
        <f>IF(J24="Italiano","TIPO",(IF(J24="Español","TIPO",(IF(J24="Deutsch","POSITION",(IF(J24="Français","POSTE","TYPE")))))))</f>
        <v>TIPO</v>
      </c>
      <c r="D1" s="173"/>
      <c r="E1" s="173"/>
      <c r="F1" s="174"/>
      <c r="G1" s="218" t="str">
        <f>IF(J24="Italiano","QTA",(IF(J24="Español","CANT",(IF(J24="Deutsch","An- zahl",(IF(J24="Français","QTT","QTY")))))))</f>
        <v>CANT</v>
      </c>
      <c r="H1" s="173"/>
      <c r="I1" s="174"/>
      <c r="J1" s="34" t="str">
        <f>IF(J24="Español","MO",(IF(J24="Deutsch","BE",(IF(J24="Français","M","MA")))))</f>
        <v>MO</v>
      </c>
      <c r="K1" s="34" t="str">
        <f>IF(J24="Español","FU",(IF(J24="Français","F","ST")))</f>
        <v>FU</v>
      </c>
      <c r="L1" s="34" t="str">
        <f>IF(J24="Deutsch","GE","AG")</f>
        <v>AG</v>
      </c>
      <c r="M1" s="34" t="str">
        <f>IF(J24="Deutsch","WG",(IF(J24="Français","CP","PA")))</f>
        <v>PA</v>
      </c>
      <c r="N1" s="34" t="str">
        <f>IF(J24="Español","AR",(IF(J24="Deutsch","RW",(IF(J24="Français","AR","AV")))))</f>
        <v>AR</v>
      </c>
      <c r="O1" s="217" t="str">
        <f>IF(J24="Italiano","ABILITÀ",(IF(J24="Español","HABILIDADES",(IF(J24="Deutsch","FERTIGKEITEN",(IF(J24="Français","COMPÉTENCES","SKILLS")))))))</f>
        <v>HABILIDADES</v>
      </c>
      <c r="P1" s="219"/>
      <c r="Q1" s="219"/>
      <c r="R1" s="219"/>
      <c r="S1" s="219"/>
      <c r="T1" s="219"/>
      <c r="U1" s="219"/>
      <c r="V1" s="219"/>
      <c r="W1" s="219"/>
      <c r="X1" s="219"/>
      <c r="Y1" s="219"/>
      <c r="Z1" s="219"/>
      <c r="AA1" s="219"/>
      <c r="AB1" s="219"/>
      <c r="AC1" s="219"/>
      <c r="AD1" s="220"/>
      <c r="AE1" s="218" t="str">
        <f>IF(J24="Italiano","AVANZAMENTO 1",(IF(J24="Español","MEJORA 1",(IF(J24="Deutsch","VERBES- SERUNG 1",(IF(J24="Français","AMÉLIORATION 1","UPGRADE 1")))))))</f>
        <v>MEJORA 1</v>
      </c>
      <c r="AF1" s="221"/>
      <c r="AG1" s="221"/>
      <c r="AH1" s="222"/>
      <c r="AI1" s="218" t="str">
        <f>IF(J24="Italiano","AVANZAMENTO 2",(IF(J24="Español","MEJORA 2",(IF(J24="Deutsch","VERBES- SERUNG 2",(IF(J24="Français","AMÉLIORATION 2","UPGRADE 2")))))))</f>
        <v>MEJORA 2</v>
      </c>
      <c r="AJ1" s="221"/>
      <c r="AK1" s="221"/>
      <c r="AL1" s="222"/>
      <c r="AM1" s="218" t="str">
        <f>IF(J24="Italiano","COSTO",(IF(J24="Español","PRECIO",(IF(J24="Deutsch","WERT",(IF(J24="Français","VALEUR","COST")))))))</f>
        <v>PRECIO</v>
      </c>
      <c r="AN1" s="221"/>
      <c r="AO1" s="222"/>
      <c r="AP1" s="213"/>
      <c r="AQ1" s="1" t="s">
        <v>10</v>
      </c>
      <c r="AR1" s="2" t="s">
        <v>11</v>
      </c>
      <c r="AS1" s="2"/>
      <c r="AT1" s="2"/>
      <c r="AU1" s="2"/>
      <c r="AV1" s="2"/>
      <c r="AW1" s="2"/>
      <c r="AX1" s="214" t="s">
        <v>12</v>
      </c>
      <c r="AY1" s="215"/>
      <c r="AZ1" s="215"/>
      <c r="BA1" s="215"/>
      <c r="BB1" s="215"/>
      <c r="BC1" s="215"/>
      <c r="BD1" s="215"/>
      <c r="BE1" s="215"/>
      <c r="BF1" s="216"/>
      <c r="BG1" s="2"/>
      <c r="BH1" s="2"/>
      <c r="BI1" s="2"/>
      <c r="BJ1" s="2"/>
      <c r="BK1" s="2"/>
      <c r="BL1" s="2"/>
      <c r="BM1" s="2"/>
      <c r="BN1" s="2"/>
      <c r="BO1" s="2" t="str">
        <f>INDEX(BY3:BY33,(SUM(BY2:CB2)))</f>
        <v>Old World Alliance</v>
      </c>
      <c r="BP1" s="2"/>
      <c r="BQ1" s="2"/>
      <c r="BR1" s="2"/>
      <c r="BS1" s="2"/>
      <c r="BT1" s="2"/>
      <c r="BU1" s="3"/>
      <c r="BV1" s="3"/>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1:104" ht="37.5" customHeight="1" x14ac:dyDescent="0.2">
      <c r="A2" s="33">
        <v>1</v>
      </c>
      <c r="B2" s="28"/>
      <c r="C2" s="205"/>
      <c r="D2" s="206"/>
      <c r="E2" s="206"/>
      <c r="F2" s="207"/>
      <c r="G2" s="35">
        <f>IF(C2="",0,(COUNTIF(C2:F17,C2)))</f>
        <v>0</v>
      </c>
      <c r="H2" s="36" t="s">
        <v>13</v>
      </c>
      <c r="I2" s="37">
        <f>IFERROR((VLOOKUP($BO$1&amp;C2,TeamsProtajer!D:M,10,0)),0)</f>
        <v>0</v>
      </c>
      <c r="J2" s="38">
        <f t="shared" ref="J2:K17" si="0">IFERROR(K66,0)</f>
        <v>0</v>
      </c>
      <c r="K2" s="38">
        <f t="shared" si="0"/>
        <v>0</v>
      </c>
      <c r="L2" s="38" t="str">
        <f t="shared" ref="L2:N17" si="1">IFERROR(M66&amp;"+",0)</f>
        <v>0+</v>
      </c>
      <c r="M2" s="38" t="str">
        <f t="shared" si="1"/>
        <v>0+</v>
      </c>
      <c r="N2" s="38" t="str">
        <f t="shared" si="1"/>
        <v>0+</v>
      </c>
      <c r="O2" s="200">
        <f>IFERROR((IF(AV2="YES",(VLOOKUP($BO$1&amp;C2,TeamsProtajer!D:M,7,0)),AW2)),"")</f>
        <v>0</v>
      </c>
      <c r="P2" s="201"/>
      <c r="Q2" s="201"/>
      <c r="R2" s="201"/>
      <c r="S2" s="201"/>
      <c r="T2" s="201"/>
      <c r="U2" s="201"/>
      <c r="V2" s="201"/>
      <c r="W2" s="201"/>
      <c r="X2" s="201"/>
      <c r="Y2" s="201"/>
      <c r="Z2" s="201"/>
      <c r="AA2" s="201"/>
      <c r="AB2" s="201"/>
      <c r="AC2" s="201"/>
      <c r="AD2" s="202"/>
      <c r="AE2" s="208"/>
      <c r="AF2" s="209"/>
      <c r="AG2" s="209"/>
      <c r="AH2" s="210"/>
      <c r="AI2" s="208"/>
      <c r="AJ2" s="209"/>
      <c r="AK2" s="209"/>
      <c r="AL2" s="210"/>
      <c r="AM2" s="203">
        <f>IFERROR((VLOOKUP($BO$1&amp;C2,TeamsProtajer!D:M,8,0)),0)</f>
        <v>0</v>
      </c>
      <c r="AN2" s="211"/>
      <c r="AO2" s="204"/>
      <c r="AP2" s="213"/>
      <c r="AQ2" s="1">
        <f>IFERROR((((VLOOKUP($BO$1&amp;C2,TeamsProtajer!D:M,9,0)+(AK2/1000)))),0)</f>
        <v>0</v>
      </c>
      <c r="AR2" s="2">
        <f>IFERROR((VLOOKUP($BO$1&amp;C2,TeamsProtajer!D:N,11,0)),0)</f>
        <v>0</v>
      </c>
      <c r="AS2" s="2" t="str">
        <f>IF(G2&gt;I2,(IF($J$24="Italiano","Limite del giocatore superato... Stai barando!",(IF($J$24="Español","Límite de jugadores excedido… ¡Estás haciendo trampas!",(IF($J$24="Deutsch","Spieler-Limit überschritten… Du schummelst!",(IF($J$24="Français","Tu as trop de joueurs… Tricheur!","Player limit exceded… You are cheating!")))))))),"")</f>
        <v/>
      </c>
      <c r="AT2" s="2" t="str">
        <f>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2"/>
      <c r="AV2" s="2" t="str">
        <f>IF(AS2&lt;&gt;"","NO",IF(AT2&lt;&gt;"","NO",IF(AU2&lt;&gt;"","NO","YES")))</f>
        <v>YES</v>
      </c>
      <c r="AW2" s="2" t="str">
        <f t="shared" ref="AW2:AW17" si="2">IF(AS2&lt;&gt;"",AS2,(IF(AT2&lt;&gt;"",AT2,(IF(AU2&lt;&gt;"",AU2,"")))))</f>
        <v/>
      </c>
      <c r="AX2" s="39" t="str">
        <f t="shared" ref="AX2:AX17" si="3">IF(Y2&lt;&gt;"",(IF(OR(Y2="+ MA", Y2="+ST", Y2="- PA", Y2="+ AV", Y2="+ MO", Y2="+ FU", Y2="+ M", Y2="+ F", Y2="- CP", Y2="- AG", Y2="+ AR", Y2="+ BE", Y2="+ ST", Y2="- WG", Y2="- GE", Y2="+ RW"),"",BG2&amp;Y2)),"")</f>
        <v/>
      </c>
      <c r="AY2" s="39" t="str">
        <f t="shared" ref="AY2:AY17" si="4">IF(AA2&lt;&gt;"",(IF(OR(AA2="+ MA", AA2="+ST", AA2="- PA", AA2="+ AV", AA2="+ MO", AA2="+ FU", AA2="+ M", AA2="+ F", AA2="- CP", AA2="- AG", AA2="+ AR", AA2="+ BE", AA2="+ ST", AA2="- WG", AA2="- GE", AA2="+ RW"),"",", "&amp;AA2)),"")</f>
        <v/>
      </c>
      <c r="AZ2" s="39" t="str">
        <f t="shared" ref="AZ2:AZ17" si="5">IF(AC2&lt;&gt;"",(IF(OR(AC2="+ MA", AC2="+ST", AC2="- PA", AC2="+ AV", AC2="+ MO", AC2="+ FU", AC2="+ M", AC2="+ F", AC2="- CP", AC2="- AG", AC2="+ AR", AC2="+ BE", AC2="+ ST", AC2="- WG", AC2="- GE", AC2="+ RW"),"",", "&amp;AC2)),"")</f>
        <v/>
      </c>
      <c r="BA2" s="39" t="str">
        <f t="shared" ref="BA2:BA17" si="6">IF(AE2&lt;&gt;"",(IF(OR(AE2="+ MA", AE2="+ST", AE2="- PA", AE2="+ AV", AE2="+ MO", AE2="+ FU", AE2="+ M", AE2="+ F", AE2="- CP", AE2="- AG", AE2="+ AR", AE2="+ BE", AE2="+ ST", AE2="- WG", AE2="- GE", AE2="+ RW"),"",", "&amp;AE2)),"")</f>
        <v/>
      </c>
      <c r="BB2" s="39"/>
      <c r="BC2" s="39"/>
      <c r="BD2" s="39" t="str">
        <f t="shared" ref="BD2:BD17" si="7">IF(AC43=0,"",BH2&amp;AC43)</f>
        <v/>
      </c>
      <c r="BE2" s="39" t="str">
        <f t="shared" ref="BE2:BE17" si="8">((IF(AJ43&gt;0," - "&amp;AJ43&amp;" NI", "")))</f>
        <v/>
      </c>
      <c r="BF2" s="40" t="e">
        <f>IF(#REF!&lt;0,"",AX2&amp;AY2&amp;AZ2&amp;BA2&amp;BB2&amp;BC2&amp;BD2&amp;BE2)</f>
        <v>#REF!</v>
      </c>
      <c r="BG2" s="4" t="str">
        <f>IFERROR((IF((VLOOKUP($BO$1&amp;C2,TeamsProtajer!D:M,7,0))="","",", ")),"")</f>
        <v xml:space="preserve">, </v>
      </c>
      <c r="BH2" t="str">
        <f>IF(AND((VLOOKUP($BO$1&amp;C2,TeamsProtajer!D:M,7,0))="",AX2=""),"",", ")</f>
        <v xml:space="preserve">, </v>
      </c>
      <c r="BI2" s="2" t="str">
        <f>$BO$1&amp;1</f>
        <v>Old World Alliance1</v>
      </c>
      <c r="BJ2" t="str">
        <f>IFERROR(IF((VLOOKUP(BI2,TeamsProtajer!B:C,2,FALSE))=0,"",(VLOOKUP(BI2,TeamsProtajer!B:C,2,FALSE))),"")</f>
        <v/>
      </c>
      <c r="BK2" s="2"/>
      <c r="BL2" s="2"/>
      <c r="BM2" s="5"/>
      <c r="BN2" s="5" t="s">
        <v>14</v>
      </c>
      <c r="BO2" s="2" t="str">
        <f>INDEX(BN3:BN36,(SUM(BY2:CB2)))</f>
        <v>Norse</v>
      </c>
      <c r="BP2" s="5" t="s">
        <v>15</v>
      </c>
      <c r="BQ2" s="5" t="s">
        <v>16</v>
      </c>
      <c r="BR2" s="5" t="s">
        <v>17</v>
      </c>
      <c r="BS2" s="6" t="s">
        <v>18</v>
      </c>
      <c r="BT2" s="6" t="s">
        <v>19</v>
      </c>
      <c r="BU2" s="3" t="str">
        <f>VLOOKUP(BO1,BL:BT,9,FALSE)</f>
        <v>OldWorldClassic</v>
      </c>
      <c r="BV2" s="3">
        <f>VLOOKUP(BO1,BL1:BU44,10,FALSE)</f>
        <v>0</v>
      </c>
      <c r="BW2" s="3">
        <f>VLOOKUP(BO1,BL1:BV44,11,FALSE)</f>
        <v>0</v>
      </c>
      <c r="BX2" s="6"/>
      <c r="BY2" s="5">
        <f>IFERROR(MATCH($J$23,BY3:BY50,0),0)</f>
        <v>0</v>
      </c>
      <c r="BZ2" s="5">
        <f>IFERROR(MATCH($J$23,BZ3:BZ50,0),0)</f>
        <v>21</v>
      </c>
      <c r="CA2" s="5">
        <f>IFERROR(MATCH($J$23,CA3:CA50,0),0)</f>
        <v>0</v>
      </c>
      <c r="CB2" s="5">
        <f>IFERROR(MATCH($J$23,CB3:CB50,0),0)</f>
        <v>0</v>
      </c>
      <c r="CC2" s="5"/>
      <c r="CD2" s="5"/>
      <c r="CE2" s="41" t="s">
        <v>1083</v>
      </c>
      <c r="CF2" s="41" t="s">
        <v>1084</v>
      </c>
      <c r="CG2" s="41" t="s">
        <v>1085</v>
      </c>
      <c r="CH2" s="41" t="s">
        <v>1086</v>
      </c>
      <c r="CI2" s="2"/>
      <c r="CJ2" s="2"/>
      <c r="CK2" s="2"/>
      <c r="CL2" s="2"/>
      <c r="CM2" s="2"/>
      <c r="CN2" s="2"/>
      <c r="CO2" s="2"/>
      <c r="CP2" s="2"/>
      <c r="CQ2" s="2"/>
      <c r="CR2" s="2"/>
      <c r="CS2" s="2"/>
      <c r="CT2" s="2"/>
      <c r="CU2" s="2"/>
      <c r="CV2" s="2"/>
      <c r="CW2" s="2"/>
      <c r="CX2" s="2"/>
      <c r="CY2" s="2"/>
      <c r="CZ2" s="2"/>
    </row>
    <row r="3" spans="1:104" ht="37.5" customHeight="1" x14ac:dyDescent="0.2">
      <c r="A3" s="33">
        <v>2</v>
      </c>
      <c r="B3" s="29"/>
      <c r="C3" s="205"/>
      <c r="D3" s="206"/>
      <c r="E3" s="206"/>
      <c r="F3" s="207"/>
      <c r="G3" s="35">
        <f>IF(C3="",0,(COUNTIF(C2:F17,C3)))</f>
        <v>0</v>
      </c>
      <c r="H3" s="36" t="s">
        <v>13</v>
      </c>
      <c r="I3" s="37">
        <f>IFERROR((VLOOKUP($BO$1&amp;C3,TeamsProtajer!D:M,10,0)),0)</f>
        <v>0</v>
      </c>
      <c r="J3" s="38">
        <f t="shared" si="0"/>
        <v>0</v>
      </c>
      <c r="K3" s="38">
        <f t="shared" si="0"/>
        <v>0</v>
      </c>
      <c r="L3" s="38" t="str">
        <f t="shared" si="1"/>
        <v>0+</v>
      </c>
      <c r="M3" s="38" t="str">
        <f t="shared" si="1"/>
        <v>0+</v>
      </c>
      <c r="N3" s="38" t="str">
        <f t="shared" si="1"/>
        <v>0+</v>
      </c>
      <c r="O3" s="200">
        <f>IFERROR((IF(AV3="YES",(VLOOKUP($BO$1&amp;C3,TeamsProtajer!D:M,7,0)),AW3)),"")</f>
        <v>0</v>
      </c>
      <c r="P3" s="201"/>
      <c r="Q3" s="201"/>
      <c r="R3" s="201"/>
      <c r="S3" s="201"/>
      <c r="T3" s="201"/>
      <c r="U3" s="201"/>
      <c r="V3" s="201"/>
      <c r="W3" s="201"/>
      <c r="X3" s="201"/>
      <c r="Y3" s="201"/>
      <c r="Z3" s="201"/>
      <c r="AA3" s="201"/>
      <c r="AB3" s="201"/>
      <c r="AC3" s="201"/>
      <c r="AD3" s="202"/>
      <c r="AE3" s="208"/>
      <c r="AF3" s="209"/>
      <c r="AG3" s="209"/>
      <c r="AH3" s="210"/>
      <c r="AI3" s="208"/>
      <c r="AJ3" s="209"/>
      <c r="AK3" s="209"/>
      <c r="AL3" s="210"/>
      <c r="AM3" s="203">
        <f>IFERROR((VLOOKUP($BO$1&amp;C3,TeamsProtajer!D:M,8,0)),0)</f>
        <v>0</v>
      </c>
      <c r="AN3" s="211"/>
      <c r="AO3" s="204"/>
      <c r="AP3" s="213"/>
      <c r="AQ3" s="1">
        <f>IFERROR((((VLOOKUP($BO$1&amp;C3,TeamsProtajer!D:M,9,0)+(AK3/1000)))),0)</f>
        <v>0</v>
      </c>
      <c r="AR3" s="2">
        <f>IFERROR((VLOOKUP($BO$1&amp;C3,TeamsProtajer!D:N,11,0)),0)</f>
        <v>0</v>
      </c>
      <c r="AS3" s="2" t="str">
        <f t="shared" ref="AS3:AS17" si="9">IF(G3&gt;I3,(IF($J$24="Italiano","Limite del giocatore superato... Stai barando!",(IF($J$24="Español","Límite de jugadores excedido… ¡Estás haciendo trampas!",(IF($J$24="Deutsch","Spieler-Limit überschritten… Du schummelst!",(IF($J$24="Français","Tu as trop de joueurs… Tricheur!","Player limit exceded… You are cheating!")))))))),"")</f>
        <v/>
      </c>
      <c r="AT3" s="2" t="str">
        <f t="shared" ref="AT3:AT15" si="10">IF(AR3&gt;0,(IF($BA$77&gt;$BA$79,(IF($J$24="Italiano","Il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3" s="2"/>
      <c r="AV3" s="2" t="str">
        <f t="shared" ref="AV3:AV17" si="11">IF(AS3&lt;&gt;"","NO",IF(AT3&lt;&gt;"","NO",IF(AU3&lt;&gt;"","NO","YES")))</f>
        <v>YES</v>
      </c>
      <c r="AW3" s="2" t="str">
        <f t="shared" si="2"/>
        <v/>
      </c>
      <c r="AX3" s="39" t="str">
        <f t="shared" si="3"/>
        <v/>
      </c>
      <c r="AY3" s="39" t="str">
        <f t="shared" si="4"/>
        <v/>
      </c>
      <c r="AZ3" s="39" t="str">
        <f t="shared" si="5"/>
        <v/>
      </c>
      <c r="BA3" s="39" t="str">
        <f t="shared" si="6"/>
        <v/>
      </c>
      <c r="BB3" s="39"/>
      <c r="BC3" s="39"/>
      <c r="BD3" s="39" t="str">
        <f t="shared" si="7"/>
        <v/>
      </c>
      <c r="BE3" s="39" t="str">
        <f t="shared" si="8"/>
        <v/>
      </c>
      <c r="BF3" s="40" t="e">
        <f>IF(#REF!&lt;0,"",AX3&amp;AY3&amp;AZ3&amp;BA3&amp;BB3&amp;BC3&amp;BD3&amp;BE3)</f>
        <v>#REF!</v>
      </c>
      <c r="BG3" s="4" t="str">
        <f>IFERROR((IF((VLOOKUP($BO$1&amp;C3,TeamsProtajer!D:M,7,0))="","",", ")),"")</f>
        <v xml:space="preserve">, </v>
      </c>
      <c r="BH3" t="str">
        <f>IF(AND((VLOOKUP($BO$1&amp;C3,TeamsProtajer!D:M,7,0))="",AX3=""),"",", ")</f>
        <v xml:space="preserve">, </v>
      </c>
      <c r="BI3" s="2" t="str">
        <f>$BO$1&amp;2</f>
        <v>Old World Alliance2</v>
      </c>
      <c r="BJ3" t="str">
        <f>IFERROR(IF((VLOOKUP(BI3,TeamsProtajer!B:C,2,FALSE))=0,"",(VLOOKUP(BI3,TeamsProtajer!B:C,2,FALSE))),"")</f>
        <v>Lineman</v>
      </c>
      <c r="BK3" s="2"/>
      <c r="BL3" s="2"/>
      <c r="BM3" s="21" t="str">
        <f>IF($J$24="Español",CF3,(IF($J$24="Deutsch",CG3,(IF($J$24="Français",CH3,CE3)))))</f>
        <v>Alianza del Viejo Mundo</v>
      </c>
      <c r="BN3" s="2"/>
      <c r="BO3" s="2"/>
      <c r="BP3" s="2">
        <v>50000</v>
      </c>
      <c r="BQ3" s="2">
        <v>50000</v>
      </c>
      <c r="BR3" s="2">
        <v>0</v>
      </c>
      <c r="BS3" s="42" t="str">
        <f>IF($J$24="Español","Superliga Lustriana",(IF($J$24="Deutsch","Lustria-Superliga",(IF($J$24="Français","Super-Ligue de Lustrie","Lustrian Superleague")))))</f>
        <v>Superliga Lustriana</v>
      </c>
      <c r="BT3" s="3" t="s">
        <v>21</v>
      </c>
      <c r="BU3" s="3"/>
      <c r="BV3" s="3"/>
      <c r="BW3" s="3"/>
      <c r="BX3" s="3"/>
      <c r="BY3" s="2" t="s">
        <v>20</v>
      </c>
      <c r="BZ3" s="2" t="s">
        <v>1680</v>
      </c>
      <c r="CA3" s="44" t="s">
        <v>1681</v>
      </c>
      <c r="CB3" s="1" t="s">
        <v>1682</v>
      </c>
      <c r="CC3" s="25"/>
      <c r="CD3" s="25"/>
      <c r="CE3" s="2" t="s">
        <v>20</v>
      </c>
      <c r="CF3" s="2" t="s">
        <v>120</v>
      </c>
      <c r="CG3" s="44" t="s">
        <v>1681</v>
      </c>
      <c r="CH3" s="1" t="s">
        <v>122</v>
      </c>
      <c r="CI3" s="2"/>
      <c r="CJ3" s="2"/>
      <c r="CK3" s="2"/>
      <c r="CL3" s="23" t="s">
        <v>1475</v>
      </c>
      <c r="CM3" s="23" t="s">
        <v>1486</v>
      </c>
      <c r="CN3" s="43" t="s">
        <v>1488</v>
      </c>
      <c r="CO3" s="25" t="s">
        <v>1487</v>
      </c>
      <c r="CQ3" s="2"/>
      <c r="CR3" s="2"/>
      <c r="CS3" s="2"/>
      <c r="CT3" s="2"/>
      <c r="CU3" s="2"/>
      <c r="CV3" s="2"/>
      <c r="CW3" s="2"/>
      <c r="CX3" s="2"/>
      <c r="CY3" s="2"/>
      <c r="CZ3" s="2"/>
    </row>
    <row r="4" spans="1:104" ht="37.5" customHeight="1" x14ac:dyDescent="0.2">
      <c r="A4" s="33">
        <v>3</v>
      </c>
      <c r="B4" s="29"/>
      <c r="C4" s="205"/>
      <c r="D4" s="206"/>
      <c r="E4" s="206"/>
      <c r="F4" s="207"/>
      <c r="G4" s="35">
        <f>IF(C4="",0,(COUNTIF(C2:F17,C4)))</f>
        <v>0</v>
      </c>
      <c r="H4" s="36" t="s">
        <v>13</v>
      </c>
      <c r="I4" s="37">
        <f>IFERROR((VLOOKUP($BO$1&amp;C4,TeamsProtajer!D:M,10,0)),0)</f>
        <v>0</v>
      </c>
      <c r="J4" s="38">
        <f t="shared" si="0"/>
        <v>0</v>
      </c>
      <c r="K4" s="38">
        <f t="shared" si="0"/>
        <v>0</v>
      </c>
      <c r="L4" s="38" t="str">
        <f t="shared" si="1"/>
        <v>0+</v>
      </c>
      <c r="M4" s="38" t="str">
        <f t="shared" si="1"/>
        <v>0+</v>
      </c>
      <c r="N4" s="38" t="str">
        <f t="shared" si="1"/>
        <v>0+</v>
      </c>
      <c r="O4" s="200">
        <f>IFERROR((IF(AV4="YES",(VLOOKUP($BO$1&amp;C4,TeamsProtajer!D:M,7,0)),AW4)),"")</f>
        <v>0</v>
      </c>
      <c r="P4" s="201"/>
      <c r="Q4" s="201"/>
      <c r="R4" s="201"/>
      <c r="S4" s="201"/>
      <c r="T4" s="201"/>
      <c r="U4" s="201"/>
      <c r="V4" s="201"/>
      <c r="W4" s="201"/>
      <c r="X4" s="201"/>
      <c r="Y4" s="201"/>
      <c r="Z4" s="201"/>
      <c r="AA4" s="201"/>
      <c r="AB4" s="201"/>
      <c r="AC4" s="201"/>
      <c r="AD4" s="202"/>
      <c r="AE4" s="208"/>
      <c r="AF4" s="209"/>
      <c r="AG4" s="209"/>
      <c r="AH4" s="210"/>
      <c r="AI4" s="208"/>
      <c r="AJ4" s="209"/>
      <c r="AK4" s="209"/>
      <c r="AL4" s="210"/>
      <c r="AM4" s="203">
        <f>IFERROR((VLOOKUP($BO$1&amp;C4,TeamsProtajer!D:M,8,0)),0)</f>
        <v>0</v>
      </c>
      <c r="AN4" s="211"/>
      <c r="AO4" s="204"/>
      <c r="AP4" s="213"/>
      <c r="AQ4" s="1">
        <f>IFERROR((((VLOOKUP($BO$1&amp;C4,TeamsProtajer!D:M,9,0)+(AK4/1000)))),0)</f>
        <v>0</v>
      </c>
      <c r="AR4" s="2">
        <f>IFERROR((VLOOKUP($BO$1&amp;C4,TeamsProtajer!D:N,11,0)),0)</f>
        <v>0</v>
      </c>
      <c r="AS4" s="2" t="str">
        <f t="shared" si="9"/>
        <v/>
      </c>
      <c r="AT4" s="2" t="str">
        <f t="shared" si="10"/>
        <v/>
      </c>
      <c r="AU4" s="2"/>
      <c r="AV4" s="2" t="str">
        <f t="shared" si="11"/>
        <v>YES</v>
      </c>
      <c r="AW4" s="2" t="str">
        <f t="shared" si="2"/>
        <v/>
      </c>
      <c r="AX4" s="39" t="str">
        <f t="shared" si="3"/>
        <v/>
      </c>
      <c r="AY4" s="39" t="str">
        <f t="shared" si="4"/>
        <v/>
      </c>
      <c r="AZ4" s="39" t="str">
        <f t="shared" si="5"/>
        <v/>
      </c>
      <c r="BA4" s="39" t="str">
        <f t="shared" si="6"/>
        <v/>
      </c>
      <c r="BB4" s="39"/>
      <c r="BC4" s="39"/>
      <c r="BD4" s="39" t="str">
        <f t="shared" si="7"/>
        <v/>
      </c>
      <c r="BE4" s="39" t="str">
        <f t="shared" si="8"/>
        <v/>
      </c>
      <c r="BF4" s="40" t="e">
        <f>IF(#REF!&lt;0,"",AX4&amp;AY4&amp;AZ4&amp;BA4&amp;BB4&amp;BC4&amp;BD4&amp;BE4)</f>
        <v>#REF!</v>
      </c>
      <c r="BG4" s="4" t="str">
        <f>IFERROR((IF((VLOOKUP($BO$1&amp;C4,TeamsProtajer!D:M,7,0))="","",", ")),"")</f>
        <v xml:space="preserve">, </v>
      </c>
      <c r="BH4" t="str">
        <f>IF(AND((VLOOKUP($BO$1&amp;C4,TeamsProtajer!D:M,7,0))="",AX4=""),"",", ")</f>
        <v xml:space="preserve">, </v>
      </c>
      <c r="BI4" s="2" t="str">
        <f>$BO$1&amp;3</f>
        <v>Old World Alliance3</v>
      </c>
      <c r="BJ4" t="str">
        <f>IFERROR(IF((VLOOKUP(BI4,TeamsProtajer!B:C,2,FALSE))=0,"",(VLOOKUP(BI4,TeamsProtajer!B:C,2,FALSE))),"")</f>
        <v>Catcher</v>
      </c>
      <c r="BK4" s="2"/>
      <c r="BL4" s="2" t="s">
        <v>20</v>
      </c>
      <c r="BM4" s="21" t="str">
        <f t="shared" ref="BM4:BM32" si="12">IF($J$24="Español",CF4,(IF($J$24="Deutsch",CG4,(IF($J$24="Français",CH4,CE4)))))</f>
        <v>Altos Elfos</v>
      </c>
      <c r="BN4" s="2" t="s">
        <v>20</v>
      </c>
      <c r="BO4" s="23"/>
      <c r="BP4" s="23">
        <v>60000</v>
      </c>
      <c r="BQ4" s="23">
        <v>50000</v>
      </c>
      <c r="BR4" s="23">
        <v>0</v>
      </c>
      <c r="BS4" s="24" t="str">
        <f>IF($K$25="Español","Superliga Lustriana",(IF($K$25="Deutsch","Lustria-Superliga",(IF($K$25="Français","Super-Ligue de Lustrie","Lustrian Superleague")))))</f>
        <v>Lustrian Superleague</v>
      </c>
      <c r="BT4" s="24" t="s">
        <v>21</v>
      </c>
      <c r="BW4" s="23"/>
      <c r="BX4" s="3"/>
      <c r="BY4" s="23" t="s">
        <v>22</v>
      </c>
      <c r="BZ4" s="23" t="s">
        <v>26</v>
      </c>
      <c r="CA4" s="43" t="s">
        <v>27</v>
      </c>
      <c r="CB4" s="25" t="s">
        <v>28</v>
      </c>
      <c r="CC4" s="25"/>
      <c r="CD4" s="25"/>
      <c r="CE4" s="23" t="s">
        <v>22</v>
      </c>
      <c r="CF4" s="23" t="s">
        <v>74</v>
      </c>
      <c r="CG4" s="43" t="s">
        <v>27</v>
      </c>
      <c r="CH4" s="1" t="s">
        <v>1682</v>
      </c>
      <c r="CI4" s="2"/>
      <c r="CJ4" s="2"/>
      <c r="CK4" s="2"/>
      <c r="CL4" s="2"/>
      <c r="CM4" s="2"/>
      <c r="CN4" s="2"/>
      <c r="CO4" s="2"/>
      <c r="CP4" s="2"/>
      <c r="CQ4" s="2"/>
      <c r="CR4" s="2"/>
      <c r="CS4" s="2"/>
      <c r="CT4" s="2"/>
      <c r="CU4" s="2"/>
      <c r="CV4" s="2"/>
      <c r="CW4" s="2"/>
      <c r="CX4" s="2"/>
      <c r="CY4" s="2"/>
      <c r="CZ4" s="2"/>
    </row>
    <row r="5" spans="1:104" ht="37.5" customHeight="1" x14ac:dyDescent="0.2">
      <c r="A5" s="33">
        <v>4</v>
      </c>
      <c r="B5" s="29"/>
      <c r="C5" s="205"/>
      <c r="D5" s="206"/>
      <c r="E5" s="206"/>
      <c r="F5" s="207"/>
      <c r="G5" s="35">
        <f>IF(C5="",0,(COUNTIF(C2:F17,C5)))</f>
        <v>0</v>
      </c>
      <c r="H5" s="36" t="s">
        <v>13</v>
      </c>
      <c r="I5" s="37">
        <f>IFERROR((VLOOKUP($BO$1&amp;C5,TeamsProtajer!D:M,10,0)),0)</f>
        <v>0</v>
      </c>
      <c r="J5" s="38">
        <f t="shared" si="0"/>
        <v>0</v>
      </c>
      <c r="K5" s="38">
        <f t="shared" si="0"/>
        <v>0</v>
      </c>
      <c r="L5" s="38" t="str">
        <f t="shared" si="1"/>
        <v>0+</v>
      </c>
      <c r="M5" s="38" t="str">
        <f t="shared" si="1"/>
        <v>0+</v>
      </c>
      <c r="N5" s="38" t="str">
        <f t="shared" si="1"/>
        <v>0+</v>
      </c>
      <c r="O5" s="200">
        <f>IFERROR((IF(AV5="YES",(VLOOKUP($BO$1&amp;C5,TeamsProtajer!D:M,7,0)),AW5)),"")</f>
        <v>0</v>
      </c>
      <c r="P5" s="201"/>
      <c r="Q5" s="201"/>
      <c r="R5" s="201"/>
      <c r="S5" s="201"/>
      <c r="T5" s="201"/>
      <c r="U5" s="201"/>
      <c r="V5" s="201"/>
      <c r="W5" s="201"/>
      <c r="X5" s="201"/>
      <c r="Y5" s="201"/>
      <c r="Z5" s="201"/>
      <c r="AA5" s="201"/>
      <c r="AB5" s="201"/>
      <c r="AC5" s="201"/>
      <c r="AD5" s="202"/>
      <c r="AE5" s="208"/>
      <c r="AF5" s="209"/>
      <c r="AG5" s="209"/>
      <c r="AH5" s="210"/>
      <c r="AI5" s="208"/>
      <c r="AJ5" s="209"/>
      <c r="AK5" s="209"/>
      <c r="AL5" s="210"/>
      <c r="AM5" s="203">
        <f>IFERROR((VLOOKUP($BO$1&amp;C5,TeamsProtajer!D:M,8,0)),0)</f>
        <v>0</v>
      </c>
      <c r="AN5" s="211"/>
      <c r="AO5" s="204"/>
      <c r="AP5" s="213"/>
      <c r="AQ5" s="1">
        <f>IFERROR((((VLOOKUP($BO$1&amp;C5,TeamsProtajer!D:M,9,0)+(AK5/1000)))),0)</f>
        <v>0</v>
      </c>
      <c r="AR5" s="2">
        <f>IFERROR((VLOOKUP($BO$1&amp;C5,TeamsProtajer!D:N,11,0)),0)</f>
        <v>0</v>
      </c>
      <c r="AS5" s="2" t="str">
        <f t="shared" si="9"/>
        <v/>
      </c>
      <c r="AT5" s="2" t="str">
        <f t="shared" si="10"/>
        <v/>
      </c>
      <c r="AU5" s="2"/>
      <c r="AV5" s="2" t="str">
        <f t="shared" si="11"/>
        <v>YES</v>
      </c>
      <c r="AW5" s="2" t="str">
        <f t="shared" si="2"/>
        <v/>
      </c>
      <c r="AX5" s="39" t="str">
        <f t="shared" si="3"/>
        <v/>
      </c>
      <c r="AY5" s="39" t="str">
        <f t="shared" si="4"/>
        <v/>
      </c>
      <c r="AZ5" s="39" t="str">
        <f t="shared" si="5"/>
        <v/>
      </c>
      <c r="BA5" s="39" t="str">
        <f t="shared" si="6"/>
        <v/>
      </c>
      <c r="BB5" s="39"/>
      <c r="BC5" s="39"/>
      <c r="BD5" s="39" t="str">
        <f t="shared" si="7"/>
        <v/>
      </c>
      <c r="BE5" s="39" t="str">
        <f t="shared" si="8"/>
        <v/>
      </c>
      <c r="BF5" s="40" t="e">
        <f>IF(#REF!&lt;0,"",AX5&amp;AY5&amp;AZ5&amp;BA5&amp;BB5&amp;BC5&amp;BD5&amp;BE5)</f>
        <v>#REF!</v>
      </c>
      <c r="BG5" s="4" t="str">
        <f>IFERROR((IF((VLOOKUP($BO$1&amp;C5,TeamsProtajer!D:M,7,0))="","",", ")),"")</f>
        <v xml:space="preserve">, </v>
      </c>
      <c r="BH5" t="str">
        <f>IF(AND((VLOOKUP($BO$1&amp;C5,TeamsProtajer!D:M,7,0))="",AX5=""),"",", ")</f>
        <v xml:space="preserve">, </v>
      </c>
      <c r="BI5" s="2" t="str">
        <f>$BO$1&amp;4</f>
        <v>Old World Alliance4</v>
      </c>
      <c r="BJ5" t="str">
        <f>IFERROR(IF((VLOOKUP(BI5,TeamsProtajer!B:C,2,FALSE))=0,"",(VLOOKUP(BI5,TeamsProtajer!B:C,2,FALSE))),"")</f>
        <v>Thrower</v>
      </c>
      <c r="BK5" s="2"/>
      <c r="BL5" s="2" t="s">
        <v>22</v>
      </c>
      <c r="BM5" s="21" t="str">
        <f t="shared" si="12"/>
        <v>Amazonas</v>
      </c>
      <c r="BN5" s="2" t="s">
        <v>23</v>
      </c>
      <c r="BO5" s="2"/>
      <c r="BP5" s="2">
        <v>60000</v>
      </c>
      <c r="BQ5" s="2">
        <v>50000</v>
      </c>
      <c r="BR5" s="2">
        <v>1</v>
      </c>
      <c r="BS5" s="42" t="str">
        <f>IF($J$24="Español","Reyerta en las Yermas y Sobornos y Corrupción",(IF($J$24="Deutsch","Düsterland-Rauferei, Bestechung und Korruption",(IF($J$24="Français","Bagarre des Terres Arides et Chantage &amp; Corruption","Badlands Brawl and Bribery and Corruption")))))</f>
        <v>Reyerta en las Yermas y Sobornos y Corrupción</v>
      </c>
      <c r="BT5" s="3" t="s">
        <v>24</v>
      </c>
      <c r="BU5" s="3" t="s">
        <v>25</v>
      </c>
      <c r="BV5" s="3"/>
      <c r="BW5" s="3"/>
      <c r="BX5" s="3"/>
      <c r="BY5" s="23" t="s">
        <v>29</v>
      </c>
      <c r="BZ5" s="23" t="s">
        <v>32</v>
      </c>
      <c r="CA5" s="43" t="s">
        <v>33</v>
      </c>
      <c r="CB5" s="25" t="s">
        <v>34</v>
      </c>
      <c r="CC5" s="25"/>
      <c r="CD5" s="25"/>
      <c r="CE5" s="23" t="s">
        <v>29</v>
      </c>
      <c r="CF5" s="2" t="s">
        <v>1680</v>
      </c>
      <c r="CG5" s="43" t="s">
        <v>33</v>
      </c>
      <c r="CH5" s="1" t="s">
        <v>158</v>
      </c>
      <c r="CI5" s="2"/>
      <c r="CJ5" s="2"/>
      <c r="CK5" s="2"/>
      <c r="CL5" s="2"/>
      <c r="CM5" s="2"/>
      <c r="CN5" s="2"/>
      <c r="CO5" s="2"/>
      <c r="CP5" s="2"/>
      <c r="CQ5" s="2"/>
      <c r="CR5" s="2"/>
      <c r="CS5" s="2"/>
      <c r="CT5" s="2"/>
      <c r="CU5" s="2"/>
      <c r="CV5" s="2"/>
      <c r="CW5" s="2"/>
      <c r="CX5" s="2"/>
      <c r="CY5" s="2"/>
      <c r="CZ5" s="2"/>
    </row>
    <row r="6" spans="1:104" ht="37.5" customHeight="1" x14ac:dyDescent="0.2">
      <c r="A6" s="33">
        <v>5</v>
      </c>
      <c r="B6" s="29"/>
      <c r="C6" s="205"/>
      <c r="D6" s="206"/>
      <c r="E6" s="206"/>
      <c r="F6" s="207"/>
      <c r="G6" s="35">
        <f>IF(C6="",0,(COUNTIF(C2:F17,C6)))</f>
        <v>0</v>
      </c>
      <c r="H6" s="36" t="s">
        <v>13</v>
      </c>
      <c r="I6" s="37">
        <f>IFERROR((VLOOKUP($BO$1&amp;C6,TeamsProtajer!D:M,10,0)),0)</f>
        <v>0</v>
      </c>
      <c r="J6" s="38">
        <f t="shared" si="0"/>
        <v>0</v>
      </c>
      <c r="K6" s="38">
        <f t="shared" si="0"/>
        <v>0</v>
      </c>
      <c r="L6" s="38" t="str">
        <f t="shared" si="1"/>
        <v>0+</v>
      </c>
      <c r="M6" s="38" t="str">
        <f t="shared" si="1"/>
        <v>0+</v>
      </c>
      <c r="N6" s="38" t="str">
        <f t="shared" si="1"/>
        <v>0+</v>
      </c>
      <c r="O6" s="200">
        <f>IFERROR((IF(AV6="YES",(VLOOKUP($BO$1&amp;C6,TeamsProtajer!D:M,7,0)),AW6)),"")</f>
        <v>0</v>
      </c>
      <c r="P6" s="201"/>
      <c r="Q6" s="201"/>
      <c r="R6" s="201"/>
      <c r="S6" s="201"/>
      <c r="T6" s="201"/>
      <c r="U6" s="201"/>
      <c r="V6" s="201"/>
      <c r="W6" s="201"/>
      <c r="X6" s="201"/>
      <c r="Y6" s="201"/>
      <c r="Z6" s="201"/>
      <c r="AA6" s="201"/>
      <c r="AB6" s="201"/>
      <c r="AC6" s="201"/>
      <c r="AD6" s="202"/>
      <c r="AE6" s="208"/>
      <c r="AF6" s="209"/>
      <c r="AG6" s="209"/>
      <c r="AH6" s="210"/>
      <c r="AI6" s="208"/>
      <c r="AJ6" s="209"/>
      <c r="AK6" s="209"/>
      <c r="AL6" s="210"/>
      <c r="AM6" s="203">
        <f>IFERROR((VLOOKUP($BO$1&amp;C6,TeamsProtajer!D:M,8,0)),0)</f>
        <v>0</v>
      </c>
      <c r="AN6" s="211"/>
      <c r="AO6" s="204"/>
      <c r="AP6" s="213"/>
      <c r="AQ6" s="1">
        <f>IFERROR((((VLOOKUP($BO$1&amp;C6,TeamsProtajer!D:M,9,0)+(AK6/1000)))),0)</f>
        <v>0</v>
      </c>
      <c r="AR6" s="2">
        <f>IFERROR((VLOOKUP($BO$1&amp;C6,TeamsProtajer!D:N,11,0)),0)</f>
        <v>0</v>
      </c>
      <c r="AS6" s="2" t="str">
        <f t="shared" si="9"/>
        <v/>
      </c>
      <c r="AT6" s="2" t="str">
        <f t="shared" si="10"/>
        <v/>
      </c>
      <c r="AU6" s="2"/>
      <c r="AV6" s="2" t="str">
        <f t="shared" si="11"/>
        <v>YES</v>
      </c>
      <c r="AW6" s="2" t="str">
        <f t="shared" si="2"/>
        <v/>
      </c>
      <c r="AX6" s="39" t="str">
        <f t="shared" si="3"/>
        <v/>
      </c>
      <c r="AY6" s="39" t="str">
        <f t="shared" si="4"/>
        <v/>
      </c>
      <c r="AZ6" s="39" t="str">
        <f t="shared" si="5"/>
        <v/>
      </c>
      <c r="BA6" s="39" t="str">
        <f t="shared" si="6"/>
        <v/>
      </c>
      <c r="BB6" s="39"/>
      <c r="BC6" s="39"/>
      <c r="BD6" s="39" t="str">
        <f t="shared" si="7"/>
        <v/>
      </c>
      <c r="BE6" s="39" t="str">
        <f t="shared" si="8"/>
        <v/>
      </c>
      <c r="BF6" s="40" t="e">
        <f>IF(#REF!&lt;0,"",AX6&amp;AY6&amp;AZ6&amp;BA6&amp;BB6&amp;BC6&amp;BD6&amp;BE6)</f>
        <v>#REF!</v>
      </c>
      <c r="BG6" s="4" t="str">
        <f>IFERROR((IF((VLOOKUP($BO$1&amp;C6,TeamsProtajer!D:M,7,0))="","",", ")),"")</f>
        <v xml:space="preserve">, </v>
      </c>
      <c r="BH6" t="str">
        <f>IF(AND((VLOOKUP($BO$1&amp;C6,TeamsProtajer!D:M,7,0))="",AX6=""),"",", ")</f>
        <v xml:space="preserve">, </v>
      </c>
      <c r="BI6" s="2" t="str">
        <f>$BO$1&amp;5</f>
        <v>Old World Alliance5</v>
      </c>
      <c r="BJ6" t="str">
        <f>IFERROR(IF((VLOOKUP(BI6,TeamsProtajer!B:C,2,FALSE))=0,"",(VLOOKUP(BI6,TeamsProtajer!B:C,2,FALSE))),"")</f>
        <v>Blitzer</v>
      </c>
      <c r="BK6" s="2"/>
      <c r="BL6" s="2" t="s">
        <v>29</v>
      </c>
      <c r="BM6" s="21" t="str">
        <f t="shared" si="12"/>
        <v>Caos</v>
      </c>
      <c r="BN6" s="2" t="s">
        <v>30</v>
      </c>
      <c r="BO6" s="2"/>
      <c r="BP6" s="2">
        <v>60000</v>
      </c>
      <c r="BQ6" s="2">
        <v>50000</v>
      </c>
      <c r="BR6" s="2">
        <v>1</v>
      </c>
      <c r="BS6" s="42" t="str">
        <f>IF($J$24="Español","Elegido de…",(IF($J$24="Deutsch","Auserwählte des…",(IF($J$24="Français","Favoris de...","Favoured of…")))))</f>
        <v>Elegido de…</v>
      </c>
      <c r="BT6" s="3" t="s">
        <v>31</v>
      </c>
      <c r="BU6" s="3"/>
      <c r="BV6" s="3"/>
      <c r="BW6" s="3"/>
      <c r="BX6" s="3"/>
      <c r="BY6" s="2" t="s">
        <v>35</v>
      </c>
      <c r="BZ6" s="2" t="s">
        <v>38</v>
      </c>
      <c r="CA6" s="44" t="s">
        <v>39</v>
      </c>
      <c r="CB6" s="1" t="s">
        <v>40</v>
      </c>
      <c r="CE6" s="2" t="s">
        <v>35</v>
      </c>
      <c r="CF6" s="23" t="s">
        <v>32</v>
      </c>
      <c r="CG6" s="43" t="s">
        <v>44</v>
      </c>
      <c r="CH6" s="23" t="s">
        <v>51</v>
      </c>
      <c r="CI6" s="2"/>
      <c r="CJ6" s="2"/>
      <c r="CK6" s="2"/>
      <c r="CL6" s="2"/>
      <c r="CM6" s="2"/>
      <c r="CN6" s="2"/>
      <c r="CO6" s="2"/>
      <c r="CP6" s="2"/>
      <c r="CQ6" s="2"/>
      <c r="CR6" s="2"/>
      <c r="CS6" s="2"/>
      <c r="CT6" s="2"/>
      <c r="CU6" s="2"/>
      <c r="CV6" s="2"/>
      <c r="CW6" s="2"/>
      <c r="CX6" s="2"/>
      <c r="CY6" s="2"/>
      <c r="CZ6" s="2"/>
    </row>
    <row r="7" spans="1:104" ht="37.5" customHeight="1" x14ac:dyDescent="0.2">
      <c r="A7" s="33">
        <v>6</v>
      </c>
      <c r="B7" s="29"/>
      <c r="C7" s="205"/>
      <c r="D7" s="206"/>
      <c r="E7" s="206"/>
      <c r="F7" s="207"/>
      <c r="G7" s="35">
        <f>IF(C7="",0,(COUNTIF(C2:F17,C7)))</f>
        <v>0</v>
      </c>
      <c r="H7" s="36" t="s">
        <v>13</v>
      </c>
      <c r="I7" s="37">
        <f>IFERROR((VLOOKUP($BO$1&amp;C7,TeamsProtajer!D:M,10,0)),0)</f>
        <v>0</v>
      </c>
      <c r="J7" s="38">
        <f t="shared" si="0"/>
        <v>0</v>
      </c>
      <c r="K7" s="38">
        <f t="shared" si="0"/>
        <v>0</v>
      </c>
      <c r="L7" s="38" t="str">
        <f t="shared" si="1"/>
        <v>0+</v>
      </c>
      <c r="M7" s="38" t="str">
        <f t="shared" si="1"/>
        <v>0+</v>
      </c>
      <c r="N7" s="38" t="str">
        <f t="shared" si="1"/>
        <v>0+</v>
      </c>
      <c r="O7" s="200">
        <f>IFERROR((IF(AV7="YES",(VLOOKUP($BO$1&amp;C7,TeamsProtajer!D:M,7,0)),AW7)),"")</f>
        <v>0</v>
      </c>
      <c r="P7" s="201"/>
      <c r="Q7" s="201"/>
      <c r="R7" s="201"/>
      <c r="S7" s="201"/>
      <c r="T7" s="201"/>
      <c r="U7" s="201"/>
      <c r="V7" s="201"/>
      <c r="W7" s="201"/>
      <c r="X7" s="201"/>
      <c r="Y7" s="201"/>
      <c r="Z7" s="201"/>
      <c r="AA7" s="201"/>
      <c r="AB7" s="201"/>
      <c r="AC7" s="201"/>
      <c r="AD7" s="202"/>
      <c r="AE7" s="208"/>
      <c r="AF7" s="209"/>
      <c r="AG7" s="209"/>
      <c r="AH7" s="210"/>
      <c r="AI7" s="208"/>
      <c r="AJ7" s="209"/>
      <c r="AK7" s="209"/>
      <c r="AL7" s="210"/>
      <c r="AM7" s="203">
        <f>IFERROR((VLOOKUP($BO$1&amp;C7,TeamsProtajer!D:M,8,0)),0)</f>
        <v>0</v>
      </c>
      <c r="AN7" s="211"/>
      <c r="AO7" s="204"/>
      <c r="AP7" s="213"/>
      <c r="AQ7" s="1">
        <f>IFERROR((((VLOOKUP($BO$1&amp;C7,TeamsProtajer!D:M,9,0)+(AK7/1000)))),0)</f>
        <v>0</v>
      </c>
      <c r="AR7" s="2">
        <f>IFERROR((VLOOKUP($BO$1&amp;C7,TeamsProtajer!D:N,11,0)),0)</f>
        <v>0</v>
      </c>
      <c r="AS7" s="2" t="str">
        <f t="shared" si="9"/>
        <v/>
      </c>
      <c r="AT7" s="2" t="str">
        <f t="shared" si="10"/>
        <v/>
      </c>
      <c r="AU7" s="2"/>
      <c r="AV7" s="2" t="str">
        <f t="shared" si="11"/>
        <v>YES</v>
      </c>
      <c r="AW7" s="2" t="str">
        <f t="shared" si="2"/>
        <v/>
      </c>
      <c r="AX7" s="39" t="str">
        <f t="shared" si="3"/>
        <v/>
      </c>
      <c r="AY7" s="39" t="str">
        <f t="shared" si="4"/>
        <v/>
      </c>
      <c r="AZ7" s="39" t="str">
        <f t="shared" si="5"/>
        <v/>
      </c>
      <c r="BA7" s="39" t="str">
        <f t="shared" si="6"/>
        <v/>
      </c>
      <c r="BB7" s="39"/>
      <c r="BC7" s="39"/>
      <c r="BD7" s="39" t="str">
        <f t="shared" si="7"/>
        <v/>
      </c>
      <c r="BE7" s="39" t="str">
        <f t="shared" si="8"/>
        <v/>
      </c>
      <c r="BF7" s="40" t="e">
        <f>IF(#REF!&lt;0,"",AX7&amp;AY7&amp;AZ7&amp;BA7&amp;BB7&amp;BC7&amp;BD7&amp;BE7)</f>
        <v>#REF!</v>
      </c>
      <c r="BG7" s="4" t="str">
        <f>IFERROR((IF((VLOOKUP($BO$1&amp;C7,TeamsProtajer!D:M,7,0))="","",", ")),"")</f>
        <v xml:space="preserve">, </v>
      </c>
      <c r="BH7" t="str">
        <f>IF(AND((VLOOKUP($BO$1&amp;C7,TeamsProtajer!D:M,7,0))="",AX7=""),"",", ")</f>
        <v xml:space="preserve">, </v>
      </c>
      <c r="BI7" s="2" t="str">
        <f>$BO$1&amp;6</f>
        <v>Old World Alliance6</v>
      </c>
      <c r="BJ7" t="str">
        <f>IFERROR(IF((VLOOKUP(BI7,TeamsProtajer!B:C,2,FALSE))=0,"",(VLOOKUP(BI7,TeamsProtajer!B:C,2,FALSE))),"")</f>
        <v>Halfling Hopeful</v>
      </c>
      <c r="BK7" s="2"/>
      <c r="BL7" s="2"/>
      <c r="BM7" s="21" t="str">
        <f t="shared" si="12"/>
        <v>Elfos Oscuros</v>
      </c>
      <c r="BN7" s="2"/>
      <c r="BO7" s="2"/>
      <c r="BP7" s="2">
        <v>70000</v>
      </c>
      <c r="BQ7" s="2">
        <v>50000</v>
      </c>
      <c r="BR7" s="2">
        <v>1</v>
      </c>
      <c r="BS7" s="42"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Superliga del Fin del Mundo, Reyerta en las Yermas y Elegido de…</v>
      </c>
      <c r="BT7" s="3" t="s">
        <v>37</v>
      </c>
      <c r="BU7" s="3"/>
      <c r="BV7" s="3"/>
      <c r="BW7" s="3"/>
      <c r="BX7" s="3"/>
      <c r="BY7" s="23" t="s">
        <v>41</v>
      </c>
      <c r="BZ7" s="23" t="s">
        <v>43</v>
      </c>
      <c r="CA7" s="43" t="s">
        <v>44</v>
      </c>
      <c r="CB7" s="1" t="s">
        <v>45</v>
      </c>
      <c r="CC7" s="25"/>
      <c r="CD7" s="25"/>
      <c r="CE7" s="23" t="s">
        <v>41</v>
      </c>
      <c r="CF7" s="23" t="s">
        <v>49</v>
      </c>
      <c r="CG7" s="44" t="s">
        <v>39</v>
      </c>
      <c r="CH7" s="1" t="s">
        <v>164</v>
      </c>
      <c r="CI7" s="2"/>
      <c r="CJ7" s="2"/>
      <c r="CK7" s="2"/>
      <c r="CL7" s="2"/>
      <c r="CM7" s="2"/>
      <c r="CN7" s="2"/>
      <c r="CO7" s="2"/>
      <c r="CP7" s="2"/>
      <c r="CQ7" s="2"/>
      <c r="CR7" s="2"/>
      <c r="CS7" s="2"/>
      <c r="CT7" s="2"/>
      <c r="CU7" s="2"/>
      <c r="CV7" s="2"/>
      <c r="CW7" s="2"/>
      <c r="CX7" s="2"/>
      <c r="CY7" s="2"/>
      <c r="CZ7" s="2"/>
    </row>
    <row r="8" spans="1:104" ht="37.5" customHeight="1" x14ac:dyDescent="0.2">
      <c r="A8" s="33">
        <v>7</v>
      </c>
      <c r="B8" s="29"/>
      <c r="C8" s="205"/>
      <c r="D8" s="206"/>
      <c r="E8" s="206"/>
      <c r="F8" s="207"/>
      <c r="G8" s="35">
        <f>IF(C8="",0,(COUNTIF(C2:F17,C8)))</f>
        <v>0</v>
      </c>
      <c r="H8" s="36" t="s">
        <v>13</v>
      </c>
      <c r="I8" s="37">
        <f>IFERROR((VLOOKUP($BO$1&amp;C8,TeamsProtajer!D:M,10,0)),0)</f>
        <v>0</v>
      </c>
      <c r="J8" s="38">
        <f t="shared" si="0"/>
        <v>0</v>
      </c>
      <c r="K8" s="38">
        <f t="shared" si="0"/>
        <v>0</v>
      </c>
      <c r="L8" s="38" t="str">
        <f t="shared" si="1"/>
        <v>0+</v>
      </c>
      <c r="M8" s="38" t="str">
        <f t="shared" si="1"/>
        <v>0+</v>
      </c>
      <c r="N8" s="38" t="str">
        <f t="shared" si="1"/>
        <v>0+</v>
      </c>
      <c r="O8" s="200">
        <f>IFERROR((IF(AV8="YES",(VLOOKUP($BO$1&amp;C8,TeamsProtajer!D:M,7,0)),AW8)),"")</f>
        <v>0</v>
      </c>
      <c r="P8" s="201"/>
      <c r="Q8" s="201"/>
      <c r="R8" s="201"/>
      <c r="S8" s="201"/>
      <c r="T8" s="201"/>
      <c r="U8" s="201"/>
      <c r="V8" s="201"/>
      <c r="W8" s="201"/>
      <c r="X8" s="201"/>
      <c r="Y8" s="201"/>
      <c r="Z8" s="201"/>
      <c r="AA8" s="201"/>
      <c r="AB8" s="201"/>
      <c r="AC8" s="201"/>
      <c r="AD8" s="202"/>
      <c r="AE8" s="208"/>
      <c r="AF8" s="209"/>
      <c r="AG8" s="209"/>
      <c r="AH8" s="210"/>
      <c r="AI8" s="208"/>
      <c r="AJ8" s="209"/>
      <c r="AK8" s="209"/>
      <c r="AL8" s="210"/>
      <c r="AM8" s="203">
        <f>IFERROR((VLOOKUP($BO$1&amp;C8,TeamsProtajer!D:M,8,0)),0)</f>
        <v>0</v>
      </c>
      <c r="AN8" s="211"/>
      <c r="AO8" s="204"/>
      <c r="AP8" s="213"/>
      <c r="AQ8" s="1">
        <f>IFERROR((((VLOOKUP($BO$1&amp;C8,TeamsProtajer!D:M,9,0)+(AK8/1000)))),0)</f>
        <v>0</v>
      </c>
      <c r="AR8" s="2">
        <f>IFERROR((VLOOKUP($BO$1&amp;C8,TeamsProtajer!D:N,11,0)),0)</f>
        <v>0</v>
      </c>
      <c r="AS8" s="2" t="str">
        <f t="shared" si="9"/>
        <v/>
      </c>
      <c r="AT8" s="2" t="str">
        <f t="shared" si="10"/>
        <v/>
      </c>
      <c r="AU8" s="2"/>
      <c r="AV8" s="2" t="str">
        <f t="shared" si="11"/>
        <v>YES</v>
      </c>
      <c r="AW8" s="2" t="str">
        <f t="shared" si="2"/>
        <v/>
      </c>
      <c r="AX8" s="39" t="str">
        <f t="shared" si="3"/>
        <v/>
      </c>
      <c r="AY8" s="39" t="str">
        <f t="shared" si="4"/>
        <v/>
      </c>
      <c r="AZ8" s="39" t="str">
        <f t="shared" si="5"/>
        <v/>
      </c>
      <c r="BA8" s="39" t="str">
        <f t="shared" si="6"/>
        <v/>
      </c>
      <c r="BB8" s="39"/>
      <c r="BC8" s="39"/>
      <c r="BD8" s="39" t="str">
        <f t="shared" si="7"/>
        <v/>
      </c>
      <c r="BE8" s="39" t="str">
        <f t="shared" si="8"/>
        <v/>
      </c>
      <c r="BF8" s="40" t="e">
        <f>IF(#REF!&lt;0,"",AX8&amp;AY8&amp;AZ8&amp;BA8&amp;BB8&amp;BC8&amp;BD8&amp;BE8)</f>
        <v>#REF!</v>
      </c>
      <c r="BG8" s="4" t="str">
        <f>IFERROR((IF((VLOOKUP($BO$1&amp;C8,TeamsProtajer!D:M,7,0))="","",", ")),"")</f>
        <v xml:space="preserve">, </v>
      </c>
      <c r="BH8" t="str">
        <f>IF(AND((VLOOKUP($BO$1&amp;C8,TeamsProtajer!D:M,7,0))="",AX8=""),"",", ")</f>
        <v xml:space="preserve">, </v>
      </c>
      <c r="BI8" s="2" t="str">
        <f>$BO$1&amp;7</f>
        <v>Old World Alliance7</v>
      </c>
      <c r="BJ8" t="str">
        <f>IFERROR(IF((VLOOKUP(BI8,TeamsProtajer!B:C,2,FALSE))=0,"",(VLOOKUP(BI8,TeamsProtajer!B:C,2,FALSE))),"")</f>
        <v>Dwarf Blocker</v>
      </c>
      <c r="BK8" s="2"/>
      <c r="BL8" s="2" t="s">
        <v>35</v>
      </c>
      <c r="BM8" s="21" t="str">
        <f t="shared" si="12"/>
        <v>Elfos Pro</v>
      </c>
      <c r="BN8" s="2" t="s">
        <v>36</v>
      </c>
      <c r="BP8" s="2">
        <v>70000</v>
      </c>
      <c r="BQ8" s="2">
        <v>50000</v>
      </c>
      <c r="BR8" s="2">
        <v>1</v>
      </c>
      <c r="BS8" s="42" t="str">
        <f>IF($J$24="Español","Reyerta en las Yermas y Elegido de Hashut",(IF($J$24="Deutsch","Düsterland-Rauferei und Auserwählte des Hashut",(IF($J$24="Français","Baggare des Terres Arides et Favoris de Hashut","Badlands Brawl and Favoured of Hashut")))))</f>
        <v>Reyerta en las Yermas y Elegido de Hashut</v>
      </c>
      <c r="BT8" s="3" t="s">
        <v>1508</v>
      </c>
      <c r="BX8" s="3"/>
      <c r="BY8" s="23" t="s">
        <v>46</v>
      </c>
      <c r="BZ8" s="23" t="s">
        <v>49</v>
      </c>
      <c r="CA8" s="24" t="s">
        <v>50</v>
      </c>
      <c r="CB8" s="23" t="s">
        <v>51</v>
      </c>
      <c r="CC8" s="25"/>
      <c r="CD8" s="25"/>
      <c r="CE8" s="23" t="s">
        <v>46</v>
      </c>
      <c r="CF8" s="23" t="s">
        <v>59</v>
      </c>
      <c r="CG8" s="24" t="s">
        <v>50</v>
      </c>
      <c r="CH8" s="25" t="s">
        <v>34</v>
      </c>
      <c r="CI8" s="2"/>
      <c r="CJ8" s="2"/>
      <c r="CK8" s="2"/>
      <c r="CL8" s="2"/>
      <c r="CM8" s="2"/>
      <c r="CN8" s="2"/>
      <c r="CO8" s="2"/>
      <c r="CP8" s="2"/>
      <c r="CQ8" s="2"/>
      <c r="CR8" s="2"/>
      <c r="CS8" s="2"/>
      <c r="CT8" s="2"/>
      <c r="CU8" s="2"/>
      <c r="CV8" s="2"/>
      <c r="CW8" s="2"/>
      <c r="CX8" s="2"/>
      <c r="CY8" s="2"/>
      <c r="CZ8" s="2"/>
    </row>
    <row r="9" spans="1:104" ht="37.5" customHeight="1" x14ac:dyDescent="0.2">
      <c r="A9" s="33">
        <v>8</v>
      </c>
      <c r="B9" s="29"/>
      <c r="C9" s="205"/>
      <c r="D9" s="206"/>
      <c r="E9" s="206"/>
      <c r="F9" s="207"/>
      <c r="G9" s="35">
        <f>IF(C9="",0,(COUNTIF(C2:F17,C9)))</f>
        <v>0</v>
      </c>
      <c r="H9" s="36" t="s">
        <v>13</v>
      </c>
      <c r="I9" s="37">
        <f>IFERROR((VLOOKUP($BO$1&amp;C9,TeamsProtajer!D:M,10,0)),0)</f>
        <v>0</v>
      </c>
      <c r="J9" s="38">
        <f t="shared" si="0"/>
        <v>0</v>
      </c>
      <c r="K9" s="38">
        <f t="shared" si="0"/>
        <v>0</v>
      </c>
      <c r="L9" s="38" t="str">
        <f t="shared" si="1"/>
        <v>0+</v>
      </c>
      <c r="M9" s="38" t="str">
        <f t="shared" si="1"/>
        <v>0+</v>
      </c>
      <c r="N9" s="38" t="str">
        <f t="shared" si="1"/>
        <v>0+</v>
      </c>
      <c r="O9" s="200">
        <f>IFERROR((IF(AV9="YES",(VLOOKUP($BO$1&amp;C9,TeamsProtajer!D:M,7,0)),AW9)),"")</f>
        <v>0</v>
      </c>
      <c r="P9" s="201"/>
      <c r="Q9" s="201"/>
      <c r="R9" s="201"/>
      <c r="S9" s="201"/>
      <c r="T9" s="201"/>
      <c r="U9" s="201"/>
      <c r="V9" s="201"/>
      <c r="W9" s="201"/>
      <c r="X9" s="201"/>
      <c r="Y9" s="201"/>
      <c r="Z9" s="201"/>
      <c r="AA9" s="201"/>
      <c r="AB9" s="201"/>
      <c r="AC9" s="201"/>
      <c r="AD9" s="202"/>
      <c r="AE9" s="208"/>
      <c r="AF9" s="209"/>
      <c r="AG9" s="209"/>
      <c r="AH9" s="210"/>
      <c r="AI9" s="208"/>
      <c r="AJ9" s="209"/>
      <c r="AK9" s="209"/>
      <c r="AL9" s="210"/>
      <c r="AM9" s="203">
        <f>IFERROR((VLOOKUP($BO$1&amp;C9,TeamsProtajer!D:M,8,0)),0)</f>
        <v>0</v>
      </c>
      <c r="AN9" s="211"/>
      <c r="AO9" s="204"/>
      <c r="AP9" s="213"/>
      <c r="AQ9" s="1">
        <f>IFERROR((((VLOOKUP($BO$1&amp;C9,TeamsProtajer!D:M,9,0)+(AK9/1000)))),0)</f>
        <v>0</v>
      </c>
      <c r="AR9" s="2">
        <f>IFERROR((VLOOKUP($BO$1&amp;C9,TeamsProtajer!D:N,11,0)),0)</f>
        <v>0</v>
      </c>
      <c r="AS9" s="2" t="str">
        <f t="shared" si="9"/>
        <v/>
      </c>
      <c r="AT9" s="2" t="str">
        <f t="shared" si="10"/>
        <v/>
      </c>
      <c r="AU9" s="2"/>
      <c r="AV9" s="2" t="str">
        <f t="shared" si="11"/>
        <v>YES</v>
      </c>
      <c r="AW9" s="2" t="str">
        <f t="shared" si="2"/>
        <v/>
      </c>
      <c r="AX9" s="39" t="str">
        <f t="shared" si="3"/>
        <v/>
      </c>
      <c r="AY9" s="39" t="str">
        <f t="shared" si="4"/>
        <v/>
      </c>
      <c r="AZ9" s="39" t="str">
        <f t="shared" si="5"/>
        <v/>
      </c>
      <c r="BA9" s="39" t="str">
        <f t="shared" si="6"/>
        <v/>
      </c>
      <c r="BB9" s="39"/>
      <c r="BC9" s="39"/>
      <c r="BD9" s="39" t="str">
        <f t="shared" si="7"/>
        <v/>
      </c>
      <c r="BE9" s="39" t="str">
        <f t="shared" si="8"/>
        <v/>
      </c>
      <c r="BF9" s="40" t="e">
        <f>IF(#REF!&lt;0,"",AX9&amp;AY9&amp;AZ9&amp;BA9&amp;BB9&amp;BC9&amp;BD9&amp;BE9)</f>
        <v>#REF!</v>
      </c>
      <c r="BG9" s="4" t="str">
        <f>IFERROR((IF((VLOOKUP($BO$1&amp;C9,TeamsProtajer!D:M,7,0))="","",", ")),"")</f>
        <v xml:space="preserve">, </v>
      </c>
      <c r="BH9" t="str">
        <f>IF(AND((VLOOKUP($BO$1&amp;C9,TeamsProtajer!D:M,7,0))="",AX9=""),"",", ")</f>
        <v xml:space="preserve">, </v>
      </c>
      <c r="BI9" s="2" t="str">
        <f>$BO$1&amp;8</f>
        <v>Old World Alliance8</v>
      </c>
      <c r="BJ9" t="str">
        <f>IFERROR(IF((VLOOKUP(BI9,TeamsProtajer!B:C,2,FALSE))=0,"",(VLOOKUP(BI9,TeamsProtajer!B:C,2,FALSE))),"")</f>
        <v>Dwarf Runner</v>
      </c>
      <c r="BK9" s="2"/>
      <c r="BL9" s="2" t="s">
        <v>41</v>
      </c>
      <c r="BM9" s="21" t="str">
        <f t="shared" si="12"/>
        <v>Elfos Silvanos</v>
      </c>
      <c r="BN9" s="2" t="s">
        <v>42</v>
      </c>
      <c r="BO9" s="2"/>
      <c r="BP9" s="2">
        <v>70000</v>
      </c>
      <c r="BQ9" s="2">
        <v>50000</v>
      </c>
      <c r="BR9" s="2">
        <v>3</v>
      </c>
      <c r="BS9" s="42" t="str">
        <f>IF($J$24="Español","Elegido de…",(IF($J$24="Deutsch","Auserwählte des…",(IF($J$24="Français","Favoris de...","Favoured of…")))))</f>
        <v>Elegido de…</v>
      </c>
      <c r="BT9" s="3" t="s">
        <v>31</v>
      </c>
      <c r="BU9" s="3"/>
      <c r="BV9" s="3"/>
      <c r="BW9" s="3"/>
      <c r="BX9" s="3"/>
      <c r="BY9" s="23" t="s">
        <v>52</v>
      </c>
      <c r="BZ9" s="23" t="s">
        <v>54</v>
      </c>
      <c r="CA9" s="24" t="s">
        <v>55</v>
      </c>
      <c r="CB9" s="23" t="s">
        <v>56</v>
      </c>
      <c r="CC9" s="23"/>
      <c r="CD9" s="25"/>
      <c r="CE9" s="23" t="s">
        <v>52</v>
      </c>
      <c r="CF9" s="2" t="s">
        <v>162</v>
      </c>
      <c r="CG9" s="3" t="s">
        <v>60</v>
      </c>
      <c r="CH9" s="25" t="s">
        <v>1451</v>
      </c>
      <c r="CI9" s="2"/>
      <c r="CJ9" s="2"/>
      <c r="CK9" s="2"/>
      <c r="CL9" s="2"/>
      <c r="CM9" s="2"/>
      <c r="CN9" s="2"/>
      <c r="CO9" s="2"/>
      <c r="CP9" s="2"/>
      <c r="CQ9" s="2"/>
      <c r="CR9" s="2"/>
      <c r="CS9" s="2"/>
      <c r="CT9" s="2"/>
      <c r="CU9" s="2"/>
      <c r="CV9" s="2"/>
      <c r="CW9" s="2"/>
      <c r="CX9" s="2"/>
      <c r="CY9" s="2"/>
      <c r="CZ9" s="2"/>
    </row>
    <row r="10" spans="1:104" ht="37.5" customHeight="1" x14ac:dyDescent="0.2">
      <c r="A10" s="33">
        <v>9</v>
      </c>
      <c r="B10" s="29"/>
      <c r="C10" s="205"/>
      <c r="D10" s="206"/>
      <c r="E10" s="206"/>
      <c r="F10" s="207"/>
      <c r="G10" s="35">
        <f>IF(C10="",0,(COUNTIF(C2:F17,C10)))</f>
        <v>0</v>
      </c>
      <c r="H10" s="36" t="s">
        <v>13</v>
      </c>
      <c r="I10" s="37">
        <f>IFERROR((VLOOKUP($BO$1&amp;C10,TeamsProtajer!D:M,10,0)),0)</f>
        <v>0</v>
      </c>
      <c r="J10" s="38">
        <f t="shared" si="0"/>
        <v>0</v>
      </c>
      <c r="K10" s="38">
        <f t="shared" si="0"/>
        <v>0</v>
      </c>
      <c r="L10" s="38" t="str">
        <f t="shared" si="1"/>
        <v>0+</v>
      </c>
      <c r="M10" s="38" t="str">
        <f t="shared" si="1"/>
        <v>0+</v>
      </c>
      <c r="N10" s="38" t="str">
        <f t="shared" si="1"/>
        <v>0+</v>
      </c>
      <c r="O10" s="200">
        <f>IFERROR((IF(AV10="YES",(VLOOKUP($BO$1&amp;C10,TeamsProtajer!D:M,7,0)),AW10)),"")</f>
        <v>0</v>
      </c>
      <c r="P10" s="201"/>
      <c r="Q10" s="201"/>
      <c r="R10" s="201"/>
      <c r="S10" s="201"/>
      <c r="T10" s="201"/>
      <c r="U10" s="201"/>
      <c r="V10" s="201"/>
      <c r="W10" s="201"/>
      <c r="X10" s="201"/>
      <c r="Y10" s="201"/>
      <c r="Z10" s="201"/>
      <c r="AA10" s="201"/>
      <c r="AB10" s="201"/>
      <c r="AC10" s="201"/>
      <c r="AD10" s="202"/>
      <c r="AE10" s="208"/>
      <c r="AF10" s="209"/>
      <c r="AG10" s="209"/>
      <c r="AH10" s="210"/>
      <c r="AI10" s="208"/>
      <c r="AJ10" s="209"/>
      <c r="AK10" s="209"/>
      <c r="AL10" s="210"/>
      <c r="AM10" s="203">
        <f>IFERROR((VLOOKUP($BO$1&amp;C10,TeamsProtajer!D:M,8,0)),0)</f>
        <v>0</v>
      </c>
      <c r="AN10" s="211"/>
      <c r="AO10" s="204"/>
      <c r="AP10" s="213"/>
      <c r="AQ10" s="1">
        <f>IFERROR((((VLOOKUP($BO$1&amp;C10,TeamsProtajer!D:M,9,0)+(AK10/1000)))),0)</f>
        <v>0</v>
      </c>
      <c r="AR10" s="2">
        <f>IFERROR((VLOOKUP($BO$1&amp;C10,TeamsProtajer!D:N,11,0)),0)</f>
        <v>0</v>
      </c>
      <c r="AS10" s="2" t="str">
        <f t="shared" si="9"/>
        <v/>
      </c>
      <c r="AT10" s="2" t="str">
        <f t="shared" si="10"/>
        <v/>
      </c>
      <c r="AU10" s="2"/>
      <c r="AV10" s="2" t="str">
        <f t="shared" si="11"/>
        <v>YES</v>
      </c>
      <c r="AW10" s="2" t="str">
        <f t="shared" si="2"/>
        <v/>
      </c>
      <c r="AX10" s="39" t="str">
        <f t="shared" si="3"/>
        <v/>
      </c>
      <c r="AY10" s="39" t="str">
        <f t="shared" si="4"/>
        <v/>
      </c>
      <c r="AZ10" s="39" t="str">
        <f t="shared" si="5"/>
        <v/>
      </c>
      <c r="BA10" s="39" t="str">
        <f t="shared" si="6"/>
        <v/>
      </c>
      <c r="BB10" s="39"/>
      <c r="BC10" s="39"/>
      <c r="BD10" s="39" t="str">
        <f t="shared" si="7"/>
        <v/>
      </c>
      <c r="BE10" s="39" t="str">
        <f t="shared" si="8"/>
        <v/>
      </c>
      <c r="BF10" s="40" t="e">
        <f>IF(#REF!&lt;0,"",AX10&amp;AY10&amp;AZ10&amp;BA10&amp;BB10&amp;BC10&amp;BD10&amp;BE10)</f>
        <v>#REF!</v>
      </c>
      <c r="BG10" s="4" t="str">
        <f>IFERROR((IF((VLOOKUP($BO$1&amp;C10,TeamsProtajer!D:M,7,0))="","",", ")),"")</f>
        <v xml:space="preserve">, </v>
      </c>
      <c r="BH10" t="str">
        <f>IF(AND((VLOOKUP($BO$1&amp;C10,TeamsProtajer!D:M,7,0))="",AX10=""),"",", ")</f>
        <v xml:space="preserve">, </v>
      </c>
      <c r="BI10" s="2" t="str">
        <f>$BO$1&amp;9</f>
        <v>Old World Alliance9</v>
      </c>
      <c r="BJ10" t="str">
        <f>IFERROR(IF((VLOOKUP(BI10,TeamsProtajer!B:C,2,FALSE))=0,"",(VLOOKUP(BI10,TeamsProtajer!B:C,2,FALSE))),"")</f>
        <v>Dwarf Blitzer</v>
      </c>
      <c r="BK10" s="2"/>
      <c r="BL10" s="2" t="s">
        <v>46</v>
      </c>
      <c r="BM10" s="21" t="str">
        <f t="shared" si="12"/>
        <v>Enanos</v>
      </c>
      <c r="BN10" s="2" t="s">
        <v>47</v>
      </c>
      <c r="BO10" s="2"/>
      <c r="BP10" s="2">
        <v>50000</v>
      </c>
      <c r="BQ10" s="2">
        <v>50000</v>
      </c>
      <c r="BR10" s="2">
        <v>0</v>
      </c>
      <c r="BS10" s="42" t="str">
        <f>IF($J$24="Español","Liga de los Reinos Elfos",(IF($J$24="Deutsch","Liga der Elfenkönigreiche",(IF($J$24="Français","Ligue des Royaumes Elfiques","Elven Kingdoms League")))))</f>
        <v>Liga de los Reinos Elfos</v>
      </c>
      <c r="BT10" s="3" t="s">
        <v>48</v>
      </c>
      <c r="BU10" s="3"/>
      <c r="BV10" s="3"/>
      <c r="BW10" s="3"/>
      <c r="BX10" s="3"/>
      <c r="BY10" s="23" t="s">
        <v>57</v>
      </c>
      <c r="BZ10" s="23" t="s">
        <v>59</v>
      </c>
      <c r="CA10" s="3" t="s">
        <v>60</v>
      </c>
      <c r="CB10" s="23" t="s">
        <v>61</v>
      </c>
      <c r="CC10" s="23"/>
      <c r="CD10" s="25"/>
      <c r="CE10" s="23" t="s">
        <v>57</v>
      </c>
      <c r="CF10" s="23" t="s">
        <v>54</v>
      </c>
      <c r="CG10" s="15" t="s">
        <v>1490</v>
      </c>
      <c r="CH10" s="2" t="s">
        <v>66</v>
      </c>
      <c r="CI10" s="2"/>
      <c r="CJ10" s="2"/>
      <c r="CK10" s="2"/>
      <c r="CL10" s="2"/>
      <c r="CM10" s="2"/>
      <c r="CN10" s="2"/>
      <c r="CO10" s="2"/>
      <c r="CP10" s="2"/>
      <c r="CQ10" s="2"/>
      <c r="CR10" s="2"/>
      <c r="CS10" s="2"/>
      <c r="CT10" s="2"/>
      <c r="CU10" s="2"/>
      <c r="CV10" s="2"/>
      <c r="CW10" s="2"/>
      <c r="CX10" s="2"/>
      <c r="CY10" s="2"/>
      <c r="CZ10" s="2"/>
    </row>
    <row r="11" spans="1:104" ht="37.5" customHeight="1" x14ac:dyDescent="0.2">
      <c r="A11" s="33">
        <v>10</v>
      </c>
      <c r="B11" s="29"/>
      <c r="C11" s="205"/>
      <c r="D11" s="206"/>
      <c r="E11" s="206"/>
      <c r="F11" s="207"/>
      <c r="G11" s="35">
        <f>IF(C11="",0,(COUNTIF(C2:F17,C11)))</f>
        <v>0</v>
      </c>
      <c r="H11" s="36" t="s">
        <v>13</v>
      </c>
      <c r="I11" s="37">
        <f>IFERROR((VLOOKUP($BO$1&amp;C11,TeamsProtajer!D:M,10,0)),0)</f>
        <v>0</v>
      </c>
      <c r="J11" s="38">
        <f t="shared" si="0"/>
        <v>0</v>
      </c>
      <c r="K11" s="38">
        <f t="shared" si="0"/>
        <v>0</v>
      </c>
      <c r="L11" s="38" t="str">
        <f t="shared" si="1"/>
        <v>0+</v>
      </c>
      <c r="M11" s="38" t="str">
        <f t="shared" si="1"/>
        <v>0+</v>
      </c>
      <c r="N11" s="38" t="str">
        <f t="shared" si="1"/>
        <v>0+</v>
      </c>
      <c r="O11" s="200">
        <f>IFERROR((IF(AV11="YES",(VLOOKUP($BO$1&amp;C11,TeamsProtajer!D:M,7,0)),AW11)),"")</f>
        <v>0</v>
      </c>
      <c r="P11" s="201"/>
      <c r="Q11" s="201"/>
      <c r="R11" s="201"/>
      <c r="S11" s="201"/>
      <c r="T11" s="201"/>
      <c r="U11" s="201"/>
      <c r="V11" s="201"/>
      <c r="W11" s="201"/>
      <c r="X11" s="201"/>
      <c r="Y11" s="201"/>
      <c r="Z11" s="201"/>
      <c r="AA11" s="201"/>
      <c r="AB11" s="201"/>
      <c r="AC11" s="201"/>
      <c r="AD11" s="202"/>
      <c r="AE11" s="208"/>
      <c r="AF11" s="209"/>
      <c r="AG11" s="209"/>
      <c r="AH11" s="210"/>
      <c r="AI11" s="208"/>
      <c r="AJ11" s="209"/>
      <c r="AK11" s="209"/>
      <c r="AL11" s="210"/>
      <c r="AM11" s="203">
        <f>IFERROR((VLOOKUP($BO$1&amp;C11,TeamsProtajer!D:M,8,0)),0)</f>
        <v>0</v>
      </c>
      <c r="AN11" s="211"/>
      <c r="AO11" s="204"/>
      <c r="AP11" s="213"/>
      <c r="AQ11" s="1">
        <f>IFERROR((((VLOOKUP($BO$1&amp;C11,TeamsProtajer!D:M,9,0)+(AK11/1000)))),0)</f>
        <v>0</v>
      </c>
      <c r="AR11" s="2">
        <f>IFERROR((VLOOKUP($BO$1&amp;C11,TeamsProtajer!D:N,11,0)),0)</f>
        <v>0</v>
      </c>
      <c r="AS11" s="2" t="str">
        <f t="shared" si="9"/>
        <v/>
      </c>
      <c r="AT11" s="2" t="str">
        <f t="shared" si="10"/>
        <v/>
      </c>
      <c r="AU11" s="2"/>
      <c r="AV11" s="2" t="str">
        <f t="shared" si="11"/>
        <v>YES</v>
      </c>
      <c r="AW11" s="2" t="str">
        <f t="shared" si="2"/>
        <v/>
      </c>
      <c r="AX11" s="39" t="str">
        <f t="shared" si="3"/>
        <v/>
      </c>
      <c r="AY11" s="39" t="str">
        <f t="shared" si="4"/>
        <v/>
      </c>
      <c r="AZ11" s="39" t="str">
        <f t="shared" si="5"/>
        <v/>
      </c>
      <c r="BA11" s="39" t="str">
        <f t="shared" si="6"/>
        <v/>
      </c>
      <c r="BB11" s="39"/>
      <c r="BC11" s="39"/>
      <c r="BD11" s="39" t="str">
        <f t="shared" si="7"/>
        <v/>
      </c>
      <c r="BE11" s="39" t="str">
        <f t="shared" si="8"/>
        <v/>
      </c>
      <c r="BF11" s="40" t="e">
        <f>IF(#REF!&lt;0,"",AX11&amp;AY11&amp;AZ11&amp;BA11&amp;BB11&amp;BC11&amp;BD11&amp;BE11)</f>
        <v>#REF!</v>
      </c>
      <c r="BG11" s="4" t="str">
        <f>IFERROR((IF((VLOOKUP($BO$1&amp;C11,TeamsProtajer!D:M,7,0))="","",", ")),"")</f>
        <v xml:space="preserve">, </v>
      </c>
      <c r="BH11" t="str">
        <f>IF(AND((VLOOKUP($BO$1&amp;C11,TeamsProtajer!D:M,7,0))="",AX11=""),"",", ")</f>
        <v xml:space="preserve">, </v>
      </c>
      <c r="BI11" s="2" t="str">
        <f>$BO$1&amp;10</f>
        <v>Old World Alliance10</v>
      </c>
      <c r="BJ11" t="str">
        <f>IFERROR(IF((VLOOKUP(BI11,TeamsProtajer!B:C,2,FALSE))=0,"",(VLOOKUP(BI11,TeamsProtajer!B:C,2,FALSE))),"")</f>
        <v>Dwarf Troll Slayer</v>
      </c>
      <c r="BK11" s="2"/>
      <c r="BL11" s="2" t="s">
        <v>52</v>
      </c>
      <c r="BM11" s="21" t="str">
        <f t="shared" si="12"/>
        <v>Enanos del Caos</v>
      </c>
      <c r="BN11" s="2" t="s">
        <v>52</v>
      </c>
      <c r="BO11" s="2"/>
      <c r="BP11" s="2">
        <v>50000</v>
      </c>
      <c r="BQ11" s="2">
        <v>50000</v>
      </c>
      <c r="BR11" s="2">
        <v>1</v>
      </c>
      <c r="BS11" s="42" t="str">
        <f>IF($J$24="Español","Clásica del Viejo Mundo y Superliga del Fin del Mundo",(IF($J$24="Deutsch","Alte-Welt-Klassiker und Weltrandsuperliga",(IF($J$24="Français","Classique du Vieux Monde et Super-Ligue du Bord du Monde","Old World Classic and Worlds Edge Superleague")))))</f>
        <v>Clásica del Viejo Mundo y Superliga del Fin del Mundo</v>
      </c>
      <c r="BT11" s="3" t="s">
        <v>53</v>
      </c>
      <c r="BU11" s="3"/>
      <c r="BV11" s="3"/>
      <c r="BW11" s="3"/>
      <c r="BX11" s="3"/>
      <c r="BY11" s="23" t="s">
        <v>62</v>
      </c>
      <c r="BZ11" s="23" t="s">
        <v>64</v>
      </c>
      <c r="CA11" s="24" t="s">
        <v>65</v>
      </c>
      <c r="CB11" s="2" t="s">
        <v>66</v>
      </c>
      <c r="CC11" s="23"/>
      <c r="CD11" s="25"/>
      <c r="CE11" s="25" t="s">
        <v>1431</v>
      </c>
      <c r="CF11" s="2" t="s">
        <v>38</v>
      </c>
      <c r="CG11" s="24" t="s">
        <v>65</v>
      </c>
      <c r="CH11" s="23" t="s">
        <v>71</v>
      </c>
      <c r="CI11" s="2"/>
      <c r="CJ11" s="2"/>
      <c r="CK11" s="2"/>
      <c r="CL11" s="2"/>
      <c r="CM11" s="2"/>
      <c r="CN11" s="2"/>
      <c r="CO11" s="2"/>
      <c r="CP11" s="2"/>
      <c r="CQ11" s="2"/>
      <c r="CR11" s="2"/>
      <c r="CS11" s="2"/>
      <c r="CT11" s="2"/>
      <c r="CU11" s="2"/>
      <c r="CV11" s="2"/>
      <c r="CW11" s="2"/>
      <c r="CX11" s="2"/>
      <c r="CY11" s="2"/>
      <c r="CZ11" s="2"/>
    </row>
    <row r="12" spans="1:104" ht="37.5" customHeight="1" x14ac:dyDescent="0.2">
      <c r="A12" s="33">
        <v>11</v>
      </c>
      <c r="B12" s="29"/>
      <c r="C12" s="205"/>
      <c r="D12" s="206"/>
      <c r="E12" s="206"/>
      <c r="F12" s="207"/>
      <c r="G12" s="35">
        <f>IF(C12="",0,(COUNTIF(C2:F17,C12)))</f>
        <v>0</v>
      </c>
      <c r="H12" s="36" t="s">
        <v>13</v>
      </c>
      <c r="I12" s="37">
        <f>IFERROR((VLOOKUP($BO$1&amp;C12,TeamsProtajer!D:M,10,0)),0)</f>
        <v>0</v>
      </c>
      <c r="J12" s="38">
        <f t="shared" si="0"/>
        <v>0</v>
      </c>
      <c r="K12" s="38">
        <f t="shared" si="0"/>
        <v>0</v>
      </c>
      <c r="L12" s="38" t="str">
        <f t="shared" si="1"/>
        <v>0+</v>
      </c>
      <c r="M12" s="38" t="str">
        <f t="shared" si="1"/>
        <v>0+</v>
      </c>
      <c r="N12" s="38" t="str">
        <f t="shared" si="1"/>
        <v>0+</v>
      </c>
      <c r="O12" s="200">
        <f>IFERROR((IF(AV12="YES",(VLOOKUP($BO$1&amp;C12,TeamsProtajer!D:M,7,0)),AW12)),"")</f>
        <v>0</v>
      </c>
      <c r="P12" s="201"/>
      <c r="Q12" s="201"/>
      <c r="R12" s="201"/>
      <c r="S12" s="201"/>
      <c r="T12" s="201"/>
      <c r="U12" s="201"/>
      <c r="V12" s="201"/>
      <c r="W12" s="201"/>
      <c r="X12" s="201"/>
      <c r="Y12" s="201"/>
      <c r="Z12" s="201"/>
      <c r="AA12" s="201"/>
      <c r="AB12" s="201"/>
      <c r="AC12" s="201"/>
      <c r="AD12" s="202"/>
      <c r="AE12" s="208"/>
      <c r="AF12" s="209"/>
      <c r="AG12" s="209"/>
      <c r="AH12" s="210"/>
      <c r="AI12" s="208"/>
      <c r="AJ12" s="209"/>
      <c r="AK12" s="209"/>
      <c r="AL12" s="210"/>
      <c r="AM12" s="203">
        <f>IFERROR((VLOOKUP($BO$1&amp;C12,TeamsProtajer!D:M,8,0)),0)</f>
        <v>0</v>
      </c>
      <c r="AN12" s="211"/>
      <c r="AO12" s="204"/>
      <c r="AP12" s="213"/>
      <c r="AQ12" s="1">
        <f>IFERROR((((VLOOKUP($BO$1&amp;C12,TeamsProtajer!D:M,9,0)+(AK12/1000)))),0)</f>
        <v>0</v>
      </c>
      <c r="AR12" s="2">
        <f>IFERROR((VLOOKUP($BO$1&amp;C12,TeamsProtajer!D:N,11,0)),0)</f>
        <v>0</v>
      </c>
      <c r="AS12" s="2" t="str">
        <f t="shared" si="9"/>
        <v/>
      </c>
      <c r="AT12" s="2" t="str">
        <f t="shared" si="10"/>
        <v/>
      </c>
      <c r="AU12" s="2"/>
      <c r="AV12" s="2" t="str">
        <f t="shared" si="11"/>
        <v>YES</v>
      </c>
      <c r="AW12" s="2" t="str">
        <f t="shared" si="2"/>
        <v/>
      </c>
      <c r="AX12" s="39" t="str">
        <f t="shared" si="3"/>
        <v/>
      </c>
      <c r="AY12" s="39" t="str">
        <f t="shared" si="4"/>
        <v/>
      </c>
      <c r="AZ12" s="39" t="str">
        <f t="shared" si="5"/>
        <v/>
      </c>
      <c r="BA12" s="39" t="str">
        <f t="shared" si="6"/>
        <v/>
      </c>
      <c r="BB12" s="39"/>
      <c r="BC12" s="39"/>
      <c r="BD12" s="39" t="str">
        <f t="shared" si="7"/>
        <v/>
      </c>
      <c r="BE12" s="39" t="str">
        <f t="shared" si="8"/>
        <v/>
      </c>
      <c r="BF12" s="40" t="e">
        <f>IF(#REF!&lt;0,"",AX12&amp;AY12&amp;AZ12&amp;BA12&amp;BB12&amp;BC12&amp;BD12&amp;BE12)</f>
        <v>#REF!</v>
      </c>
      <c r="BG12" s="4" t="str">
        <f>IFERROR((IF((VLOOKUP($BO$1&amp;C12,TeamsProtajer!D:M,7,0))="","",", ")),"")</f>
        <v xml:space="preserve">, </v>
      </c>
      <c r="BH12" t="str">
        <f>IF(AND((VLOOKUP($BO$1&amp;C12,TeamsProtajer!D:M,7,0))="",AX12=""),"",", ")</f>
        <v xml:space="preserve">, </v>
      </c>
      <c r="BI12" s="2" t="str">
        <f>$BO$1&amp;11</f>
        <v>Old World Alliance11</v>
      </c>
      <c r="BJ12" t="str">
        <f>IFERROR(IF((VLOOKUP(BI12,TeamsProtajer!B:C,2,FALSE))=0,"",(VLOOKUP(BI12,TeamsProtajer!B:C,2,FALSE))),"")</f>
        <v>Ogre</v>
      </c>
      <c r="BK12" s="2"/>
      <c r="BL12" s="2" t="s">
        <v>57</v>
      </c>
      <c r="BM12" s="21" t="str">
        <f t="shared" si="12"/>
        <v>Gnomos</v>
      </c>
      <c r="BN12" s="2" t="s">
        <v>58</v>
      </c>
      <c r="BO12" s="2"/>
      <c r="BP12" s="2">
        <v>50000</v>
      </c>
      <c r="BQ12" s="2">
        <v>50000</v>
      </c>
      <c r="BR12" s="2">
        <v>0</v>
      </c>
      <c r="BS12" s="42" t="str">
        <f>IF($J$24="Español","Liga de los Reinos Elfos",(IF($J$24="Deutsch","Liga der Elfenkönigreiche",(IF($J$24="Français","Ligue des Royaumes Elfiques","Elven Kingdoms League")))))</f>
        <v>Liga de los Reinos Elfos</v>
      </c>
      <c r="BT12" s="3" t="s">
        <v>48</v>
      </c>
      <c r="BU12" s="3"/>
      <c r="BV12" s="3"/>
      <c r="BW12" s="3"/>
      <c r="BX12" s="3"/>
      <c r="BY12" s="25" t="s">
        <v>1431</v>
      </c>
      <c r="BZ12" s="25" t="s">
        <v>1450</v>
      </c>
      <c r="CA12" s="15" t="s">
        <v>1490</v>
      </c>
      <c r="CB12" s="25" t="s">
        <v>1451</v>
      </c>
      <c r="CC12" s="23"/>
      <c r="CD12" s="25"/>
      <c r="CE12" s="23" t="s">
        <v>62</v>
      </c>
      <c r="CF12" s="25" t="s">
        <v>1450</v>
      </c>
      <c r="CG12" s="24" t="s">
        <v>70</v>
      </c>
      <c r="CH12" s="25" t="s">
        <v>76</v>
      </c>
      <c r="CI12" s="2"/>
      <c r="CJ12" s="2"/>
      <c r="CK12" s="2"/>
      <c r="CL12" s="2"/>
      <c r="CM12" s="2"/>
      <c r="CN12" s="2"/>
      <c r="CO12" s="2"/>
      <c r="CP12" s="2"/>
      <c r="CQ12" s="2"/>
      <c r="CR12" s="2"/>
      <c r="CS12" s="2"/>
      <c r="CT12" s="2"/>
      <c r="CU12" s="2"/>
      <c r="CV12" s="2"/>
      <c r="CW12" s="2"/>
      <c r="CX12" s="2"/>
      <c r="CY12" s="2"/>
      <c r="CZ12" s="2"/>
    </row>
    <row r="13" spans="1:104" ht="37.5" customHeight="1" x14ac:dyDescent="0.2">
      <c r="A13" s="33">
        <v>12</v>
      </c>
      <c r="B13" s="29"/>
      <c r="C13" s="205"/>
      <c r="D13" s="206"/>
      <c r="E13" s="206"/>
      <c r="F13" s="207"/>
      <c r="G13" s="35">
        <f>IF(C13="",0,(COUNTIF(C2:F17,C13)))</f>
        <v>0</v>
      </c>
      <c r="H13" s="36" t="s">
        <v>13</v>
      </c>
      <c r="I13" s="37">
        <f>IFERROR((VLOOKUP($BO$1&amp;C13,TeamsProtajer!D:M,10,0)),0)</f>
        <v>0</v>
      </c>
      <c r="J13" s="38">
        <f t="shared" si="0"/>
        <v>0</v>
      </c>
      <c r="K13" s="38">
        <f t="shared" si="0"/>
        <v>0</v>
      </c>
      <c r="L13" s="38" t="str">
        <f t="shared" si="1"/>
        <v>0+</v>
      </c>
      <c r="M13" s="38" t="str">
        <f t="shared" si="1"/>
        <v>0+</v>
      </c>
      <c r="N13" s="38" t="str">
        <f t="shared" si="1"/>
        <v>0+</v>
      </c>
      <c r="O13" s="200">
        <f>IFERROR((IF(AV13="YES",(VLOOKUP($BO$1&amp;C13,TeamsProtajer!D:M,7,0)),AW13)),"")</f>
        <v>0</v>
      </c>
      <c r="P13" s="201"/>
      <c r="Q13" s="201"/>
      <c r="R13" s="201"/>
      <c r="S13" s="201"/>
      <c r="T13" s="201"/>
      <c r="U13" s="201"/>
      <c r="V13" s="201"/>
      <c r="W13" s="201"/>
      <c r="X13" s="201"/>
      <c r="Y13" s="201"/>
      <c r="Z13" s="201"/>
      <c r="AA13" s="201"/>
      <c r="AB13" s="201"/>
      <c r="AC13" s="201"/>
      <c r="AD13" s="202"/>
      <c r="AE13" s="208"/>
      <c r="AF13" s="209"/>
      <c r="AG13" s="209"/>
      <c r="AH13" s="210"/>
      <c r="AI13" s="208"/>
      <c r="AJ13" s="209"/>
      <c r="AK13" s="209"/>
      <c r="AL13" s="210"/>
      <c r="AM13" s="203">
        <f>IFERROR((VLOOKUP($BO$1&amp;C13,TeamsProtajer!D:M,8,0)),0)</f>
        <v>0</v>
      </c>
      <c r="AN13" s="211"/>
      <c r="AO13" s="204"/>
      <c r="AP13" s="213"/>
      <c r="AQ13" s="1">
        <f>IFERROR((((VLOOKUP($BO$1&amp;C13,TeamsProtajer!D:M,9,0)+(AK13/1000)))),0)</f>
        <v>0</v>
      </c>
      <c r="AR13" s="2">
        <f>IFERROR((VLOOKUP($BO$1&amp;C13,TeamsProtajer!D:N,11,0)),0)</f>
        <v>0</v>
      </c>
      <c r="AS13" s="2" t="str">
        <f t="shared" si="9"/>
        <v/>
      </c>
      <c r="AT13" s="2" t="str">
        <f t="shared" si="10"/>
        <v/>
      </c>
      <c r="AU13" s="2"/>
      <c r="AV13" s="2" t="str">
        <f t="shared" si="11"/>
        <v>YES</v>
      </c>
      <c r="AW13" s="2" t="str">
        <f t="shared" si="2"/>
        <v/>
      </c>
      <c r="AX13" s="39" t="str">
        <f t="shared" si="3"/>
        <v/>
      </c>
      <c r="AY13" s="39" t="str">
        <f t="shared" si="4"/>
        <v/>
      </c>
      <c r="AZ13" s="39" t="str">
        <f t="shared" si="5"/>
        <v/>
      </c>
      <c r="BA13" s="39" t="str">
        <f t="shared" si="6"/>
        <v/>
      </c>
      <c r="BB13" s="39"/>
      <c r="BC13" s="39"/>
      <c r="BD13" s="39" t="str">
        <f t="shared" si="7"/>
        <v/>
      </c>
      <c r="BE13" s="39" t="str">
        <f t="shared" si="8"/>
        <v/>
      </c>
      <c r="BF13" s="40" t="e">
        <f>IF(#REF!&lt;0,"",AX13&amp;AY13&amp;AZ13&amp;BA13&amp;BB13&amp;BC13&amp;BD13&amp;BE13)</f>
        <v>#REF!</v>
      </c>
      <c r="BG13" s="4" t="str">
        <f>IFERROR((IF((VLOOKUP($BO$1&amp;C13,TeamsProtajer!D:M,7,0))="","",", ")),"")</f>
        <v xml:space="preserve">, </v>
      </c>
      <c r="BH13" t="str">
        <f>IF(AND((VLOOKUP($BO$1&amp;C13,TeamsProtajer!D:M,7,0))="",AX13=""),"",", ")</f>
        <v xml:space="preserve">, </v>
      </c>
      <c r="BI13" s="2" t="str">
        <f>$BO$1&amp;12</f>
        <v>Old World Alliance12</v>
      </c>
      <c r="BJ13" t="str">
        <f>IFERROR(IF((VLOOKUP(BI13,TeamsProtajer!B:C,2,FALSE))=0,"",(VLOOKUP(BI13,TeamsProtajer!B:C,2,FALSE))),"")</f>
        <v>Forest Treeman</v>
      </c>
      <c r="BK13" s="2"/>
      <c r="BL13" s="2" t="s">
        <v>62</v>
      </c>
      <c r="BM13" s="21" t="str">
        <f t="shared" si="12"/>
        <v>Goblins</v>
      </c>
      <c r="BN13" s="2" t="s">
        <v>62</v>
      </c>
      <c r="BO13" s="2"/>
      <c r="BP13" s="2">
        <v>60000</v>
      </c>
      <c r="BQ13" s="2">
        <v>50000</v>
      </c>
      <c r="BR13" s="2">
        <v>2</v>
      </c>
      <c r="BS13" s="42"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Reyerta en las Yermas, Reto del Inframundo y Sobornos y Corrupción</v>
      </c>
      <c r="BT13" s="3" t="s">
        <v>63</v>
      </c>
      <c r="BU13" s="3" t="s">
        <v>25</v>
      </c>
      <c r="BV13" s="3"/>
      <c r="BW13" s="3"/>
      <c r="BX13" s="3"/>
      <c r="BY13" s="23" t="s">
        <v>67</v>
      </c>
      <c r="BZ13" s="23" t="s">
        <v>69</v>
      </c>
      <c r="CA13" s="24" t="s">
        <v>70</v>
      </c>
      <c r="CB13" s="23" t="s">
        <v>71</v>
      </c>
      <c r="CC13" s="23"/>
      <c r="CD13" s="25"/>
      <c r="CE13" s="23" t="s">
        <v>67</v>
      </c>
      <c r="CF13" s="23" t="s">
        <v>64</v>
      </c>
      <c r="CG13" s="43" t="s">
        <v>75</v>
      </c>
      <c r="CH13" s="1" t="s">
        <v>95</v>
      </c>
      <c r="CI13" s="2"/>
      <c r="CJ13" s="2"/>
      <c r="CK13" s="2"/>
      <c r="CL13" s="2"/>
      <c r="CM13" s="2"/>
      <c r="CN13" s="2"/>
      <c r="CO13" s="2"/>
      <c r="CP13" s="2"/>
      <c r="CQ13" s="2"/>
      <c r="CR13" s="2"/>
      <c r="CS13" s="2"/>
      <c r="CT13" s="2"/>
      <c r="CU13" s="2"/>
      <c r="CV13" s="2"/>
      <c r="CW13" s="2"/>
      <c r="CX13" s="2"/>
      <c r="CY13" s="2"/>
      <c r="CZ13" s="2"/>
    </row>
    <row r="14" spans="1:104" ht="37.5" customHeight="1" x14ac:dyDescent="0.2">
      <c r="A14" s="33">
        <v>13</v>
      </c>
      <c r="B14" s="29"/>
      <c r="C14" s="205"/>
      <c r="D14" s="206"/>
      <c r="E14" s="206"/>
      <c r="F14" s="207"/>
      <c r="G14" s="35">
        <f>IF(C14="",0,(COUNTIF(C2:F17,C14)))</f>
        <v>0</v>
      </c>
      <c r="H14" s="36" t="s">
        <v>13</v>
      </c>
      <c r="I14" s="37">
        <f>IFERROR((VLOOKUP($BO$1&amp;C14,TeamsProtajer!D:M,10,0)),0)</f>
        <v>0</v>
      </c>
      <c r="J14" s="38">
        <f t="shared" si="0"/>
        <v>0</v>
      </c>
      <c r="K14" s="38">
        <f t="shared" si="0"/>
        <v>0</v>
      </c>
      <c r="L14" s="38" t="str">
        <f t="shared" si="1"/>
        <v>0+</v>
      </c>
      <c r="M14" s="38" t="str">
        <f t="shared" si="1"/>
        <v>0+</v>
      </c>
      <c r="N14" s="38" t="str">
        <f t="shared" si="1"/>
        <v>0+</v>
      </c>
      <c r="O14" s="200">
        <f>IFERROR((IF(AV14="YES",(VLOOKUP($BO$1&amp;C14,TeamsProtajer!D:M,7,0)),AW14)),"")</f>
        <v>0</v>
      </c>
      <c r="P14" s="201"/>
      <c r="Q14" s="201"/>
      <c r="R14" s="201"/>
      <c r="S14" s="201"/>
      <c r="T14" s="201"/>
      <c r="U14" s="201"/>
      <c r="V14" s="201"/>
      <c r="W14" s="201"/>
      <c r="X14" s="201"/>
      <c r="Y14" s="201"/>
      <c r="Z14" s="201"/>
      <c r="AA14" s="201"/>
      <c r="AB14" s="201"/>
      <c r="AC14" s="201"/>
      <c r="AD14" s="202"/>
      <c r="AE14" s="208"/>
      <c r="AF14" s="209"/>
      <c r="AG14" s="209"/>
      <c r="AH14" s="210"/>
      <c r="AI14" s="208"/>
      <c r="AJ14" s="209"/>
      <c r="AK14" s="209"/>
      <c r="AL14" s="210"/>
      <c r="AM14" s="203">
        <f>IFERROR((VLOOKUP($BO$1&amp;C14,TeamsProtajer!D:M,8,0)),0)</f>
        <v>0</v>
      </c>
      <c r="AN14" s="211"/>
      <c r="AO14" s="204"/>
      <c r="AP14" s="213"/>
      <c r="AQ14" s="1">
        <f>IFERROR((((VLOOKUP($BO$1&amp;C14,TeamsProtajer!D:M,9,0)+(AK14/1000)))),0)</f>
        <v>0</v>
      </c>
      <c r="AR14" s="2">
        <f>IFERROR((VLOOKUP($BO$1&amp;C14,TeamsProtajer!D:N,11,0)),0)</f>
        <v>0</v>
      </c>
      <c r="AS14" s="2" t="str">
        <f t="shared" si="9"/>
        <v/>
      </c>
      <c r="AT14" s="2" t="str">
        <f t="shared" si="10"/>
        <v/>
      </c>
      <c r="AU14" s="2"/>
      <c r="AV14" s="2" t="str">
        <f t="shared" si="11"/>
        <v>YES</v>
      </c>
      <c r="AW14" s="2" t="str">
        <f t="shared" si="2"/>
        <v/>
      </c>
      <c r="AX14" s="39" t="str">
        <f t="shared" si="3"/>
        <v/>
      </c>
      <c r="AY14" s="39" t="str">
        <f t="shared" si="4"/>
        <v/>
      </c>
      <c r="AZ14" s="39" t="str">
        <f t="shared" si="5"/>
        <v/>
      </c>
      <c r="BA14" s="39" t="str">
        <f t="shared" si="6"/>
        <v/>
      </c>
      <c r="BB14" s="39"/>
      <c r="BC14" s="39"/>
      <c r="BD14" s="39" t="str">
        <f t="shared" si="7"/>
        <v/>
      </c>
      <c r="BE14" s="39" t="str">
        <f t="shared" si="8"/>
        <v/>
      </c>
      <c r="BF14" s="40" t="e">
        <f>IF(#REF!&lt;0,"",AX14&amp;AY14&amp;AZ14&amp;BA14&amp;BB14&amp;BC14&amp;BD14&amp;BE14)</f>
        <v>#REF!</v>
      </c>
      <c r="BG14" s="4" t="str">
        <f>IFERROR((IF((VLOOKUP($BO$1&amp;C14,TeamsProtajer!D:M,7,0))="","",", ")),"")</f>
        <v xml:space="preserve">, </v>
      </c>
      <c r="BH14" t="str">
        <f>IF(AND((VLOOKUP($BO$1&amp;C14,TeamsProtajer!D:M,7,0))="",AX14=""),"",", ")</f>
        <v xml:space="preserve">, </v>
      </c>
      <c r="BI14" s="2" t="str">
        <f>$BO$1&amp;13</f>
        <v>Old World Alliance13</v>
      </c>
      <c r="BJ14" t="str">
        <f>IFERROR(IF((VLOOKUP(BI14,TeamsProtajer!B:C,2,FALSE))=0,"",(VLOOKUP(BI14,TeamsProtajer!B:C,2,FALSE))),"")</f>
        <v/>
      </c>
      <c r="BK14" s="2"/>
      <c r="BL14" s="25" t="s">
        <v>1431</v>
      </c>
      <c r="BM14" s="21" t="str">
        <f t="shared" si="12"/>
        <v>Halflings</v>
      </c>
      <c r="BN14" s="25" t="s">
        <v>1431</v>
      </c>
      <c r="BP14" s="2">
        <v>50000</v>
      </c>
      <c r="BQ14" s="2">
        <v>50000</v>
      </c>
      <c r="BR14" s="2">
        <v>2</v>
      </c>
      <c r="BS14" s="42" t="str">
        <f>IF($J$24="Español","Copa Dedal Halfling",(IF($J$24="Deutsch","Halbling-Fingerhut-Pokal",(IF($J$24="Français","Coupe Dé à Coudre Halfling","Halfling Thimble Cup")))))</f>
        <v>Copa Dedal Halfling</v>
      </c>
      <c r="BT14" s="3" t="s">
        <v>1035</v>
      </c>
      <c r="BX14" s="3"/>
      <c r="BY14" s="23" t="s">
        <v>72</v>
      </c>
      <c r="BZ14" s="23" t="s">
        <v>74</v>
      </c>
      <c r="CA14" s="43" t="s">
        <v>75</v>
      </c>
      <c r="CB14" s="25" t="s">
        <v>76</v>
      </c>
      <c r="CC14" s="23"/>
      <c r="CD14" s="25"/>
      <c r="CE14" s="23" t="s">
        <v>72</v>
      </c>
      <c r="CF14" s="23" t="s">
        <v>69</v>
      </c>
      <c r="CG14" s="43" t="s">
        <v>85</v>
      </c>
      <c r="CH14" s="1" t="s">
        <v>101</v>
      </c>
      <c r="CI14" s="2"/>
      <c r="CJ14" s="2"/>
      <c r="CK14" s="2"/>
      <c r="CL14" s="2"/>
      <c r="CM14" s="2"/>
      <c r="CN14" s="2"/>
      <c r="CO14" s="2"/>
      <c r="CP14" s="2"/>
      <c r="CQ14" s="2"/>
      <c r="CR14" s="2"/>
      <c r="CS14" s="2"/>
      <c r="CT14" s="2"/>
      <c r="CU14" s="2"/>
      <c r="CV14" s="2"/>
      <c r="CW14" s="2"/>
      <c r="CX14" s="2"/>
      <c r="CY14" s="2"/>
      <c r="CZ14" s="2"/>
    </row>
    <row r="15" spans="1:104" ht="37.5" customHeight="1" x14ac:dyDescent="0.2">
      <c r="A15" s="33">
        <v>14</v>
      </c>
      <c r="B15" s="29"/>
      <c r="C15" s="205"/>
      <c r="D15" s="206"/>
      <c r="E15" s="206"/>
      <c r="F15" s="207"/>
      <c r="G15" s="35">
        <f>IF(C15="",0,(COUNTIF(C2:F17,C15)))</f>
        <v>0</v>
      </c>
      <c r="H15" s="36" t="s">
        <v>13</v>
      </c>
      <c r="I15" s="37">
        <f>IFERROR((VLOOKUP($BO$1&amp;C15,TeamsProtajer!D:M,10,0)),0)</f>
        <v>0</v>
      </c>
      <c r="J15" s="38">
        <f t="shared" si="0"/>
        <v>0</v>
      </c>
      <c r="K15" s="38">
        <f t="shared" si="0"/>
        <v>0</v>
      </c>
      <c r="L15" s="38" t="str">
        <f t="shared" si="1"/>
        <v>0+</v>
      </c>
      <c r="M15" s="38" t="str">
        <f t="shared" si="1"/>
        <v>0+</v>
      </c>
      <c r="N15" s="38" t="str">
        <f t="shared" si="1"/>
        <v>0+</v>
      </c>
      <c r="O15" s="200">
        <f>IFERROR((IF(AV15="YES",(VLOOKUP($BO$1&amp;C15,TeamsProtajer!D:M,7,0)),AW15)),"")</f>
        <v>0</v>
      </c>
      <c r="P15" s="201"/>
      <c r="Q15" s="201"/>
      <c r="R15" s="201"/>
      <c r="S15" s="201"/>
      <c r="T15" s="201"/>
      <c r="U15" s="201"/>
      <c r="V15" s="201"/>
      <c r="W15" s="201"/>
      <c r="X15" s="201"/>
      <c r="Y15" s="201"/>
      <c r="Z15" s="201"/>
      <c r="AA15" s="201"/>
      <c r="AB15" s="201"/>
      <c r="AC15" s="201"/>
      <c r="AD15" s="202"/>
      <c r="AE15" s="208"/>
      <c r="AF15" s="209"/>
      <c r="AG15" s="209"/>
      <c r="AH15" s="210"/>
      <c r="AI15" s="208"/>
      <c r="AJ15" s="209"/>
      <c r="AK15" s="209"/>
      <c r="AL15" s="210"/>
      <c r="AM15" s="203">
        <f>IFERROR((VLOOKUP($BO$1&amp;C15,TeamsProtajer!D:M,8,0)),0)</f>
        <v>0</v>
      </c>
      <c r="AN15" s="211"/>
      <c r="AO15" s="204"/>
      <c r="AP15" s="213"/>
      <c r="AQ15" s="1">
        <f>IFERROR((((VLOOKUP($BO$1&amp;C15,TeamsProtajer!D:M,9,0)+(AK15/1000)))),0)</f>
        <v>0</v>
      </c>
      <c r="AR15" s="2">
        <f>IFERROR((VLOOKUP($BO$1&amp;C15,TeamsProtajer!D:N,11,0)),0)</f>
        <v>0</v>
      </c>
      <c r="AS15" s="2" t="str">
        <f t="shared" si="9"/>
        <v/>
      </c>
      <c r="AT15" s="2" t="str">
        <f t="shared" si="10"/>
        <v/>
      </c>
      <c r="AU15" s="2"/>
      <c r="AV15" s="2" t="str">
        <f t="shared" si="11"/>
        <v>YES</v>
      </c>
      <c r="AW15" s="2" t="str">
        <f t="shared" si="2"/>
        <v/>
      </c>
      <c r="AX15" s="39" t="str">
        <f t="shared" si="3"/>
        <v/>
      </c>
      <c r="AY15" s="39" t="str">
        <f t="shared" si="4"/>
        <v/>
      </c>
      <c r="AZ15" s="39" t="str">
        <f t="shared" si="5"/>
        <v/>
      </c>
      <c r="BA15" s="39" t="str">
        <f t="shared" si="6"/>
        <v/>
      </c>
      <c r="BB15" s="39"/>
      <c r="BC15" s="39"/>
      <c r="BD15" s="39" t="str">
        <f t="shared" si="7"/>
        <v/>
      </c>
      <c r="BE15" s="39" t="str">
        <f t="shared" si="8"/>
        <v/>
      </c>
      <c r="BF15" s="40" t="e">
        <f>IF(#REF!&lt;0,"",AX15&amp;AY15&amp;AZ15&amp;BA15&amp;BB15&amp;BC15&amp;BD15&amp;BE15)</f>
        <v>#REF!</v>
      </c>
      <c r="BG15" s="4" t="str">
        <f>IFERROR((IF((VLOOKUP($BO$1&amp;C15,TeamsProtajer!D:M,7,0))="","",", ")),"")</f>
        <v xml:space="preserve">, </v>
      </c>
      <c r="BH15" t="str">
        <f>IF(AND((VLOOKUP($BO$1&amp;C15,TeamsProtajer!D:M,7,0))="",AX15=""),"",", ")</f>
        <v xml:space="preserve">, </v>
      </c>
      <c r="BI15" s="2"/>
      <c r="BK15" s="2"/>
      <c r="BL15" s="2" t="s">
        <v>67</v>
      </c>
      <c r="BM15" s="21" t="str">
        <f t="shared" si="12"/>
        <v>Humanos</v>
      </c>
      <c r="BN15" s="2" t="s">
        <v>67</v>
      </c>
      <c r="BO15" s="2"/>
      <c r="BP15" s="2">
        <v>60000</v>
      </c>
      <c r="BQ15" s="2">
        <v>50000</v>
      </c>
      <c r="BR15" s="2">
        <v>2</v>
      </c>
      <c r="BS15" s="42" t="str">
        <f>IF($J$24="Español","Copa Dedal Halfling",(IF($J$24="Deutsch","Halbling-Fingerhut-Pokal",(IF($J$24="Français","Coupe Dé à Coudre Halfling","Halfling Thimble Cup")))))</f>
        <v>Copa Dedal Halfling</v>
      </c>
      <c r="BT15" s="3" t="s">
        <v>68</v>
      </c>
      <c r="BU15" s="3"/>
      <c r="BV15" s="3"/>
      <c r="BW15" s="3"/>
      <c r="BX15" s="3"/>
      <c r="BY15" s="23" t="s">
        <v>77</v>
      </c>
      <c r="BZ15" s="23" t="s">
        <v>79</v>
      </c>
      <c r="CA15" s="43" t="s">
        <v>80</v>
      </c>
      <c r="CB15" s="25" t="s">
        <v>81</v>
      </c>
      <c r="CC15" s="25"/>
      <c r="CD15" s="25"/>
      <c r="CE15" s="23" t="s">
        <v>77</v>
      </c>
      <c r="CF15" s="23" t="s">
        <v>79</v>
      </c>
      <c r="CG15" s="46" t="s">
        <v>89</v>
      </c>
      <c r="CH15" s="25" t="s">
        <v>81</v>
      </c>
      <c r="CI15" s="2"/>
      <c r="CJ15" s="2"/>
      <c r="CK15" s="2"/>
      <c r="CL15" s="2"/>
      <c r="CM15" s="2"/>
      <c r="CN15" s="2"/>
      <c r="CO15" s="2"/>
      <c r="CP15" s="2"/>
      <c r="CQ15" s="2"/>
      <c r="CR15" s="2"/>
      <c r="CS15" s="2"/>
      <c r="CT15" s="2"/>
      <c r="CU15" s="2"/>
      <c r="CV15" s="2"/>
      <c r="CW15" s="2"/>
      <c r="CX15" s="2"/>
      <c r="CY15" s="2"/>
      <c r="CZ15" s="2"/>
    </row>
    <row r="16" spans="1:104" ht="37.5" customHeight="1" x14ac:dyDescent="0.2">
      <c r="A16" s="33">
        <v>15</v>
      </c>
      <c r="B16" s="29"/>
      <c r="C16" s="205"/>
      <c r="D16" s="206"/>
      <c r="E16" s="206"/>
      <c r="F16" s="207"/>
      <c r="G16" s="35">
        <f t="shared" ref="G16:G17" si="13">IF(C16="",0,(COUNTIF(C2:F17,C16)))</f>
        <v>0</v>
      </c>
      <c r="H16" s="36" t="s">
        <v>13</v>
      </c>
      <c r="I16" s="37">
        <f>IFERROR((VLOOKUP($BO$1&amp;C16,TeamsProtajer!D:M,10,0)),0)</f>
        <v>0</v>
      </c>
      <c r="J16" s="38">
        <f t="shared" si="0"/>
        <v>0</v>
      </c>
      <c r="K16" s="38">
        <f t="shared" si="0"/>
        <v>0</v>
      </c>
      <c r="L16" s="38" t="str">
        <f t="shared" si="1"/>
        <v>0+</v>
      </c>
      <c r="M16" s="38" t="str">
        <f t="shared" si="1"/>
        <v>0+</v>
      </c>
      <c r="N16" s="38" t="str">
        <f t="shared" si="1"/>
        <v>0+</v>
      </c>
      <c r="O16" s="200">
        <f>IFERROR((IF(AV16="YES",(VLOOKUP($BO$1&amp;C16,TeamsProtajer!D:M,7,0)),AW16)),"")</f>
        <v>0</v>
      </c>
      <c r="P16" s="201"/>
      <c r="Q16" s="201"/>
      <c r="R16" s="201"/>
      <c r="S16" s="201"/>
      <c r="T16" s="201"/>
      <c r="U16" s="201"/>
      <c r="V16" s="201"/>
      <c r="W16" s="201"/>
      <c r="X16" s="201"/>
      <c r="Y16" s="201"/>
      <c r="Z16" s="201"/>
      <c r="AA16" s="201"/>
      <c r="AB16" s="201"/>
      <c r="AC16" s="201"/>
      <c r="AD16" s="202"/>
      <c r="AE16" s="208"/>
      <c r="AF16" s="209"/>
      <c r="AG16" s="209"/>
      <c r="AH16" s="210"/>
      <c r="AI16" s="208"/>
      <c r="AJ16" s="209"/>
      <c r="AK16" s="209"/>
      <c r="AL16" s="210"/>
      <c r="AM16" s="203">
        <f>IFERROR((VLOOKUP($BO$1&amp;C16,TeamsProtajer!D:M,8,0)),0)</f>
        <v>0</v>
      </c>
      <c r="AN16" s="211"/>
      <c r="AO16" s="204"/>
      <c r="AP16" s="213"/>
      <c r="AQ16" s="1">
        <f>IFERROR((((VLOOKUP($BO$1&amp;C16,TeamsProtajer!D:M,9,0)+(AK16/1000)))),0)</f>
        <v>0</v>
      </c>
      <c r="AR16" s="2">
        <f>IFERROR((VLOOKUP($BO$1&amp;C16,TeamsProtajer!D:N,11,0)),0)</f>
        <v>0</v>
      </c>
      <c r="AS16" s="2" t="str">
        <f t="shared" si="9"/>
        <v/>
      </c>
      <c r="AT16" s="2" t="str">
        <f>IF(AR16&gt;0,(IF($BA$77&gt;$BA$79,(IF($J$24="Italiano","Il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6" s="2"/>
      <c r="AV16" s="2" t="str">
        <f t="shared" si="11"/>
        <v>YES</v>
      </c>
      <c r="AW16" s="2" t="str">
        <f t="shared" si="2"/>
        <v/>
      </c>
      <c r="AX16" s="39" t="str">
        <f t="shared" si="3"/>
        <v/>
      </c>
      <c r="AY16" s="39" t="str">
        <f t="shared" si="4"/>
        <v/>
      </c>
      <c r="AZ16" s="39" t="str">
        <f t="shared" si="5"/>
        <v/>
      </c>
      <c r="BA16" s="39" t="str">
        <f t="shared" si="6"/>
        <v/>
      </c>
      <c r="BB16" s="39"/>
      <c r="BC16" s="39"/>
      <c r="BD16" s="39" t="str">
        <f t="shared" si="7"/>
        <v/>
      </c>
      <c r="BE16" s="39" t="str">
        <f t="shared" si="8"/>
        <v/>
      </c>
      <c r="BF16" s="40" t="e">
        <f>IF(#REF!&lt;0,"",AX16&amp;AY16&amp;AZ16&amp;BA16&amp;BB16&amp;BC16&amp;BD16&amp;BE16)</f>
        <v>#REF!</v>
      </c>
      <c r="BG16" s="4" t="str">
        <f>IFERROR((IF((VLOOKUP($BO$1&amp;C16,TeamsProtajer!D:M,7,0))="","",", ")),"")</f>
        <v xml:space="preserve">, </v>
      </c>
      <c r="BH16" t="str">
        <f>IF(AND((VLOOKUP($BO$1&amp;C16,TeamsProtajer!D:M,7,0))="",AX16=""),"",", ")</f>
        <v xml:space="preserve">, </v>
      </c>
      <c r="BK16" s="2"/>
      <c r="BL16" s="2" t="s">
        <v>72</v>
      </c>
      <c r="BM16" s="21" t="str">
        <f t="shared" si="12"/>
        <v>Inframundo</v>
      </c>
      <c r="BN16" s="2" t="s">
        <v>73</v>
      </c>
      <c r="BO16" s="2"/>
      <c r="BP16" s="2">
        <v>50000</v>
      </c>
      <c r="BQ16" s="2">
        <v>50000</v>
      </c>
      <c r="BR16" s="2">
        <v>0</v>
      </c>
      <c r="BS16" s="42" t="str">
        <f>IF($J$24="Español","Liga de los Reinos Elfos",(IF($J$24="Deutsch","Liga der Elfenkönigreiche",(IF($J$24="Français","Ligue des Royaumes Elfiques","Elven Kingdoms League")))))</f>
        <v>Liga de los Reinos Elfos</v>
      </c>
      <c r="BT16" s="3" t="s">
        <v>48</v>
      </c>
      <c r="BU16" s="3"/>
      <c r="BV16" s="3"/>
      <c r="BW16" s="3"/>
      <c r="BX16" s="3"/>
      <c r="BY16" s="23" t="s">
        <v>82</v>
      </c>
      <c r="BZ16" s="23" t="s">
        <v>84</v>
      </c>
      <c r="CA16" s="43" t="s">
        <v>85</v>
      </c>
      <c r="CB16" s="25" t="s">
        <v>86</v>
      </c>
      <c r="CC16" s="25"/>
      <c r="CD16" s="25"/>
      <c r="CE16" s="23" t="s">
        <v>82</v>
      </c>
      <c r="CF16" s="2" t="s">
        <v>156</v>
      </c>
      <c r="CG16" s="46" t="s">
        <v>94</v>
      </c>
      <c r="CH16" s="1" t="s">
        <v>90</v>
      </c>
      <c r="CI16" s="2"/>
      <c r="CJ16" s="2"/>
      <c r="CK16" s="2"/>
      <c r="CL16" s="2"/>
      <c r="CM16" s="2"/>
      <c r="CN16" s="2"/>
      <c r="CO16" s="2"/>
      <c r="CP16" s="2"/>
      <c r="CQ16" s="2"/>
      <c r="CR16" s="2"/>
      <c r="CS16" s="2"/>
      <c r="CT16" s="2"/>
      <c r="CU16" s="2"/>
      <c r="CV16" s="2"/>
      <c r="CW16" s="2"/>
      <c r="CX16" s="2"/>
      <c r="CY16" s="2"/>
      <c r="CZ16" s="2"/>
    </row>
    <row r="17" spans="1:104" ht="37.5" customHeight="1" x14ac:dyDescent="0.2">
      <c r="A17" s="33">
        <v>16</v>
      </c>
      <c r="B17" s="29"/>
      <c r="C17" s="205"/>
      <c r="D17" s="206"/>
      <c r="E17" s="206"/>
      <c r="F17" s="207"/>
      <c r="G17" s="35">
        <f t="shared" si="13"/>
        <v>0</v>
      </c>
      <c r="H17" s="36" t="s">
        <v>13</v>
      </c>
      <c r="I17" s="37">
        <f>IFERROR((VLOOKUP($BO$1&amp;C17,TeamsProtajer!D:M,10,0)),0)</f>
        <v>0</v>
      </c>
      <c r="J17" s="38">
        <f t="shared" si="0"/>
        <v>0</v>
      </c>
      <c r="K17" s="38">
        <f t="shared" si="0"/>
        <v>0</v>
      </c>
      <c r="L17" s="38" t="str">
        <f t="shared" si="1"/>
        <v>0+</v>
      </c>
      <c r="M17" s="38" t="str">
        <f t="shared" si="1"/>
        <v>0+</v>
      </c>
      <c r="N17" s="38" t="str">
        <f t="shared" si="1"/>
        <v>0+</v>
      </c>
      <c r="O17" s="200">
        <f>IFERROR((IF(AV17="YES",(VLOOKUP($BO$1&amp;C17,TeamsProtajer!D:M,7,0)),AW17)),"")</f>
        <v>0</v>
      </c>
      <c r="P17" s="201"/>
      <c r="Q17" s="201"/>
      <c r="R17" s="201"/>
      <c r="S17" s="201"/>
      <c r="T17" s="201"/>
      <c r="U17" s="201"/>
      <c r="V17" s="201"/>
      <c r="W17" s="201"/>
      <c r="X17" s="201"/>
      <c r="Y17" s="201"/>
      <c r="Z17" s="201"/>
      <c r="AA17" s="201"/>
      <c r="AB17" s="201"/>
      <c r="AC17" s="201"/>
      <c r="AD17" s="202"/>
      <c r="AE17" s="208"/>
      <c r="AF17" s="209"/>
      <c r="AG17" s="209"/>
      <c r="AH17" s="210"/>
      <c r="AI17" s="208"/>
      <c r="AJ17" s="209"/>
      <c r="AK17" s="209"/>
      <c r="AL17" s="210"/>
      <c r="AM17" s="203">
        <f>IFERROR((VLOOKUP($BO$1&amp;C17,TeamsProtajer!D:M,8,0)),0)</f>
        <v>0</v>
      </c>
      <c r="AN17" s="211"/>
      <c r="AO17" s="204"/>
      <c r="AP17" s="213"/>
      <c r="AQ17" s="1">
        <f>IFERROR((((VLOOKUP($BO$1&amp;C17,TeamsProtajer!D:M,9,0)+(AK17/1000)))),0)</f>
        <v>0</v>
      </c>
      <c r="AR17" s="2">
        <f>IFERROR((VLOOKUP($BO$1&amp;C17,TeamsProtajer!D:N,11,0)),0)</f>
        <v>0</v>
      </c>
      <c r="AS17" s="2" t="str">
        <f t="shared" si="9"/>
        <v/>
      </c>
      <c r="AT17" s="2" t="str">
        <f>IF(AR17&gt;0,(IF($BA$77&gt;$BA$79,(IF($J$24="Italiano","Il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17" s="2"/>
      <c r="AV17" s="2" t="str">
        <f t="shared" si="11"/>
        <v>YES</v>
      </c>
      <c r="AW17" s="2" t="str">
        <f t="shared" si="2"/>
        <v/>
      </c>
      <c r="AX17" s="39" t="str">
        <f t="shared" si="3"/>
        <v/>
      </c>
      <c r="AY17" s="39" t="str">
        <f t="shared" si="4"/>
        <v/>
      </c>
      <c r="AZ17" s="39" t="str">
        <f t="shared" si="5"/>
        <v/>
      </c>
      <c r="BA17" s="39" t="str">
        <f t="shared" si="6"/>
        <v/>
      </c>
      <c r="BB17" s="39"/>
      <c r="BC17" s="39"/>
      <c r="BD17" s="39" t="str">
        <f t="shared" si="7"/>
        <v/>
      </c>
      <c r="BE17" s="39" t="str">
        <f t="shared" si="8"/>
        <v/>
      </c>
      <c r="BF17" s="40" t="e">
        <f>IF(#REF!&lt;0,"",AX17&amp;AY17&amp;AZ17&amp;BA17&amp;BB17&amp;BC17&amp;BD17&amp;BE17)</f>
        <v>#REF!</v>
      </c>
      <c r="BG17" s="4" t="str">
        <f>IFERROR((IF((VLOOKUP($BO$1&amp;C17,TeamsProtajer!D:M,7,0))="","",", ")),"")</f>
        <v xml:space="preserve">, </v>
      </c>
      <c r="BH17" t="str">
        <f>IF(AND((VLOOKUP($BO$1&amp;C17,TeamsProtajer!D:M,7,0))="",AX17=""),"",", ")</f>
        <v xml:space="preserve">, </v>
      </c>
      <c r="BK17" s="2"/>
      <c r="BL17" s="2" t="s">
        <v>77</v>
      </c>
      <c r="BM17" s="21" t="str">
        <f t="shared" si="12"/>
        <v>Khemri</v>
      </c>
      <c r="BN17" s="2" t="s">
        <v>77</v>
      </c>
      <c r="BO17" s="2"/>
      <c r="BP17" s="2">
        <v>50000</v>
      </c>
      <c r="BQ17" s="2">
        <v>50000</v>
      </c>
      <c r="BR17" s="2">
        <v>1</v>
      </c>
      <c r="BS17" s="42" t="str">
        <f>IF($J$24="Español","Clásica del Viejo Mundo",(IF($J$24="Deutsch","Alte-Welt-Klassiker",(IF($J$24="Français","Classique du Vieux Monde","Old World Classic")))))</f>
        <v>Clásica del Viejo Mundo</v>
      </c>
      <c r="BT17" s="3" t="s">
        <v>78</v>
      </c>
      <c r="BU17" s="3"/>
      <c r="BV17" s="3"/>
      <c r="BW17" s="3"/>
      <c r="BX17" s="3"/>
      <c r="BY17" s="2" t="s">
        <v>87</v>
      </c>
      <c r="BZ17" s="2" t="s">
        <v>88</v>
      </c>
      <c r="CA17" s="46" t="s">
        <v>89</v>
      </c>
      <c r="CB17" s="1" t="s">
        <v>90</v>
      </c>
      <c r="CC17" s="1"/>
      <c r="CD17" s="1"/>
      <c r="CE17" s="2" t="s">
        <v>87</v>
      </c>
      <c r="CF17" s="2" t="s">
        <v>151</v>
      </c>
      <c r="CG17" s="43" t="s">
        <v>80</v>
      </c>
      <c r="CH17" s="1" t="s">
        <v>132</v>
      </c>
      <c r="CI17" s="2"/>
      <c r="CJ17" s="2"/>
      <c r="CK17" s="2"/>
      <c r="CL17" s="2"/>
      <c r="CM17" s="2"/>
      <c r="CN17" s="2"/>
      <c r="CO17" s="2"/>
      <c r="CP17" s="2"/>
      <c r="CQ17" s="2"/>
      <c r="CR17" s="2"/>
      <c r="CS17" s="2"/>
      <c r="CT17" s="2"/>
      <c r="CU17" s="2"/>
      <c r="CV17" s="2"/>
      <c r="CW17" s="2"/>
      <c r="CX17" s="2"/>
      <c r="CY17" s="2"/>
      <c r="CZ17" s="2"/>
    </row>
    <row r="18" spans="1:104" ht="45" customHeight="1" x14ac:dyDescent="0.2">
      <c r="A18" s="33" t="s">
        <v>91</v>
      </c>
      <c r="B18" s="45" t="str">
        <f>IF($J$24="Italiano","Star Player",(IF($J$24="Español","Jugadores Estrella",(IF($J$24="Français","Star Player",(IF($J$24="Deutsch","Starspielers","Star Player")))))))</f>
        <v>Jugadores Estrella</v>
      </c>
      <c r="C18" s="205"/>
      <c r="D18" s="206"/>
      <c r="E18" s="206"/>
      <c r="F18" s="207"/>
      <c r="G18" s="35">
        <f>IF(C18=" ",0,(COUNTIF(C18:F20,C18)))</f>
        <v>0</v>
      </c>
      <c r="H18" s="36" t="s">
        <v>13</v>
      </c>
      <c r="I18" s="37">
        <f>IFERROR((VLOOKUP(C18,StarPlayersProtajer!B:K,10,0)),0)</f>
        <v>0</v>
      </c>
      <c r="J18" s="38">
        <f>IFERROR((VLOOKUP(C18,StarPlayersProtajer!B:K,2,0)),0)</f>
        <v>0</v>
      </c>
      <c r="K18" s="38">
        <f>IFERROR((VLOOKUP(C18,StarPlayersProtajer!B:K,3,0)),0)</f>
        <v>0</v>
      </c>
      <c r="L18" s="38">
        <f>IFERROR((VLOOKUP(C18,StarPlayersProtajer!B:K,4,0)),0)</f>
        <v>0</v>
      </c>
      <c r="M18" s="38">
        <f>IFERROR((VLOOKUP(C18,StarPlayersProtajer!B:K,5,0)),0)</f>
        <v>0</v>
      </c>
      <c r="N18" s="38">
        <f>IFERROR((VLOOKUP(C18,StarPlayersProtajer!B:K,6,0)),0)</f>
        <v>0</v>
      </c>
      <c r="O18" s="200">
        <f>IFERROR((IF(AV18="NO",AW18,VLOOKUP(C18,StarPlayersProtajer!B:K,7,0))),0)</f>
        <v>0</v>
      </c>
      <c r="P18" s="201"/>
      <c r="Q18" s="201"/>
      <c r="R18" s="201"/>
      <c r="S18" s="201"/>
      <c r="T18" s="201"/>
      <c r="U18" s="201"/>
      <c r="V18" s="201"/>
      <c r="W18" s="201"/>
      <c r="X18" s="201"/>
      <c r="Y18" s="201"/>
      <c r="Z18" s="202"/>
      <c r="AA18" s="200">
        <f>IFERROR((IF(AV18="NO",AW18,VLOOKUP(C18,StarPlayersProtajer!B:K,8,0))),0)</f>
        <v>0</v>
      </c>
      <c r="AB18" s="201"/>
      <c r="AC18" s="201"/>
      <c r="AD18" s="201"/>
      <c r="AE18" s="201"/>
      <c r="AF18" s="201"/>
      <c r="AG18" s="201"/>
      <c r="AH18" s="201"/>
      <c r="AI18" s="201"/>
      <c r="AJ18" s="201"/>
      <c r="AK18" s="201"/>
      <c r="AL18" s="201"/>
      <c r="AM18" s="202"/>
      <c r="AN18" s="203">
        <f>IFERROR((VLOOKUP(C18,StarPlayersProtajer!B:K,9,0)),0)</f>
        <v>0</v>
      </c>
      <c r="AO18" s="204"/>
      <c r="AP18" s="213"/>
      <c r="AQ18" s="1">
        <f t="shared" ref="AQ18:AQ19" si="14">IFERROR(AN18/1000,0)</f>
        <v>0</v>
      </c>
      <c r="AR18" s="1" t="str">
        <f>IF(G18&gt;I18,(IF($J$24="English","Star player not allowed… You are cheating!",(IF($J$24="Español","Jugador estrella no permitido… ¡Estás haciendo trampas!",(IF($J$24="Deutsch","Starspieler nicht erlaubt… Du schummelst!",(IF($J$24="Français","Le joueur vedette n'est pas autorisé… Tricheur!","")))))))),"")</f>
        <v/>
      </c>
      <c r="AS18" s="2" t="str">
        <f>IF(OR((AND(C18="Dribl",C19&lt;&gt;"Drull")),(AND(C18="Drull",C19&lt;&gt;"Dribl"))),(IF($J$24="English","Dribl and Drull must go together in the team!",(IF($J$24="Español","¡Dribl y Drull deben ir juntos en el equipo!",(IF($J$24="Deutsch","Dribl und Drull müssen zusammen in die Mannschaft gehen!",(IF($J$24="Français","Dribl et Drull doivent aller ensemble dans l'équipe!","")))))))),"")</f>
        <v/>
      </c>
      <c r="AT18" s="1" t="str">
        <f>IF(OR((AND(C18="Grak",C19&lt;&gt;"Crumbleberry")),(AND(C18="Crumbleberry",C19&lt;&gt;"Grak"))),(IF($J$24="English","Grak and Crumbleberry must go together in the team!",(IF($J$24="Español","¡Grak y Crumbleberry deben ir juntos en el equipo!",(IF($J$24="Deutsch","Grak und Crumbleberry müssen zusammen in die Mannschaft gehen!",(IF($J$24="Français","Grak et Crumbleberry doivent aller ensemble dans l'équipe!","")))))))),"")</f>
        <v/>
      </c>
      <c r="AU18" s="1" t="str">
        <f>IF(OR((AND(C18="Lucien Swift",C19&lt;&gt;"Valen Swift")),(AND(C18="Valen Swift",C19&lt;&gt;"Lucien Swift"))),(IF($J$24="English","Lucien Swift and Valen Swift must go together in the team!",(IF($J$24="Español","¡Lucien Swift y Valen Swift deben ir juntos en el equipo!",(IF($J$24="Deutsch","Lucien Swift und Valen Swift müssen zusammen in die Mannschaft gehen!",(IF($J$24="Français","Lucien Swift et Valen Swift doivent aller ensemble dans l'équipe!","")))))))),"")</f>
        <v/>
      </c>
      <c r="AV18" s="1" t="str">
        <f>IF(OR(AR18&lt;&gt;"",AS18&lt;&gt;"",AT18&lt;&gt;"",AU18&lt;&gt;""),"NO","YES")</f>
        <v>YES</v>
      </c>
      <c r="AW18" s="1" t="str">
        <f>_xlfn.CONCAT(AS18," ",AR18," ",AT18," ",AU18)</f>
        <v xml:space="preserve">   </v>
      </c>
      <c r="AX18" s="2"/>
      <c r="AY18" s="2"/>
      <c r="AZ18" s="2"/>
      <c r="BA18" s="2"/>
      <c r="BB18" s="2"/>
      <c r="BC18" s="2"/>
      <c r="BD18" s="2"/>
      <c r="BE18" s="2"/>
      <c r="BK18" s="2"/>
      <c r="BL18" s="2" t="s">
        <v>82</v>
      </c>
      <c r="BM18" s="21" t="str">
        <f t="shared" si="12"/>
        <v xml:space="preserve">Khorne </v>
      </c>
      <c r="BN18" s="2" t="s">
        <v>83</v>
      </c>
      <c r="BO18" s="2"/>
      <c r="BP18" s="2">
        <v>70000</v>
      </c>
      <c r="BQ18" s="2">
        <v>50000</v>
      </c>
      <c r="BR18" s="2">
        <v>1</v>
      </c>
      <c r="BS18" s="42" t="str">
        <f>IF($J$24="Español","Clásica del Viejo Mundo",(IF($J$24="Deutsch","Alte-Welt-Klassiker",(IF($J$24="Français","Classique du Vieux Monde","Old World Classic")))))</f>
        <v>Clásica del Viejo Mundo</v>
      </c>
      <c r="BT18" s="3" t="s">
        <v>78</v>
      </c>
      <c r="BU18" s="3"/>
      <c r="BV18" s="3"/>
      <c r="BW18" s="3"/>
      <c r="BX18" s="3"/>
      <c r="BY18" s="2" t="s">
        <v>92</v>
      </c>
      <c r="BZ18" s="2" t="s">
        <v>93</v>
      </c>
      <c r="CA18" s="46" t="s">
        <v>94</v>
      </c>
      <c r="CB18" s="1" t="s">
        <v>95</v>
      </c>
      <c r="CC18" s="7"/>
      <c r="CD18" s="1"/>
      <c r="CE18" s="2" t="s">
        <v>92</v>
      </c>
      <c r="CF18" s="2" t="s">
        <v>88</v>
      </c>
      <c r="CG18" s="46" t="s">
        <v>100</v>
      </c>
      <c r="CH18" s="23" t="s">
        <v>56</v>
      </c>
      <c r="CI18" s="2"/>
      <c r="CJ18" s="2"/>
      <c r="CK18" s="2"/>
      <c r="CL18" s="2"/>
      <c r="CM18" s="2"/>
      <c r="CN18" s="2"/>
      <c r="CO18" s="2"/>
      <c r="CP18" s="2"/>
      <c r="CQ18" s="2"/>
      <c r="CR18" s="2"/>
      <c r="CS18" s="2"/>
      <c r="CT18" s="2"/>
      <c r="CU18" s="2"/>
      <c r="CV18" s="2"/>
      <c r="CW18" s="2"/>
      <c r="CX18" s="2"/>
      <c r="CY18" s="2"/>
      <c r="CZ18" s="2"/>
    </row>
    <row r="19" spans="1:104" ht="45" customHeight="1" x14ac:dyDescent="0.2">
      <c r="A19" s="47" t="s">
        <v>91</v>
      </c>
      <c r="B19" s="45" t="str">
        <f>IF($J$24="Italiano","Star Player",(IF($J$24="Español","Jugadores Estrella",(IF($J$24="Français","Star Player",(IF($J$24="Deutsch","Starspielers","Star Player")))))))</f>
        <v>Jugadores Estrella</v>
      </c>
      <c r="C19" s="205"/>
      <c r="D19" s="206"/>
      <c r="E19" s="206"/>
      <c r="F19" s="207"/>
      <c r="G19" s="48">
        <f>IF(C19=" ",0,(COUNTIF(C18:F20,C19)))</f>
        <v>0</v>
      </c>
      <c r="H19" s="49" t="s">
        <v>13</v>
      </c>
      <c r="I19" s="50">
        <f>IFERROR((VLOOKUP(C19,StarPlayersProtajer!B:K,10,0)),0)</f>
        <v>0</v>
      </c>
      <c r="J19" s="51">
        <f>IFERROR((VLOOKUP(C19,StarPlayersProtajer!B:K,2,0)),0)</f>
        <v>0</v>
      </c>
      <c r="K19" s="51">
        <f>IFERROR((VLOOKUP(C19,StarPlayersProtajer!B:K,3,0)),0)</f>
        <v>0</v>
      </c>
      <c r="L19" s="38">
        <f>IFERROR((VLOOKUP(C19,StarPlayersProtajer!B:K,4,0)),0)</f>
        <v>0</v>
      </c>
      <c r="M19" s="38">
        <f>IFERROR((VLOOKUP(C19,StarPlayersProtajer!B:K,5,0)),0)</f>
        <v>0</v>
      </c>
      <c r="N19" s="51">
        <f>IFERROR((VLOOKUP(C19,StarPlayersProtajer!B:K,6,0)),0)</f>
        <v>0</v>
      </c>
      <c r="O19" s="200">
        <f>IFERROR((IF(AV19="NO",AW19,VLOOKUP(C19,StarPlayersProtajer!B:K,7,0))),0)</f>
        <v>0</v>
      </c>
      <c r="P19" s="201"/>
      <c r="Q19" s="201"/>
      <c r="R19" s="201"/>
      <c r="S19" s="201"/>
      <c r="T19" s="201"/>
      <c r="U19" s="201"/>
      <c r="V19" s="201"/>
      <c r="W19" s="201"/>
      <c r="X19" s="201"/>
      <c r="Y19" s="201"/>
      <c r="Z19" s="202"/>
      <c r="AA19" s="200">
        <f>IFERROR((IF(AV19="NO",AW19,VLOOKUP(C19,StarPlayersProtajer!B:K,8,0))),0)</f>
        <v>0</v>
      </c>
      <c r="AB19" s="201"/>
      <c r="AC19" s="201"/>
      <c r="AD19" s="201"/>
      <c r="AE19" s="201"/>
      <c r="AF19" s="201"/>
      <c r="AG19" s="201"/>
      <c r="AH19" s="201"/>
      <c r="AI19" s="201"/>
      <c r="AJ19" s="201"/>
      <c r="AK19" s="201"/>
      <c r="AL19" s="201"/>
      <c r="AM19" s="202"/>
      <c r="AN19" s="203">
        <f>IFERROR((VLOOKUP(C19,StarPlayersProtajer!B:K,9,0)),0)</f>
        <v>0</v>
      </c>
      <c r="AO19" s="204"/>
      <c r="AP19" s="213"/>
      <c r="AQ19" s="1">
        <f t="shared" si="14"/>
        <v>0</v>
      </c>
      <c r="AR19" s="1" t="str">
        <f>IF(G19&gt;I19,(IF($J$24="English","Star player not allowed… You are cheating!",(IF($J$24="Español","Jugador estrella no permitido… ¡Estás haciendo trampas!",(IF($J$24="Deutsch","Starspieler nicht erlaubt… Du schummelst!",(IF($J$24="Français","Le joueur vedette n'est pas autorisé… Tricheur!","")))))))),"")</f>
        <v/>
      </c>
      <c r="AS19" s="2" t="str">
        <f>IF(OR((AND(C19="Dribl",C18&lt;&gt;"Drull")),(AND(C19="Drull",C18&lt;&gt;"Dribl"))),(IF($J$24="English","Dribl and Drull must go together in the team!",(IF($J$24="Español","¡Dribl y Drull deben ir juntos en el equipo!",(IF($J$24="Deutsch","Dribl und Drull müssen zusammen in die Mannschaft gehen!",(IF($J$24="Français","Dribl et Drull doivent aller ensemble dans l'équipe!","")))))))),"")</f>
        <v/>
      </c>
      <c r="AT19" s="1" t="str">
        <f>IF(OR((AND(C19="Grak",C18&lt;&gt;"Crumbleberry")),(AND(C19="Crumbleberry",C18&lt;&gt;"Grak"))),(IF($J$24="English","Grak and Crumbleberry must go together in the team!",(IF($J$24="Español","¡Grak y Crumbleberry deben ir juntos en el equipo!",(IF($J$24="Deutsch","Grak und Crumbleberry müssen zusammen in die Mannschaft gehen!",(IF($J$24="Français","Grak et Crumbleberry doivent aller ensemble dans l'équipe!","")))))))),"")</f>
        <v/>
      </c>
      <c r="AU19" s="1" t="str">
        <f>IF(OR((AND(C19="Lucien Swift",C18&lt;&gt;"Valen Swift")),(AND(C19="Valen Swift",C18&lt;&gt;"Lucien Swift"))),(IF($J$24="English","Lucien Swift and Valen Swift must go together in the team!",(IF($J$24="Español","¡Lucien Swift y Valen Swift deben ir juntos en el equipo!",(IF($J$24="Deutsch","Lucien Swift und Valen Swift müssen zusammen in die Mannschaft gehen!",(IF($J$24="Français","Lucien Swift et Valen Swift doivent aller ensemble dans l'équipe!","")))))))),"")</f>
        <v/>
      </c>
      <c r="AV19" s="1" t="str">
        <f>IF(OR(AR19&lt;&gt;"",AS19&lt;&gt;"",AT19&lt;&gt;"",AU19&lt;&gt;""),"NO","YES")</f>
        <v>YES</v>
      </c>
      <c r="AW19" s="1" t="str">
        <f>_xlfn.CONCAT(AS19," ",AR19," ",AT19," ",AU19)</f>
        <v xml:space="preserve">   </v>
      </c>
      <c r="AX19" s="2"/>
      <c r="AY19" s="2"/>
      <c r="AZ19" s="2"/>
      <c r="BA19" s="2"/>
      <c r="BB19" s="2"/>
      <c r="BC19" s="2"/>
      <c r="BD19" s="2"/>
      <c r="BE19" s="2"/>
      <c r="BK19" s="2"/>
      <c r="BL19" s="2" t="s">
        <v>87</v>
      </c>
      <c r="BM19" s="21" t="str">
        <f t="shared" si="12"/>
        <v>Lagartos</v>
      </c>
      <c r="BN19" s="2" t="s">
        <v>87</v>
      </c>
      <c r="BO19" s="2"/>
      <c r="BP19" s="2">
        <v>60000</v>
      </c>
      <c r="BQ19" s="2">
        <v>50000</v>
      </c>
      <c r="BR19" s="2">
        <v>1</v>
      </c>
      <c r="BS19" s="42" t="str">
        <f>IF($J$24="Español","Elegido de Khorne",(IF($J$24="Deutsch","Auserwählte des Khorne",(IF($J$24="Français","Favori de Khorne","Favoured of Khorne")))))</f>
        <v>Elegido de Khorne</v>
      </c>
      <c r="BT19" s="3" t="s">
        <v>31</v>
      </c>
      <c r="BW19" s="3"/>
      <c r="BX19" s="3"/>
      <c r="BY19" s="2" t="s">
        <v>96</v>
      </c>
      <c r="BZ19" s="2" t="s">
        <v>99</v>
      </c>
      <c r="CA19" s="46" t="s">
        <v>100</v>
      </c>
      <c r="CB19" s="1" t="s">
        <v>101</v>
      </c>
      <c r="CC19" s="2"/>
      <c r="CD19" s="1"/>
      <c r="CE19" s="2" t="s">
        <v>96</v>
      </c>
      <c r="CF19" s="2" t="s">
        <v>93</v>
      </c>
      <c r="CG19" s="46" t="s">
        <v>107</v>
      </c>
      <c r="CH19" s="1" t="s">
        <v>40</v>
      </c>
      <c r="CI19" s="2"/>
      <c r="CJ19" s="2"/>
      <c r="CK19" s="2"/>
      <c r="CL19" s="2"/>
      <c r="CM19" s="2"/>
      <c r="CN19" s="2"/>
      <c r="CO19" s="2"/>
      <c r="CP19" s="2"/>
      <c r="CQ19" s="2"/>
      <c r="CR19" s="2"/>
      <c r="CS19" s="2"/>
      <c r="CT19" s="2"/>
      <c r="CU19" s="2"/>
      <c r="CV19" s="2"/>
      <c r="CW19" s="2"/>
      <c r="CX19" s="2"/>
      <c r="CY19" s="2"/>
      <c r="CZ19" s="2"/>
    </row>
    <row r="20" spans="1:104" ht="45" hidden="1" customHeight="1" x14ac:dyDescent="0.2">
      <c r="A20" s="47" t="s">
        <v>91</v>
      </c>
      <c r="B20" s="45" t="str">
        <f>IF($J$24="Italiano","Star Player",(IF($J$24="Español","Jugadores Estrella",(IF($J$24="Français","Star Player",(IF($J$24="Deutsch","Starspielers","Star Player")))))))</f>
        <v>Jugadores Estrella</v>
      </c>
      <c r="C20" s="205" t="s">
        <v>216</v>
      </c>
      <c r="D20" s="206"/>
      <c r="E20" s="206"/>
      <c r="F20" s="207"/>
      <c r="G20" s="48">
        <f>IF(C20=" ",0,(COUNTIF(C18:F20,C20)))</f>
        <v>0</v>
      </c>
      <c r="H20" s="49" t="s">
        <v>13</v>
      </c>
      <c r="I20" s="50">
        <f>IFERROR((VLOOKUP(C20,StarPlayersProtajer!B:K,10,0)),0)</f>
        <v>2</v>
      </c>
      <c r="J20" s="51">
        <f>IFERROR((VLOOKUP(C20,StarPlayersProtajer!B:K,2,0)),0)</f>
        <v>0</v>
      </c>
      <c r="K20" s="51">
        <f>IFERROR((VLOOKUP(C20,StarPlayersProtajer!B:K,3,0)),0)</f>
        <v>0</v>
      </c>
      <c r="L20" s="38">
        <f>IFERROR((VLOOKUP(C20,StarPlayersProtajer!B:K,4,0)),0)</f>
        <v>0</v>
      </c>
      <c r="M20" s="38">
        <f>IFERROR((VLOOKUP(C20,StarPlayersProtajer!B:K,5,0)),0)</f>
        <v>0</v>
      </c>
      <c r="N20" s="51">
        <f>IFERROR((VLOOKUP(C20,StarPlayersProtajer!B:K,6,0)),0)</f>
        <v>0</v>
      </c>
      <c r="O20" s="200">
        <f>IFERROR((IF(G20&gt;I20,AS20,VLOOKUP(C20,StarPlayersProtajer!B:K,7,0))),0)</f>
        <v>0</v>
      </c>
      <c r="P20" s="201"/>
      <c r="Q20" s="201"/>
      <c r="R20" s="201"/>
      <c r="S20" s="201"/>
      <c r="T20" s="201"/>
      <c r="U20" s="201"/>
      <c r="V20" s="201"/>
      <c r="W20" s="201"/>
      <c r="X20" s="201"/>
      <c r="Y20" s="201"/>
      <c r="Z20" s="202"/>
      <c r="AA20" s="200">
        <f>IFERROR((IF(G20&gt;I20,AS20,VLOOKUP(C20,StarPlayersProtajer!B:K,8,0))),0)</f>
        <v>0</v>
      </c>
      <c r="AB20" s="201"/>
      <c r="AC20" s="201"/>
      <c r="AD20" s="201"/>
      <c r="AE20" s="201"/>
      <c r="AF20" s="201"/>
      <c r="AG20" s="201"/>
      <c r="AH20" s="201"/>
      <c r="AI20" s="201"/>
      <c r="AJ20" s="201"/>
      <c r="AK20" s="201"/>
      <c r="AL20" s="201"/>
      <c r="AM20" s="202"/>
      <c r="AN20" s="203">
        <f>IFERROR((VLOOKUP(C20,StarPlayersProtajer!B:K,9,0)),0)</f>
        <v>0</v>
      </c>
      <c r="AO20" s="204"/>
      <c r="AP20" s="213"/>
      <c r="AQ20" s="1">
        <f>IFERROR(AN20/1000,0)</f>
        <v>0</v>
      </c>
      <c r="AR20" s="1"/>
      <c r="AS20" s="2" t="str">
        <f t="shared" ref="AS20" si="15">IF(G20&gt;I20,(IF($J$24="English","Player limit exceded… You are cheating!",(IF($J$24="Español","Límite de jugadores excedido… ¡Estás haciendo trampas!",(IF($J$24="Deutsch","Spieler-Limit überschritten… Du schummelst!",(IF($J$24="Français","Tu as trop de joueurs… Tricheur!","")))))))),"")</f>
        <v/>
      </c>
      <c r="AT20" s="1"/>
      <c r="AU20" s="1"/>
      <c r="AV20" s="1"/>
      <c r="AW20" s="1"/>
      <c r="AX20" s="2"/>
      <c r="AY20" s="2"/>
      <c r="AZ20" s="2"/>
      <c r="BA20" s="2"/>
      <c r="BB20" s="2"/>
      <c r="BC20" s="2"/>
      <c r="BD20" s="2"/>
      <c r="BE20" s="2"/>
      <c r="BK20" s="2"/>
      <c r="BL20" s="2" t="s">
        <v>92</v>
      </c>
      <c r="BM20" s="21" t="str">
        <f t="shared" si="12"/>
        <v>Nórdicos</v>
      </c>
      <c r="BN20" s="2" t="s">
        <v>92</v>
      </c>
      <c r="BO20" s="2"/>
      <c r="BP20" s="2">
        <v>70000</v>
      </c>
      <c r="BQ20" s="2">
        <v>50000</v>
      </c>
      <c r="BR20" s="2">
        <v>1</v>
      </c>
      <c r="BS20" s="42" t="str">
        <f>IF($J$24="Español","Superliga Lustriana",(IF($J$24="Deutsch","Lustria-Superliga",(IF($J$24="Français","Super-Ligue de Lustrie","Lustrian Superleague")))))</f>
        <v>Superliga Lustriana</v>
      </c>
      <c r="BT20" s="3" t="s">
        <v>21</v>
      </c>
      <c r="BU20" s="3"/>
      <c r="BV20" s="3"/>
      <c r="BW20" s="3"/>
      <c r="BY20" s="2" t="s">
        <v>103</v>
      </c>
      <c r="BZ20" s="2" t="s">
        <v>1683</v>
      </c>
      <c r="CA20" s="46" t="s">
        <v>103</v>
      </c>
      <c r="CB20" s="1" t="s">
        <v>1684</v>
      </c>
      <c r="CC20" s="2"/>
      <c r="CD20" s="1"/>
      <c r="CE20" s="2" t="s">
        <v>103</v>
      </c>
      <c r="CF20" s="2" t="s">
        <v>1683</v>
      </c>
      <c r="CG20" s="46" t="s">
        <v>103</v>
      </c>
      <c r="CH20" s="1" t="s">
        <v>1684</v>
      </c>
      <c r="CI20" s="2"/>
      <c r="CJ20" s="2"/>
      <c r="CK20" s="2"/>
      <c r="CL20" s="2"/>
      <c r="CM20" s="2"/>
      <c r="CN20" s="2"/>
      <c r="CO20" s="2"/>
      <c r="CP20" s="2"/>
      <c r="CQ20" s="2"/>
      <c r="CR20" s="2"/>
      <c r="CS20" s="2"/>
      <c r="CT20" s="2"/>
      <c r="CU20" s="2"/>
      <c r="CV20" s="2"/>
      <c r="CW20" s="2"/>
      <c r="CX20" s="2"/>
      <c r="CY20" s="2"/>
      <c r="CZ20" s="2"/>
    </row>
    <row r="21" spans="1:104" ht="18.75" customHeight="1" x14ac:dyDescent="0.2">
      <c r="A21" s="164" t="e" vm="1">
        <v>#VALUE!</v>
      </c>
      <c r="B21" s="165"/>
      <c r="C21" s="178" t="str">
        <f>IF(J24="Italiano","ALLENATORE CAPO",(IF(J24="Español","ENTRENADOR",(IF(J24="Deutsch","CHEFTRAINER",(IF(J24="Français","COACH","COACH")))))))</f>
        <v>ENTRENADOR</v>
      </c>
      <c r="D21" s="179"/>
      <c r="E21" s="179"/>
      <c r="F21" s="179"/>
      <c r="G21" s="179"/>
      <c r="H21" s="179"/>
      <c r="I21" s="180"/>
      <c r="J21" s="188"/>
      <c r="K21" s="189"/>
      <c r="L21" s="189"/>
      <c r="M21" s="189"/>
      <c r="N21" s="189"/>
      <c r="O21" s="189"/>
      <c r="P21" s="189"/>
      <c r="Q21" s="190"/>
      <c r="R21" s="178" t="str">
        <f>IF(J24="Italiano","TIFOSI SFEGATATI",(IF(J24="Español","FANS DEDICADOS",(IF(J24="Deutsch","TREUE FANS",(IF(J24="Français","FANS DÉVOUÉS","DEDICATED FANS")))))))</f>
        <v>FANS DEDICADOS</v>
      </c>
      <c r="S21" s="179"/>
      <c r="T21" s="179"/>
      <c r="U21" s="179"/>
      <c r="V21" s="180"/>
      <c r="W21" s="30">
        <v>0</v>
      </c>
      <c r="X21" s="52" t="s">
        <v>102</v>
      </c>
      <c r="Y21" s="157">
        <v>10000</v>
      </c>
      <c r="Z21" s="157"/>
      <c r="AA21" s="53" t="str">
        <f t="shared" ref="AA21:AA28" si="16">IF($J$24="Español","mo",(IF($J$24="Deutsch","gm",(IF($J$24="Français","po","gp")))))</f>
        <v>mo</v>
      </c>
      <c r="AB21" s="170">
        <f>IFERROR(W21*Y21,0)</f>
        <v>0</v>
      </c>
      <c r="AC21" s="171"/>
      <c r="AD21" s="178"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MÉDICO</v>
      </c>
      <c r="AE21" s="179"/>
      <c r="AF21" s="179"/>
      <c r="AG21" s="179"/>
      <c r="AH21" s="180"/>
      <c r="AI21" s="32">
        <v>0</v>
      </c>
      <c r="AJ21" s="52" t="s">
        <v>102</v>
      </c>
      <c r="AK21" s="157">
        <f>IF(OR(BO1="Necromantic",BO1="Shambling Undead",BO1="Nurgle"),100000,(VLOOKUP(BO1,BL:BQ,6,0)))</f>
        <v>50000</v>
      </c>
      <c r="AL21" s="157"/>
      <c r="AM21" s="53" t="str">
        <f t="shared" ref="AM21:AM28" si="17">IF($J$24="Español","mo",(IF($J$24="Deutsch","gm",(IF($J$24="Français","po","gp")))))</f>
        <v>mo</v>
      </c>
      <c r="AN21" s="170">
        <f>IFERROR(IF(OR(AJ35="NO",AJ35="NON",AJ35="NEIN"),AI21*AK21,0),0)</f>
        <v>0</v>
      </c>
      <c r="AO21" s="171"/>
      <c r="AP21" s="213"/>
      <c r="AQ21" s="54"/>
      <c r="AR21" s="2"/>
      <c r="AS21" s="1"/>
      <c r="AT21" s="1"/>
      <c r="AU21" s="1"/>
      <c r="AV21" s="1"/>
      <c r="AW21" s="1"/>
      <c r="AX21" s="2"/>
      <c r="AY21" s="2"/>
      <c r="AZ21" s="2"/>
      <c r="BA21" s="2"/>
      <c r="BB21" s="2"/>
      <c r="BC21" s="2"/>
      <c r="BD21" s="2"/>
      <c r="BE21" s="2"/>
      <c r="BK21" s="2"/>
      <c r="BL21" s="2" t="s">
        <v>96</v>
      </c>
      <c r="BM21" s="21" t="str">
        <f t="shared" si="12"/>
        <v>Nigromanticos</v>
      </c>
      <c r="BN21" s="2" t="s">
        <v>96</v>
      </c>
      <c r="BO21" s="2"/>
      <c r="BP21" s="2">
        <v>70000</v>
      </c>
      <c r="BQ21" s="2">
        <v>0</v>
      </c>
      <c r="BR21" s="2">
        <v>0</v>
      </c>
      <c r="BS21" s="42" t="str">
        <f>IF($J$24="Español","Señores de los No Muertos, Selectiva de Sylvania",(IF($J$24="Deutsch","Masters of Undeath, Sylvanisches Rampenlicht",(IF($J$24="Français","Masters of Undeath, Spot de Sylvanie","Masters of Undeath, Sylvanian Spotlight")))))</f>
        <v>Señores de los No Muertos, Selectiva de Sylvania</v>
      </c>
      <c r="BT21" s="3" t="s">
        <v>97</v>
      </c>
      <c r="BU21" s="3" t="s">
        <v>98</v>
      </c>
      <c r="BV21" s="3"/>
      <c r="BW21" s="3"/>
      <c r="BX21" s="3"/>
      <c r="BY21" s="2" t="s">
        <v>105</v>
      </c>
      <c r="BZ21" s="2" t="s">
        <v>106</v>
      </c>
      <c r="CA21" s="46" t="s">
        <v>107</v>
      </c>
      <c r="CB21" s="1" t="s">
        <v>108</v>
      </c>
      <c r="CC21"/>
      <c r="CD21"/>
      <c r="CE21" s="2" t="s">
        <v>105</v>
      </c>
      <c r="CF21" s="2" t="s">
        <v>99</v>
      </c>
      <c r="CG21" s="46" t="s">
        <v>114</v>
      </c>
      <c r="CH21" s="25" t="s">
        <v>86</v>
      </c>
      <c r="CI21" s="2"/>
      <c r="CJ21" s="2"/>
      <c r="CK21" s="2"/>
      <c r="CL21" s="2"/>
      <c r="CM21" s="2"/>
      <c r="CN21" s="2"/>
      <c r="CO21" s="2"/>
      <c r="CP21" s="2"/>
      <c r="CQ21" s="2"/>
      <c r="CR21" s="2"/>
      <c r="CS21" s="2"/>
      <c r="CT21" s="2"/>
      <c r="CU21" s="2"/>
      <c r="CV21" s="2"/>
      <c r="CW21" s="2"/>
      <c r="CX21" s="2"/>
      <c r="CY21" s="2"/>
      <c r="CZ21" s="2"/>
    </row>
    <row r="22" spans="1:104" ht="18.75" customHeight="1" x14ac:dyDescent="0.2">
      <c r="A22" s="166"/>
      <c r="B22" s="167"/>
      <c r="C22" s="178" t="str">
        <f>IF(J24="Italiano","NUMERO NAF",(IF(J24="Español","NÚMERO NAF",(IF(J24="Deutsch","NAF-NUMMER",(IF(J24="Français","NUMÉRO NAF","NAF NUMBER")))))))</f>
        <v>NÚMERO NAF</v>
      </c>
      <c r="D22" s="179"/>
      <c r="E22" s="179"/>
      <c r="F22" s="179"/>
      <c r="G22" s="179"/>
      <c r="H22" s="179"/>
      <c r="I22" s="180"/>
      <c r="J22" s="188"/>
      <c r="K22" s="189"/>
      <c r="L22" s="189"/>
      <c r="M22" s="189"/>
      <c r="N22" s="189"/>
      <c r="O22" s="189"/>
      <c r="P22" s="189"/>
      <c r="Q22" s="190"/>
      <c r="R22" s="178" t="str">
        <f>IF(J24="Italiano","REROLLS",(IF(J24="Español","SEGUNDAS OPORTUNIDADES",(IF(J24="Deutsch","NEUWÜRFE",(IF(J24="Français","RELANCES","REROLLS")))))))</f>
        <v>SEGUNDAS OPORTUNIDADES</v>
      </c>
      <c r="S22" s="179"/>
      <c r="T22" s="179"/>
      <c r="U22" s="179"/>
      <c r="V22" s="180"/>
      <c r="W22" s="30">
        <v>0</v>
      </c>
      <c r="X22" s="52" t="s">
        <v>102</v>
      </c>
      <c r="Y22" s="157">
        <f>IFERROR(VLOOKUP(BO1,BL:BP,5,0),0)</f>
        <v>70000</v>
      </c>
      <c r="Z22" s="157"/>
      <c r="AA22" s="53" t="str">
        <f t="shared" si="16"/>
        <v>mo</v>
      </c>
      <c r="AB22" s="170">
        <f t="shared" ref="AB22:AB24" si="18">IFERROR(W22*Y22,0)</f>
        <v>0</v>
      </c>
      <c r="AC22" s="171"/>
      <c r="AD22" s="178" t="str">
        <f>IF(J24="Italiano","MAGO DEL CLIMA",(IF(J24="Español","MAGO DEL TIEMPO",(IF(J24="Deutsch","WETTERMAGIER",(IF(J24="Français","MAGE MÉTÉO","WEATHER MAGE")))))))</f>
        <v>MAGO DEL TIEMPO</v>
      </c>
      <c r="AE22" s="179"/>
      <c r="AF22" s="179"/>
      <c r="AG22" s="179"/>
      <c r="AH22" s="180"/>
      <c r="AI22" s="30">
        <v>0</v>
      </c>
      <c r="AJ22" s="52" t="s">
        <v>102</v>
      </c>
      <c r="AK22" s="157">
        <v>30000</v>
      </c>
      <c r="AL22" s="157"/>
      <c r="AM22" s="53" t="str">
        <f t="shared" si="17"/>
        <v>mo</v>
      </c>
      <c r="AN22" s="170">
        <f t="shared" ref="AN22:AN28" si="19">IFERROR(AI22*AK22,0)</f>
        <v>0</v>
      </c>
      <c r="AO22" s="171"/>
      <c r="AP22" s="213"/>
      <c r="AQ22" s="54"/>
      <c r="AR22" s="2"/>
      <c r="AV22" s="1"/>
      <c r="AW22" s="1"/>
      <c r="AX22" s="2"/>
      <c r="AY22" s="2"/>
      <c r="AZ22" s="2"/>
      <c r="BA22" s="2"/>
      <c r="BB22" s="2"/>
      <c r="BC22" s="2"/>
      <c r="BD22" s="2"/>
      <c r="BE22" s="2"/>
      <c r="BK22" s="2"/>
      <c r="BL22" s="2"/>
      <c r="BM22" s="21" t="str">
        <f t="shared" si="12"/>
        <v>No Muertos</v>
      </c>
      <c r="BN22" s="2"/>
      <c r="BO22" s="2"/>
      <c r="BP22" s="2">
        <v>60000</v>
      </c>
      <c r="BQ22" s="2">
        <v>50000</v>
      </c>
      <c r="BR22" s="2">
        <v>1</v>
      </c>
      <c r="BS22" s="42" t="str">
        <f>IF($J$24="Español","Superliga Lustriana y Clásica del Viejo Mundo",(IF($J$24="Deutsch","Lustria-Superliga und Alte-Welt-Klassiker",(IF($J$24="Français","Super-Ligue de Lustrie et Classique du Vieux Monde","Lustrian Superleague and Old World Classic")))))</f>
        <v>Superliga Lustriana y Clásica del Viejo Mundo</v>
      </c>
      <c r="BT22" s="3" t="s">
        <v>104</v>
      </c>
      <c r="BU22" s="3"/>
      <c r="BV22" s="3"/>
      <c r="BW22" s="3"/>
      <c r="BX22" s="3"/>
      <c r="BY22" s="2" t="s">
        <v>110</v>
      </c>
      <c r="BZ22" s="2" t="s">
        <v>113</v>
      </c>
      <c r="CA22" s="46" t="s">
        <v>114</v>
      </c>
      <c r="CB22" s="1" t="s">
        <v>115</v>
      </c>
      <c r="CC22" s="2"/>
      <c r="CD22" s="1"/>
      <c r="CE22" s="2" t="s">
        <v>110</v>
      </c>
      <c r="CF22" s="2" t="s">
        <v>130</v>
      </c>
      <c r="CG22" s="46" t="s">
        <v>121</v>
      </c>
      <c r="CH22" s="1" t="s">
        <v>108</v>
      </c>
      <c r="CI22" s="2"/>
      <c r="CJ22" s="2"/>
      <c r="CK22" s="2"/>
      <c r="CL22" s="2"/>
      <c r="CM22" s="2"/>
      <c r="CN22" s="2"/>
      <c r="CO22" s="2"/>
      <c r="CP22" s="2"/>
      <c r="CQ22" s="2"/>
      <c r="CR22" s="2"/>
      <c r="CS22" s="2"/>
      <c r="CT22" s="2"/>
      <c r="CU22" s="2"/>
      <c r="CV22" s="2"/>
      <c r="CW22" s="2"/>
      <c r="CX22" s="2"/>
      <c r="CY22" s="2"/>
      <c r="CZ22" s="2"/>
    </row>
    <row r="23" spans="1:104" ht="18.75" customHeight="1" x14ac:dyDescent="0.2">
      <c r="A23" s="166"/>
      <c r="B23" s="167"/>
      <c r="C23" s="172" t="str">
        <f>IF(J24="Italiano","RAZZA",(IF(J24="Español","RAZA",(IF(J24="Deutsch","RASSE",(IF(J24="Français","TYPE D’ÉQUIPE","RACE")))))))</f>
        <v>RAZA</v>
      </c>
      <c r="D23" s="173"/>
      <c r="E23" s="173"/>
      <c r="F23" s="173"/>
      <c r="G23" s="173"/>
      <c r="H23" s="173"/>
      <c r="I23" s="174"/>
      <c r="J23" s="194" t="s">
        <v>120</v>
      </c>
      <c r="K23" s="195"/>
      <c r="L23" s="195"/>
      <c r="M23" s="195"/>
      <c r="N23" s="195"/>
      <c r="O23" s="195"/>
      <c r="P23" s="195"/>
      <c r="Q23" s="196"/>
      <c r="R23" s="178" t="str">
        <f>IF(J24="Español","ANIMADORAS",(IF(J24="Deutsch","CHEERLEADER","CHEERLEADERS")))</f>
        <v>ANIMADORAS</v>
      </c>
      <c r="S23" s="179"/>
      <c r="T23" s="179"/>
      <c r="U23" s="179"/>
      <c r="V23" s="180"/>
      <c r="W23" s="30">
        <v>0</v>
      </c>
      <c r="X23" s="52" t="s">
        <v>102</v>
      </c>
      <c r="Y23" s="157">
        <v>10000</v>
      </c>
      <c r="Z23" s="157"/>
      <c r="AA23" s="53" t="str">
        <f t="shared" si="16"/>
        <v>mo</v>
      </c>
      <c r="AB23" s="170">
        <f t="shared" si="18"/>
        <v>0</v>
      </c>
      <c r="AC23" s="171"/>
      <c r="AD23" s="181" t="s">
        <v>109</v>
      </c>
      <c r="AE23" s="182"/>
      <c r="AF23" s="182"/>
      <c r="AG23" s="182"/>
      <c r="AH23" s="183"/>
      <c r="AI23" s="30">
        <v>0</v>
      </c>
      <c r="AJ23" s="52" t="s">
        <v>102</v>
      </c>
      <c r="AK23" s="157">
        <f>IFERROR((VLOOKUP(AD23,BH64:BI88,2,FALSE)),0)</f>
        <v>0</v>
      </c>
      <c r="AL23" s="157"/>
      <c r="AM23" s="53" t="str">
        <f t="shared" si="17"/>
        <v>mo</v>
      </c>
      <c r="AN23" s="170">
        <f t="shared" si="19"/>
        <v>0</v>
      </c>
      <c r="AO23" s="171"/>
      <c r="AP23" s="213"/>
      <c r="AQ23" s="54"/>
      <c r="AR23" s="2"/>
      <c r="AS23" s="1"/>
      <c r="AT23" s="1"/>
      <c r="AU23" s="1"/>
      <c r="AV23" s="1"/>
      <c r="AW23" s="1"/>
      <c r="AX23" s="2"/>
      <c r="AY23" s="2"/>
      <c r="AZ23" s="2"/>
      <c r="BA23" s="2"/>
      <c r="BB23" s="2"/>
      <c r="BC23" s="2"/>
      <c r="BD23" s="2"/>
      <c r="BE23" s="2"/>
      <c r="BK23" s="2"/>
      <c r="BL23" s="2" t="s">
        <v>103</v>
      </c>
      <c r="BM23" s="21" t="str">
        <f t="shared" si="12"/>
        <v>Nobles Imperiales</v>
      </c>
      <c r="BN23" s="2" t="s">
        <v>103</v>
      </c>
      <c r="BP23" s="2">
        <v>60000</v>
      </c>
      <c r="BQ23" s="2">
        <v>50000</v>
      </c>
      <c r="BR23" s="2">
        <v>1</v>
      </c>
      <c r="BS23" s="3" t="str">
        <f>IF($J$24="Español","Clásica del Viejo Mundo o Elegido de Khorne o Caos",(IF($J$24="Deutsch","Alte-Welt-Klassiker o Auserwählte des Khorne o Chaos",(IF($J$24="Français","Classique du Vieux Monde o Favori de Khorne o Chaos","Old World Classic or Favoured of Khorne or Chaos")))))</f>
        <v>Clásica del Viejo Mundo o Elegido de Khorne o Caos</v>
      </c>
      <c r="BT23" s="3" t="s">
        <v>1182</v>
      </c>
      <c r="BU23" s="3"/>
      <c r="BX23" s="3"/>
      <c r="BY23" s="2" t="s">
        <v>118</v>
      </c>
      <c r="BZ23" s="2" t="s">
        <v>120</v>
      </c>
      <c r="CA23" s="46" t="s">
        <v>121</v>
      </c>
      <c r="CB23" s="1" t="s">
        <v>122</v>
      </c>
      <c r="CC23" s="2"/>
      <c r="CD23" s="1"/>
      <c r="CE23" s="2" t="s">
        <v>118</v>
      </c>
      <c r="CF23" s="23" t="s">
        <v>84</v>
      </c>
      <c r="CG23" s="46" t="s">
        <v>125</v>
      </c>
      <c r="CH23" s="1" t="s">
        <v>115</v>
      </c>
      <c r="CI23" s="2"/>
      <c r="CJ23" s="2"/>
      <c r="CK23" s="2"/>
      <c r="CL23" s="2"/>
      <c r="CM23" s="2"/>
      <c r="CN23" s="2"/>
      <c r="CO23" s="2"/>
      <c r="CP23" s="2"/>
      <c r="CQ23" s="2"/>
      <c r="CR23" s="2"/>
      <c r="CS23" s="2"/>
      <c r="CT23" s="2"/>
      <c r="CU23" s="2"/>
      <c r="CV23" s="2"/>
      <c r="CW23" s="2"/>
      <c r="CX23" s="2"/>
      <c r="CY23" s="2"/>
      <c r="CZ23" s="2"/>
    </row>
    <row r="24" spans="1:104" ht="18.75" customHeight="1" x14ac:dyDescent="0.2">
      <c r="A24" s="166"/>
      <c r="B24" s="167"/>
      <c r="C24" s="172" t="str">
        <f>IF(J24="Italiano","LINGUA",(IF(J24="Español","IDIOMA",(IF(J24="Deutsch","SPRACHE",(IF(J24="Français","LANGUE","LANGUAGE")))))))</f>
        <v>IDIOMA</v>
      </c>
      <c r="D24" s="173"/>
      <c r="E24" s="173"/>
      <c r="F24" s="173"/>
      <c r="G24" s="173"/>
      <c r="H24" s="173"/>
      <c r="I24" s="174"/>
      <c r="J24" s="191" t="s">
        <v>215</v>
      </c>
      <c r="K24" s="192"/>
      <c r="L24" s="192"/>
      <c r="M24" s="192"/>
      <c r="N24" s="192"/>
      <c r="O24" s="192"/>
      <c r="P24" s="192"/>
      <c r="Q24" s="193"/>
      <c r="R24" s="178" t="str">
        <f>IF(J24="Italiano","ASSISTENTI ALLENATORI",(IF(J24="Español","AYUDANTES ENTRENADOR",(IF(J24="Deutsch","TRAINERASSISTENTEN",(IF(J24="Français","COACHS ASSIST","ASSISTANT COACHES")))))))</f>
        <v>AYUDANTES ENTRENADOR</v>
      </c>
      <c r="S24" s="179"/>
      <c r="T24" s="179"/>
      <c r="U24" s="179"/>
      <c r="V24" s="180"/>
      <c r="W24" s="30">
        <v>0</v>
      </c>
      <c r="X24" s="52" t="s">
        <v>102</v>
      </c>
      <c r="Y24" s="157">
        <v>10000</v>
      </c>
      <c r="Z24" s="157"/>
      <c r="AA24" s="53" t="str">
        <f t="shared" si="16"/>
        <v>mo</v>
      </c>
      <c r="AB24" s="170">
        <f t="shared" si="18"/>
        <v>0</v>
      </c>
      <c r="AC24" s="171"/>
      <c r="AD24" s="181" t="s">
        <v>117</v>
      </c>
      <c r="AE24" s="182"/>
      <c r="AF24" s="182"/>
      <c r="AG24" s="182"/>
      <c r="AH24" s="183"/>
      <c r="AI24" s="30">
        <v>0</v>
      </c>
      <c r="AJ24" s="52" t="s">
        <v>102</v>
      </c>
      <c r="AK24" s="157">
        <f>IFERROR(VLOOKUP(AD24,BD64:BE88,2,FALSE),0)</f>
        <v>0</v>
      </c>
      <c r="AL24" s="157"/>
      <c r="AM24" s="53" t="str">
        <f t="shared" si="17"/>
        <v>mo</v>
      </c>
      <c r="AN24" s="170">
        <f t="shared" si="19"/>
        <v>0</v>
      </c>
      <c r="AO24" s="171"/>
      <c r="AP24" s="213"/>
      <c r="AQ24" s="54"/>
      <c r="AR24" s="2"/>
      <c r="AS24" s="1"/>
      <c r="AT24" s="1"/>
      <c r="AU24" s="1"/>
      <c r="AV24" s="1"/>
      <c r="AW24" s="1"/>
      <c r="AX24" s="2"/>
      <c r="AY24" s="2"/>
      <c r="AZ24" s="2"/>
      <c r="BA24" s="2"/>
      <c r="BB24" s="2"/>
      <c r="BC24" s="2"/>
      <c r="BD24" s="2"/>
      <c r="BE24" s="2"/>
      <c r="BK24" s="2"/>
      <c r="BL24" s="2" t="s">
        <v>105</v>
      </c>
      <c r="BM24" s="21" t="str">
        <f t="shared" si="12"/>
        <v xml:space="preserve">Nurgle </v>
      </c>
      <c r="BN24" s="2" t="s">
        <v>105</v>
      </c>
      <c r="BO24" s="2"/>
      <c r="BP24" s="2">
        <v>70000</v>
      </c>
      <c r="BQ24" s="2">
        <v>0</v>
      </c>
      <c r="BR24" s="2">
        <v>1</v>
      </c>
      <c r="BS24" s="42" t="str">
        <f>IF($J$24="Español","Elegido de Nurgle",(IF($J$24="Deutsch","Auserwählte des Nurgle",(IF($J$24="Français","Favori de Nurgle","Favoured of Nurgle")))))</f>
        <v>Elegido de Nurgle</v>
      </c>
      <c r="BT24" s="3" t="s">
        <v>31</v>
      </c>
      <c r="BU24" s="3"/>
      <c r="BV24" s="3"/>
      <c r="BW24" s="3"/>
      <c r="BX24" s="3"/>
      <c r="BY24" s="2" t="s">
        <v>123</v>
      </c>
      <c r="BZ24" s="2" t="s">
        <v>124</v>
      </c>
      <c r="CA24" s="46" t="s">
        <v>125</v>
      </c>
      <c r="CB24" s="1" t="s">
        <v>126</v>
      </c>
      <c r="CC24" s="2"/>
      <c r="CD24" s="1"/>
      <c r="CE24" s="2" t="s">
        <v>123</v>
      </c>
      <c r="CF24" s="2" t="s">
        <v>106</v>
      </c>
      <c r="CG24" s="46" t="s">
        <v>131</v>
      </c>
      <c r="CH24" s="1" t="s">
        <v>126</v>
      </c>
      <c r="CI24" s="2"/>
      <c r="CJ24" s="2"/>
      <c r="CK24" s="2"/>
      <c r="CL24" s="2"/>
      <c r="CM24" s="2"/>
      <c r="CN24" s="2"/>
      <c r="CO24" s="2"/>
      <c r="CP24" s="2"/>
      <c r="CQ24" s="2"/>
      <c r="CR24" s="2"/>
      <c r="CS24" s="2"/>
      <c r="CT24" s="2"/>
      <c r="CU24" s="2"/>
      <c r="CV24" s="2"/>
      <c r="CW24" s="2"/>
      <c r="CX24" s="2"/>
      <c r="CY24" s="2"/>
      <c r="CZ24" s="2"/>
    </row>
    <row r="25" spans="1:104" ht="18.75" customHeight="1" x14ac:dyDescent="0.2">
      <c r="A25" s="166"/>
      <c r="B25" s="167"/>
      <c r="C25" s="172" t="str">
        <f>IF(J24="Italiano","COSTI INCENTIVI &amp; EXTRA",(IF(J24="Español","COSTE INCENTIVOS Y EXTRAS",(IF(J24="Deutsch","GESAMTER TEAMWERT &amp; EXTRAS",(IF(J24="Français","COUPS DE POUCES &amp; STAFF","COST INDUCEMENTS &amp; EXTRAS")))))))</f>
        <v>COSTE INCENTIVOS Y EXTRAS</v>
      </c>
      <c r="D25" s="173"/>
      <c r="E25" s="173"/>
      <c r="F25" s="173"/>
      <c r="G25" s="173"/>
      <c r="H25" s="173"/>
      <c r="I25" s="174"/>
      <c r="J25" s="175">
        <f>(SUM(AB21:AC29,AN18:AO28))/1000</f>
        <v>0</v>
      </c>
      <c r="K25" s="176"/>
      <c r="L25" s="176"/>
      <c r="M25" s="176"/>
      <c r="N25" s="177" t="str">
        <f>IF(J24="Español","k mo",(IF(J24="Deutsch","k gm",(IF(J24="Français","k po","k gp")))))</f>
        <v>k mo</v>
      </c>
      <c r="O25" s="173"/>
      <c r="P25" s="173"/>
      <c r="Q25" s="174"/>
      <c r="R25" s="178" t="str">
        <f>IF(J24="Italiano","FUSTI DI BLOODWEISER",(IF(J24="Español","BARRILES BLOODWEISER",(IF(J24="Français","FÛTS DE BLOODWEISER","BLOODWEISER KEGS")))))</f>
        <v>BARRILES BLOODWEISER</v>
      </c>
      <c r="S25" s="179"/>
      <c r="T25" s="179"/>
      <c r="U25" s="179"/>
      <c r="V25" s="180"/>
      <c r="W25" s="30">
        <v>0</v>
      </c>
      <c r="X25" s="52" t="s">
        <v>102</v>
      </c>
      <c r="Y25" s="157">
        <v>50000</v>
      </c>
      <c r="Z25" s="157"/>
      <c r="AA25" s="53" t="str">
        <f t="shared" si="16"/>
        <v>mo</v>
      </c>
      <c r="AB25" s="170">
        <f>IFERROR((W25*Y25)-(AO35*Y25),0)</f>
        <v>0</v>
      </c>
      <c r="AC25" s="171"/>
      <c r="AD25" s="181" t="s">
        <v>117</v>
      </c>
      <c r="AE25" s="182"/>
      <c r="AF25" s="182"/>
      <c r="AG25" s="182"/>
      <c r="AH25" s="183"/>
      <c r="AI25" s="30">
        <v>0</v>
      </c>
      <c r="AJ25" s="52" t="s">
        <v>102</v>
      </c>
      <c r="AK25" s="157">
        <f>IFERROR(VLOOKUP(AD25,BD64:BE88,2,FALSE),0)</f>
        <v>0</v>
      </c>
      <c r="AL25" s="157"/>
      <c r="AM25" s="53" t="str">
        <f t="shared" si="17"/>
        <v>mo</v>
      </c>
      <c r="AN25" s="170">
        <f t="shared" si="19"/>
        <v>0</v>
      </c>
      <c r="AO25" s="171"/>
      <c r="AP25" s="213"/>
      <c r="AQ25" s="54"/>
      <c r="AR25" s="1"/>
      <c r="AS25" s="2"/>
      <c r="AT25" s="1"/>
      <c r="AU25" s="1"/>
      <c r="AV25" s="1"/>
      <c r="AW25" s="1"/>
      <c r="AX25" s="2"/>
      <c r="AY25" s="2"/>
      <c r="AZ25" s="2"/>
      <c r="BA25" s="2"/>
      <c r="BB25" s="2"/>
      <c r="BC25" s="2"/>
      <c r="BD25" s="2"/>
      <c r="BK25" s="2"/>
      <c r="BL25" s="2" t="s">
        <v>110</v>
      </c>
      <c r="BM25" s="21" t="str">
        <f t="shared" si="12"/>
        <v>Ogros</v>
      </c>
      <c r="BN25" s="2" t="s">
        <v>110</v>
      </c>
      <c r="BO25" s="2"/>
      <c r="BP25" s="2">
        <v>70000</v>
      </c>
      <c r="BQ25" s="2">
        <v>50000</v>
      </c>
      <c r="BR25" s="2">
        <v>6</v>
      </c>
      <c r="BS25" s="42"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Reyerta en las Yermas, Clásica del Viejo Mundo y Líneas Prescindibles</v>
      </c>
      <c r="BT25" s="3" t="s">
        <v>111</v>
      </c>
      <c r="BU25" s="3"/>
      <c r="BV25" s="3" t="s">
        <v>112</v>
      </c>
      <c r="BW25" s="3"/>
      <c r="BX25" s="3"/>
      <c r="BY25" s="2" t="s">
        <v>128</v>
      </c>
      <c r="BZ25" s="2" t="s">
        <v>130</v>
      </c>
      <c r="CA25" s="46" t="s">
        <v>131</v>
      </c>
      <c r="CB25" s="1" t="s">
        <v>132</v>
      </c>
      <c r="CC25" s="2"/>
      <c r="CD25" s="55"/>
      <c r="CE25" s="2" t="s">
        <v>128</v>
      </c>
      <c r="CF25" s="2" t="s">
        <v>113</v>
      </c>
      <c r="CG25" s="46" t="s">
        <v>141</v>
      </c>
      <c r="CH25" s="25" t="s">
        <v>28</v>
      </c>
      <c r="CI25" s="2"/>
      <c r="CJ25" s="2"/>
      <c r="CK25" s="2"/>
      <c r="CL25" s="2"/>
      <c r="CM25" s="2"/>
      <c r="CN25" s="2"/>
      <c r="CO25" s="2"/>
      <c r="CP25" s="2"/>
      <c r="CQ25" s="2"/>
      <c r="CR25" s="2"/>
      <c r="CS25" s="2"/>
      <c r="CT25" s="2"/>
      <c r="CU25" s="2"/>
      <c r="CV25" s="2"/>
      <c r="CW25" s="2"/>
      <c r="CX25" s="2"/>
      <c r="CY25" s="2"/>
      <c r="CZ25" s="2"/>
    </row>
    <row r="26" spans="1:104" ht="18.75" customHeight="1" x14ac:dyDescent="0.2">
      <c r="A26" s="166"/>
      <c r="B26" s="167"/>
      <c r="C26" s="187" t="str">
        <f>IF(J24="Italiano","COSTO GIOCATORI",(IF(J24="Español","PRECIO JUGADORES",(IF(J24="Deutsch","WERT SPIELER",(IF(J24="Français","VALEUR DES JOUEURS","COST PLAYERS")))))))</f>
        <v>PRECIO JUGADORES</v>
      </c>
      <c r="D26" s="173"/>
      <c r="E26" s="173"/>
      <c r="F26" s="173"/>
      <c r="G26" s="173"/>
      <c r="H26" s="173"/>
      <c r="I26" s="174"/>
      <c r="J26" s="175">
        <f>(SUM(AM2:AO17))/1000</f>
        <v>0</v>
      </c>
      <c r="K26" s="176"/>
      <c r="L26" s="176"/>
      <c r="M26" s="176"/>
      <c r="N26" s="177" t="str">
        <f>IF(J24="Español","k mo",(IF(J24="Deutsch","k gm",(IF(J24="Français","k po","k gp")))))</f>
        <v>k mo</v>
      </c>
      <c r="O26" s="173"/>
      <c r="P26" s="173"/>
      <c r="Q26" s="174"/>
      <c r="R26" s="178" t="str">
        <f>IF(J24="Italiano","MAZZETTE",(IF(J24="Español","SOBORNOS",(IF(J24="Deutsch","BESTECHUNGEN",(IF(J24="Français","POTS-DE-VIN","BRIBES")))))))</f>
        <v>SOBORNOS</v>
      </c>
      <c r="S26" s="179"/>
      <c r="T26" s="179"/>
      <c r="U26" s="179"/>
      <c r="V26" s="180"/>
      <c r="W26" s="30">
        <v>0</v>
      </c>
      <c r="X26" s="52" t="s">
        <v>102</v>
      </c>
      <c r="Y26" s="157">
        <f>IFERROR(IF(BV2="Bribery and Corruption",50000,100000),100000)</f>
        <v>100000</v>
      </c>
      <c r="Z26" s="157"/>
      <c r="AA26" s="53" t="str">
        <f t="shared" si="16"/>
        <v>mo</v>
      </c>
      <c r="AB26" s="170">
        <f>IFERROR((W26-Z35)*Y26,0)</f>
        <v>0</v>
      </c>
      <c r="AC26" s="171"/>
      <c r="AD26" s="181" t="s">
        <v>127</v>
      </c>
      <c r="AE26" s="182"/>
      <c r="AF26" s="182"/>
      <c r="AG26" s="182"/>
      <c r="AH26" s="183"/>
      <c r="AI26" s="30">
        <v>0</v>
      </c>
      <c r="AJ26" s="52" t="s">
        <v>102</v>
      </c>
      <c r="AK26" s="157">
        <f>IFERROR(VLOOKUP(AD26,BL64:BM80,2,FALSE),0)</f>
        <v>0</v>
      </c>
      <c r="AL26" s="157"/>
      <c r="AM26" s="53" t="str">
        <f t="shared" si="17"/>
        <v>mo</v>
      </c>
      <c r="AN26" s="170">
        <f t="shared" si="19"/>
        <v>0</v>
      </c>
      <c r="AO26" s="171"/>
      <c r="AP26" s="213"/>
      <c r="AQ26" s="54"/>
      <c r="AR26" s="1"/>
      <c r="AS26" s="2"/>
      <c r="AT26" s="2"/>
      <c r="AU26" s="2"/>
      <c r="AV26" s="2"/>
      <c r="AW26" s="2"/>
      <c r="AX26" s="2"/>
      <c r="AY26" s="2"/>
      <c r="AZ26" s="2"/>
      <c r="BA26" s="2"/>
      <c r="BB26" s="2"/>
      <c r="BC26" s="2"/>
      <c r="BD26" s="2"/>
      <c r="BE26" s="2"/>
      <c r="BF26" s="2"/>
      <c r="BG26" s="2"/>
      <c r="BK26" s="2"/>
      <c r="BL26" s="2" t="s">
        <v>118</v>
      </c>
      <c r="BM26" s="21" t="str">
        <f t="shared" si="12"/>
        <v>Orcos</v>
      </c>
      <c r="BN26" s="2" t="s">
        <v>119</v>
      </c>
      <c r="BO26" s="2"/>
      <c r="BP26" s="2">
        <v>70000</v>
      </c>
      <c r="BQ26" s="2">
        <v>50000</v>
      </c>
      <c r="BR26" s="2">
        <v>1</v>
      </c>
      <c r="BS26" s="42" t="str">
        <f>IF($J$24="Español","Clásica del Viejo Mundo",(IF($J$24="Deutsch","Alte-Welt-Klassiker",(IF($J$24="Français","Classique du Vieux Monde","Old World Classic")))))</f>
        <v>Clásica del Viejo Mundo</v>
      </c>
      <c r="BT26" s="3" t="s">
        <v>78</v>
      </c>
      <c r="BU26" s="3"/>
      <c r="BV26" s="3"/>
      <c r="BW26" s="3"/>
      <c r="BX26" s="3"/>
      <c r="BY26" s="2" t="s">
        <v>134</v>
      </c>
      <c r="BZ26" s="2" t="s">
        <v>135</v>
      </c>
      <c r="CA26" s="46" t="s">
        <v>136</v>
      </c>
      <c r="CB26" s="1" t="s">
        <v>137</v>
      </c>
      <c r="CC26" s="2"/>
      <c r="CD26" s="1"/>
      <c r="CE26" s="2" t="s">
        <v>138</v>
      </c>
      <c r="CF26" s="2" t="s">
        <v>124</v>
      </c>
      <c r="CG26" s="46" t="s">
        <v>136</v>
      </c>
      <c r="CH26" s="1" t="s">
        <v>45</v>
      </c>
      <c r="CI26" s="2"/>
      <c r="CJ26" s="2"/>
      <c r="CK26" s="2"/>
      <c r="CL26" s="2"/>
      <c r="CM26" s="2"/>
      <c r="CN26" s="2"/>
      <c r="CO26" s="2"/>
      <c r="CP26" s="2"/>
      <c r="CQ26" s="2"/>
      <c r="CR26" s="2"/>
      <c r="CS26" s="2"/>
      <c r="CT26" s="2"/>
      <c r="CU26" s="2"/>
      <c r="CV26" s="2"/>
      <c r="CW26" s="2"/>
      <c r="CX26" s="2"/>
      <c r="CY26" s="2"/>
      <c r="CZ26" s="2"/>
    </row>
    <row r="27" spans="1:104" ht="18.75" customHeight="1" x14ac:dyDescent="0.2">
      <c r="A27" s="166"/>
      <c r="B27" s="167"/>
      <c r="C27" s="172" t="str">
        <f>IF(J24="Italiano","COSTO SQUADRA",(IF(J24="Español","PRECIO EQUIPO",(IF(J24="Deutsch","GESAMTER TEAMWERT",(IF(J24="Français","VALEUR D’ÉQUIPE","TEAM COST")))))))</f>
        <v>PRECIO EQUIPO</v>
      </c>
      <c r="D27" s="173"/>
      <c r="E27" s="173"/>
      <c r="F27" s="173"/>
      <c r="G27" s="173"/>
      <c r="H27" s="173"/>
      <c r="I27" s="174"/>
      <c r="J27" s="175">
        <f>J25+J26</f>
        <v>0</v>
      </c>
      <c r="K27" s="176"/>
      <c r="L27" s="176"/>
      <c r="M27" s="176"/>
      <c r="N27" s="177" t="str">
        <f>IF(J24="Español","k mo",(IF(J24="Deutsch","k gm",(IF(J24="Français","k po","k gp")))))</f>
        <v>k mo</v>
      </c>
      <c r="O27" s="173"/>
      <c r="P27" s="173"/>
      <c r="Q27" s="174"/>
      <c r="R27" s="178" t="str">
        <f>IF(J24="Italiano","CAPOCUOCO",(IF(J24="Español","MASTER CHEF",(IF(J24="Deutsch","HALBLING-MEISTERKOCH",(IF(J24="Français","CHEF CUISTOT","MASTER CHEF")))))))</f>
        <v>MASTER CHEF</v>
      </c>
      <c r="S27" s="179"/>
      <c r="T27" s="179"/>
      <c r="U27" s="179"/>
      <c r="V27" s="180"/>
      <c r="W27" s="30">
        <v>0</v>
      </c>
      <c r="X27" s="52" t="s">
        <v>102</v>
      </c>
      <c r="Y27" s="157">
        <f>IFERROR(IF(OR(BO1="Halfling",BO1="Halflings",BO1="Halflinge"),100000,300000),300000)</f>
        <v>300000</v>
      </c>
      <c r="Z27" s="157"/>
      <c r="AA27" s="53" t="str">
        <f t="shared" si="16"/>
        <v>mo</v>
      </c>
      <c r="AB27" s="170">
        <f>IFERROR(IF(U35="NO",W27*Y27,0),0)</f>
        <v>0</v>
      </c>
      <c r="AC27" s="171"/>
      <c r="AD27" s="181" t="s">
        <v>133</v>
      </c>
      <c r="AE27" s="182"/>
      <c r="AF27" s="182"/>
      <c r="AG27" s="182"/>
      <c r="AH27" s="183"/>
      <c r="AI27" s="30">
        <v>0</v>
      </c>
      <c r="AJ27" s="52" t="s">
        <v>102</v>
      </c>
      <c r="AK27" s="157">
        <f>IFERROR(VLOOKUP(AD27,BO65:BP80,2,FALSE),0)</f>
        <v>0</v>
      </c>
      <c r="AL27" s="157"/>
      <c r="AM27" s="53" t="str">
        <f t="shared" si="17"/>
        <v>mo</v>
      </c>
      <c r="AN27" s="170">
        <f t="shared" si="19"/>
        <v>0</v>
      </c>
      <c r="AO27" s="171"/>
      <c r="AP27" s="213"/>
      <c r="AQ27" s="54"/>
      <c r="AR27" s="1"/>
      <c r="AS27" s="2"/>
      <c r="AT27" s="1"/>
      <c r="AU27" s="1"/>
      <c r="AV27" s="1"/>
      <c r="AW27" s="1"/>
      <c r="AX27" s="2"/>
      <c r="AY27" s="2"/>
      <c r="BA27" s="2"/>
      <c r="BB27" s="2"/>
      <c r="BC27" s="2"/>
      <c r="BD27" s="2"/>
      <c r="BK27" s="2"/>
      <c r="BL27" s="2" t="s">
        <v>123</v>
      </c>
      <c r="BM27" s="21" t="str">
        <f t="shared" si="12"/>
        <v>Orcos Negros</v>
      </c>
      <c r="BN27" s="2" t="s">
        <v>123</v>
      </c>
      <c r="BO27" s="2"/>
      <c r="BP27" s="2">
        <v>60000</v>
      </c>
      <c r="BQ27" s="2">
        <v>50000</v>
      </c>
      <c r="BR27" s="2">
        <v>1</v>
      </c>
      <c r="BS27" s="42" t="str">
        <f>IF($J$24="Español","Reyerta en las Yermas",(IF($J$24="Deutsch","Düsterland-Rauferei",(IF($J$24="Français","Bagarre des Terres Arides","Badlands Brawl")))))</f>
        <v>Reyerta en las Yermas</v>
      </c>
      <c r="BT27" s="3" t="s">
        <v>24</v>
      </c>
      <c r="BU27" s="3"/>
      <c r="BV27" s="3"/>
      <c r="BW27" s="3"/>
      <c r="BX27" s="3"/>
      <c r="BY27" s="2" t="s">
        <v>138</v>
      </c>
      <c r="BZ27" s="2" t="s">
        <v>140</v>
      </c>
      <c r="CA27" s="46" t="s">
        <v>141</v>
      </c>
      <c r="CB27" s="1" t="s">
        <v>142</v>
      </c>
      <c r="CC27" s="2"/>
      <c r="CD27" s="1"/>
      <c r="CE27" s="2" t="s">
        <v>134</v>
      </c>
      <c r="CF27" s="23" t="s">
        <v>26</v>
      </c>
      <c r="CG27" s="46" t="s">
        <v>146</v>
      </c>
      <c r="CH27" s="1" t="s">
        <v>153</v>
      </c>
      <c r="CI27" s="2"/>
      <c r="CJ27" s="2"/>
      <c r="CK27" s="2"/>
      <c r="CL27" s="2"/>
      <c r="CM27" s="2"/>
      <c r="CN27" s="2"/>
      <c r="CO27" s="2"/>
      <c r="CP27" s="2"/>
      <c r="CQ27" s="2"/>
      <c r="CR27" s="2"/>
      <c r="CS27" s="2"/>
      <c r="CT27" s="2"/>
      <c r="CU27" s="2"/>
      <c r="CV27" s="2"/>
      <c r="CW27" s="2"/>
      <c r="CX27" s="2"/>
      <c r="CY27" s="2"/>
      <c r="CZ27" s="2"/>
    </row>
    <row r="28" spans="1:104" ht="18.75" customHeight="1" x14ac:dyDescent="0.2">
      <c r="A28" s="166"/>
      <c r="B28" s="167"/>
      <c r="C28" s="172" t="str">
        <f>IF(J24="Italiano","COSTO AVANZAMENTI",(IF(J24="Español","PRECIO SUBIDAS",(IF(J24="Deutsch","WERT DER VERBESSERUNG",(IF(J24="Français","VALEUR AMÉLIORATION","COST UPGRADES")))))))</f>
        <v>PRECIO SUBIDAS</v>
      </c>
      <c r="D28" s="173"/>
      <c r="E28" s="173"/>
      <c r="F28" s="173"/>
      <c r="G28" s="173"/>
      <c r="H28" s="173"/>
      <c r="I28" s="174"/>
      <c r="J28" s="175">
        <f>(SUM(BI46:BI61))/1000</f>
        <v>0</v>
      </c>
      <c r="K28" s="176"/>
      <c r="L28" s="176"/>
      <c r="M28" s="176"/>
      <c r="N28" s="177" t="str">
        <f>IF(J24="Español","k mo",(IF(J24="Deutsch","k gm",(IF(J24="Français","k po","k gp")))))</f>
        <v>k mo</v>
      </c>
      <c r="O28" s="173"/>
      <c r="P28" s="173"/>
      <c r="Q28" s="174"/>
      <c r="R28" s="156" t="str">
        <f>IF(J24="Italiano","ESORDIENTI RIBELLI",(IF(J24="Español","NOVATOS ALBOROTADORES",(IF(J24="Deutsch","RANDALIERENDE NEULINGE",(IF(J24="Français","DÉBUTANTS DÉCHAINÉS","RIOTOUS ROOKIES")))))))</f>
        <v>NOVATOS ALBOROTADORES</v>
      </c>
      <c r="S28" s="157"/>
      <c r="T28" s="157"/>
      <c r="U28" s="157"/>
      <c r="V28" s="158"/>
      <c r="W28" s="31">
        <v>0</v>
      </c>
      <c r="X28" s="52" t="s">
        <v>102</v>
      </c>
      <c r="Y28" s="157">
        <f>IFERROR(IF(BW2="LowCost",100000,0),0)</f>
        <v>0</v>
      </c>
      <c r="Z28" s="157"/>
      <c r="AA28" s="56" t="str">
        <f t="shared" si="16"/>
        <v>mo</v>
      </c>
      <c r="AB28" s="170">
        <f>IFERROR(IF(AE35="NO",W28*Y28,0),0)</f>
        <v>0</v>
      </c>
      <c r="AC28" s="171"/>
      <c r="AD28" s="178" t="str">
        <f>IF(J24="Italiano","MEDICI VAGABONDI",(IF(J24="Español","MÉDICO ERRANTE",(IF(J24="Deutsch","WANDERNDER SANITÄTER",(IF(J24="Français","APO ITINÉRANT","WANDERING APO")))))))</f>
        <v>MÉDICO ERRANTE</v>
      </c>
      <c r="AE28" s="179"/>
      <c r="AF28" s="179"/>
      <c r="AG28" s="179"/>
      <c r="AH28" s="180"/>
      <c r="AI28" s="30">
        <v>0</v>
      </c>
      <c r="AJ28" s="52" t="s">
        <v>102</v>
      </c>
      <c r="AK28" s="157">
        <f>IFERROR(IF(AK21=0,0,100000),0)</f>
        <v>100000</v>
      </c>
      <c r="AL28" s="157"/>
      <c r="AM28" s="53" t="str">
        <f t="shared" si="17"/>
        <v>mo</v>
      </c>
      <c r="AN28" s="170">
        <f t="shared" si="19"/>
        <v>0</v>
      </c>
      <c r="AO28" s="171"/>
      <c r="AP28" s="213"/>
      <c r="AQ28" s="54"/>
      <c r="AR28" s="1"/>
      <c r="AS28" s="2"/>
      <c r="AT28" s="1"/>
      <c r="AU28" s="1"/>
      <c r="AV28" s="1"/>
      <c r="AW28" s="1"/>
      <c r="AX28" s="2"/>
      <c r="AY28" s="2"/>
      <c r="BA28" s="2"/>
      <c r="BB28" s="2"/>
      <c r="BC28" s="2"/>
      <c r="BD28" s="2"/>
      <c r="BK28" s="2"/>
      <c r="BL28" s="2" t="s">
        <v>128</v>
      </c>
      <c r="BM28" s="21" t="str">
        <f t="shared" si="12"/>
        <v>Pacto del Caos</v>
      </c>
      <c r="BN28" s="2" t="s">
        <v>129</v>
      </c>
      <c r="BO28" s="2"/>
      <c r="BP28" s="2">
        <v>70000</v>
      </c>
      <c r="BQ28" s="2">
        <v>0</v>
      </c>
      <c r="BR28" s="2">
        <v>0</v>
      </c>
      <c r="BS28" s="42" t="str">
        <f>IF($J$24="Español","Señores de los No Muertos, Selectiva de Sylvania",(IF($J$24="Deutsch","Masters of Undeath, Sylvanisches Rampenlicht",(IF($J$24="Français","Masters of Undeath, Spot de Sylvanie","Masters of Undeath, Sylvanian Spotlight")))))</f>
        <v>Señores de los No Muertos, Selectiva de Sylvania</v>
      </c>
      <c r="BT28" s="3" t="s">
        <v>97</v>
      </c>
      <c r="BU28" s="3" t="s">
        <v>98</v>
      </c>
      <c r="BV28" s="3"/>
      <c r="BW28" s="3"/>
      <c r="BX28" s="3"/>
      <c r="BY28" s="2" t="s">
        <v>144</v>
      </c>
      <c r="BZ28" s="2" t="s">
        <v>145</v>
      </c>
      <c r="CA28" s="46" t="s">
        <v>146</v>
      </c>
      <c r="CB28" s="1" t="s">
        <v>147</v>
      </c>
      <c r="CC28" s="2"/>
      <c r="CD28" s="1"/>
      <c r="CE28" s="2" t="s">
        <v>144</v>
      </c>
      <c r="CF28" s="23" t="s">
        <v>43</v>
      </c>
      <c r="CG28" s="46" t="s">
        <v>152</v>
      </c>
      <c r="CH28" s="1" t="s">
        <v>142</v>
      </c>
      <c r="CI28" s="2"/>
      <c r="CJ28" s="2"/>
      <c r="CK28" s="2"/>
      <c r="CL28" s="2"/>
      <c r="CM28" s="2"/>
      <c r="CN28" s="2"/>
      <c r="CO28" s="2"/>
      <c r="CP28" s="2"/>
      <c r="CQ28" s="2"/>
      <c r="CR28" s="2"/>
      <c r="CS28" s="2"/>
      <c r="CT28" s="2"/>
      <c r="CU28" s="2"/>
      <c r="CV28" s="2"/>
      <c r="CW28" s="2"/>
      <c r="CX28" s="2"/>
      <c r="CY28" s="2"/>
      <c r="CZ28" s="2"/>
    </row>
    <row r="29" spans="1:104" ht="18.75" customHeight="1" x14ac:dyDescent="0.2">
      <c r="A29" s="166"/>
      <c r="B29" s="167"/>
      <c r="C29" s="184" t="str">
        <f>IF(J24="Italiano","TESORERIA",(IF(J24="Español","TESORERÍA",(IF(J24="Deutsch","TEAMKASSE",(IF(J24="Français","TRÉSORERIE","TREASURY")))))))</f>
        <v>TESORERÍA</v>
      </c>
      <c r="D29" s="185"/>
      <c r="E29" s="185"/>
      <c r="F29" s="185"/>
      <c r="G29" s="185"/>
      <c r="H29" s="185"/>
      <c r="I29" s="186"/>
      <c r="J29" s="175">
        <f>(C35/1000)-J27-J28</f>
        <v>1230</v>
      </c>
      <c r="K29" s="176"/>
      <c r="L29" s="176"/>
      <c r="M29" s="176"/>
      <c r="N29" s="177" t="str">
        <f>IF(J24="Español","k mo",(IF(J24="Deutsch","k gm",(IF(J24="Français","k po","k gp")))))</f>
        <v>k mo</v>
      </c>
      <c r="O29" s="173"/>
      <c r="P29" s="173"/>
      <c r="Q29" s="174"/>
      <c r="R29" s="178"/>
      <c r="S29" s="179"/>
      <c r="T29" s="179"/>
      <c r="U29" s="179"/>
      <c r="V29" s="179"/>
      <c r="W29" s="179"/>
      <c r="X29" s="179"/>
      <c r="Y29" s="179"/>
      <c r="Z29" s="179"/>
      <c r="AA29" s="179"/>
      <c r="AB29" s="179"/>
      <c r="AC29" s="180"/>
      <c r="AD29" s="178"/>
      <c r="AE29" s="179"/>
      <c r="AF29" s="179"/>
      <c r="AG29" s="179"/>
      <c r="AH29" s="179"/>
      <c r="AI29" s="179"/>
      <c r="AJ29" s="179"/>
      <c r="AK29" s="179"/>
      <c r="AL29" s="179"/>
      <c r="AM29" s="179"/>
      <c r="AN29" s="179"/>
      <c r="AO29" s="180"/>
      <c r="AP29" s="213"/>
      <c r="AQ29" s="54"/>
      <c r="AR29" s="2"/>
      <c r="AS29" s="1"/>
      <c r="AT29" s="2"/>
      <c r="AU29" s="1"/>
      <c r="AV29" s="1"/>
      <c r="AW29" s="1"/>
      <c r="AX29" s="2"/>
      <c r="AY29" s="2"/>
      <c r="BA29" s="2"/>
      <c r="BB29" s="2"/>
      <c r="BC29" s="2"/>
      <c r="BD29" s="2"/>
      <c r="BK29" s="2"/>
      <c r="BL29" s="2" t="s">
        <v>134</v>
      </c>
      <c r="BM29" s="21" t="str">
        <f t="shared" si="12"/>
        <v xml:space="preserve">Skaven </v>
      </c>
      <c r="BN29" s="2" t="s">
        <v>134</v>
      </c>
      <c r="BO29" s="2"/>
      <c r="BP29" s="2">
        <v>50000</v>
      </c>
      <c r="BQ29" s="2">
        <v>50000</v>
      </c>
      <c r="BR29" s="2">
        <v>1</v>
      </c>
      <c r="BS29" s="42" t="str">
        <f>IF($J$24="Español","Superliga Lustriana",(IF($J$24="Deutsch","Lustria-Superliga",(IF($J$24="Français","Super-Ligue de Lustrie","Lustrian Superleague")))))</f>
        <v>Superliga Lustriana</v>
      </c>
      <c r="BT29" s="3" t="s">
        <v>21</v>
      </c>
      <c r="BU29" s="3"/>
      <c r="BV29" s="3"/>
      <c r="BW29" s="3"/>
      <c r="BX29" s="3"/>
      <c r="BY29" s="2" t="s">
        <v>149</v>
      </c>
      <c r="BZ29" s="2" t="s">
        <v>151</v>
      </c>
      <c r="CA29" s="46" t="s">
        <v>152</v>
      </c>
      <c r="CB29" s="1" t="s">
        <v>153</v>
      </c>
      <c r="CC29" s="1"/>
      <c r="CD29" s="1"/>
      <c r="CE29" s="2" t="s">
        <v>149</v>
      </c>
      <c r="CF29" s="2" t="s">
        <v>140</v>
      </c>
      <c r="CG29" s="46" t="s">
        <v>157</v>
      </c>
      <c r="CH29" s="1" t="s">
        <v>137</v>
      </c>
      <c r="CI29" s="2"/>
      <c r="CJ29" s="2"/>
      <c r="CK29" s="2"/>
      <c r="CL29" s="2"/>
      <c r="CM29" s="2"/>
      <c r="CN29" s="2"/>
      <c r="CO29" s="2"/>
      <c r="CP29" s="2"/>
      <c r="CQ29" s="2"/>
      <c r="CR29" s="2"/>
      <c r="CS29" s="2"/>
      <c r="CT29" s="2"/>
      <c r="CU29" s="2"/>
      <c r="CV29" s="2"/>
      <c r="CW29" s="2"/>
      <c r="CX29" s="2"/>
      <c r="CY29" s="2"/>
      <c r="CZ29" s="2"/>
    </row>
    <row r="30" spans="1:104" ht="18.75" customHeight="1" x14ac:dyDescent="0.2">
      <c r="A30" s="168"/>
      <c r="B30" s="169"/>
      <c r="C30" s="151" t="str">
        <f>IF(J24="Italiano","VALORE SQUADRA",(IF(J24="Español","VALOR DEL EQUIPO",(IF(J24="Deutsch","TEAMWERT",(IF(J24="Français","VALEUR D’ÉQUIPE ACTUELLE","TEAM VALUE")))))))</f>
        <v>VALOR DEL EQUIPO</v>
      </c>
      <c r="D30" s="152"/>
      <c r="E30" s="152"/>
      <c r="F30" s="152"/>
      <c r="G30" s="152"/>
      <c r="H30" s="152"/>
      <c r="I30" s="153"/>
      <c r="J30" s="154">
        <f>(J25+(SUM(AQ2:AQ17)))</f>
        <v>0</v>
      </c>
      <c r="K30" s="154"/>
      <c r="L30" s="154"/>
      <c r="M30" s="154"/>
      <c r="N30" s="154"/>
      <c r="O30" s="154"/>
      <c r="P30" s="154"/>
      <c r="Q30" s="155"/>
      <c r="R30" s="156" t="str">
        <f>IF(J24="Italiano","REGOLE SPECIALI",(IF(J24="Español","REGLA ESPECIAL",(IF(J24="Deutsch","SONDERREGELN",(IF(J24="Français","RÈGLES SPÉCIALES","SPECIAL RULES")))))))</f>
        <v>REGLA ESPECIAL</v>
      </c>
      <c r="S30" s="157"/>
      <c r="T30" s="157"/>
      <c r="U30" s="157"/>
      <c r="V30" s="158"/>
      <c r="W30" s="159" t="str">
        <f>(IFERROR(VLOOKUP(BO1,BL:BU,8,0),""))&amp;(IF(OR(BU2="Favouredof",BU2="FavouredofWorldsEdgeSuperleagueBadlandsBrawl",BU2="FavouredofWorldsEdgeSuperleagueBadlandsBrawl",BU2="OldWorldClassicFavouredof"),(IF($J$24="Italiano"," -&gt; Sceglierne uno -&gt; ",(IF($J$24="Español"," -&gt; Elegir uno -&gt; ",(IF($J$24="Deutsch"," -&gt; Wähle -&gt; ",(IF($J$24="Français"," -&gt; Choisir soit -&gt; "," -&gt; Choose either -&gt;")))))))),""))</f>
        <v>Clásica del Viejo Mundo</v>
      </c>
      <c r="X30" s="160"/>
      <c r="Y30" s="160"/>
      <c r="Z30" s="160"/>
      <c r="AA30" s="160"/>
      <c r="AB30" s="160"/>
      <c r="AC30" s="160"/>
      <c r="AD30" s="160"/>
      <c r="AE30" s="160"/>
      <c r="AF30" s="160"/>
      <c r="AG30" s="160"/>
      <c r="AH30" s="160"/>
      <c r="AI30" s="160"/>
      <c r="AJ30" s="161"/>
      <c r="AK30" s="161"/>
      <c r="AL30" s="161"/>
      <c r="AM30" s="162"/>
      <c r="AN30" s="162"/>
      <c r="AO30" s="163"/>
      <c r="AP30" s="213"/>
      <c r="AQ30" s="54"/>
      <c r="AR30" s="2"/>
      <c r="AS30" s="2"/>
      <c r="AT30" s="2"/>
      <c r="AU30" s="2"/>
      <c r="AV30" s="2"/>
      <c r="AW30" s="2"/>
      <c r="AX30" s="2"/>
      <c r="AY30" s="2"/>
      <c r="AZ30" s="2"/>
      <c r="BA30" s="2"/>
      <c r="BB30" s="2"/>
      <c r="BC30" s="2"/>
      <c r="BD30" s="2"/>
      <c r="BK30" s="2"/>
      <c r="BL30" s="2" t="s">
        <v>138</v>
      </c>
      <c r="BM30" s="21" t="str">
        <f t="shared" si="12"/>
        <v xml:space="preserve">Slann </v>
      </c>
      <c r="BN30" s="2" t="s">
        <v>138</v>
      </c>
      <c r="BO30" s="2"/>
      <c r="BP30" s="2">
        <v>50000</v>
      </c>
      <c r="BQ30" s="2">
        <v>50000</v>
      </c>
      <c r="BR30" s="2">
        <v>1</v>
      </c>
      <c r="BS30" s="42" t="str">
        <f>IF($J$24="Español","Reto del Inframundo",(IF($J$24="Deutsch","Unterwelt-Herausforderung",(IF($J$24="Français","Défi des Bas-Fonds","Underworld Challenge")))))</f>
        <v>Reto del Inframundo</v>
      </c>
      <c r="BT30" s="3" t="s">
        <v>139</v>
      </c>
      <c r="BU30" s="3"/>
      <c r="BV30" s="3"/>
      <c r="BW30" s="3"/>
      <c r="BX30" s="3"/>
      <c r="BY30" s="2" t="s">
        <v>154</v>
      </c>
      <c r="BZ30" s="2" t="s">
        <v>156</v>
      </c>
      <c r="CA30" s="46" t="s">
        <v>157</v>
      </c>
      <c r="CB30" s="1" t="s">
        <v>158</v>
      </c>
      <c r="CC30" s="1"/>
      <c r="CD30" s="1"/>
      <c r="CE30" s="2" t="s">
        <v>154</v>
      </c>
      <c r="CF30" s="2" t="s">
        <v>135</v>
      </c>
      <c r="CG30" s="46" t="s">
        <v>1686</v>
      </c>
      <c r="CH30" s="1" t="s">
        <v>147</v>
      </c>
      <c r="CI30" s="2"/>
      <c r="CJ30" s="2"/>
      <c r="CK30" s="2"/>
      <c r="CL30" s="2"/>
      <c r="CM30" s="2"/>
      <c r="CN30" s="2"/>
      <c r="CO30" s="2"/>
      <c r="CP30" s="2"/>
      <c r="CQ30" s="2"/>
      <c r="CR30" s="2"/>
      <c r="CS30" s="2"/>
      <c r="CT30" s="2"/>
      <c r="CU30" s="2"/>
      <c r="CV30" s="2"/>
      <c r="CW30" s="2"/>
      <c r="CX30" s="2"/>
      <c r="CY30" s="2"/>
      <c r="CZ30" s="2"/>
    </row>
    <row r="31" spans="1:104" ht="45" customHeight="1" x14ac:dyDescent="0.2">
      <c r="A31" s="145" t="str">
        <f>IF(J24="Italiano","Creato da dreamscreator",(IF(J24="Español","Creado por dreamscreator",(IF(J24="Deutsch","Erstellt von dreamscreator",(IF(J24="Français","Créé par dreamscreator","Created by dreamscreator")))))))</f>
        <v>Creado por dreamscreator</v>
      </c>
      <c r="B31" s="145"/>
      <c r="C31" s="145"/>
      <c r="D31" s="146" t="str">
        <f>B65&amp;B66&amp;B67&amp;B68&amp;B69&amp;B70&amp;B71&amp;B72&amp;B73&amp;B74&amp;B75</f>
        <v xml:space="preserve">¡NECESITAS 11 JUGADORES!   ¡DEBES PONER EL NOMBRE DEL ENTRENADOR!   ¡DEBES PONER EL NUMERO NAF (si no tienes pon 0)!   </v>
      </c>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213"/>
      <c r="AQ31" s="54"/>
      <c r="AR31" s="1"/>
      <c r="AS31" s="2"/>
      <c r="AT31" s="1"/>
      <c r="AU31" s="1"/>
      <c r="AV31" s="1"/>
      <c r="AW31" s="1"/>
      <c r="AX31" s="2"/>
      <c r="AY31" s="2"/>
      <c r="BC31" s="2"/>
      <c r="BD31" s="2"/>
      <c r="BK31" s="2"/>
      <c r="BL31" s="2" t="s">
        <v>144</v>
      </c>
      <c r="BM31" s="21" t="str">
        <f t="shared" si="12"/>
        <v xml:space="preserve">Snotling </v>
      </c>
      <c r="BN31" s="2" t="s">
        <v>144</v>
      </c>
      <c r="BO31" s="2"/>
      <c r="BP31" s="2">
        <v>60000</v>
      </c>
      <c r="BQ31" s="2">
        <v>50000</v>
      </c>
      <c r="BR31" s="2">
        <v>4</v>
      </c>
      <c r="BS31" s="42"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Reto del Inframundo, Sobornos y Corrupción y Líneas Prescindibles</v>
      </c>
      <c r="BT31" s="3" t="s">
        <v>139</v>
      </c>
      <c r="BU31" s="3" t="s">
        <v>25</v>
      </c>
      <c r="BV31" s="3" t="s">
        <v>112</v>
      </c>
      <c r="BW31" s="3"/>
      <c r="BX31" s="3"/>
      <c r="BY31" s="2" t="s">
        <v>159</v>
      </c>
      <c r="BZ31" s="2" t="s">
        <v>1685</v>
      </c>
      <c r="CA31" s="46" t="s">
        <v>1686</v>
      </c>
      <c r="CB31" s="1" t="s">
        <v>1687</v>
      </c>
      <c r="CC31" s="1"/>
      <c r="CD31" s="1"/>
      <c r="CE31" s="2" t="s">
        <v>159</v>
      </c>
      <c r="CF31" s="2" t="s">
        <v>145</v>
      </c>
      <c r="CG31" s="46" t="s">
        <v>163</v>
      </c>
      <c r="CH31" s="23" t="s">
        <v>61</v>
      </c>
      <c r="CI31" s="2"/>
      <c r="CJ31" s="2"/>
      <c r="CK31" s="2"/>
      <c r="CL31" s="2"/>
      <c r="CM31" s="2"/>
      <c r="CN31" s="2"/>
      <c r="CO31" s="2"/>
      <c r="CP31" s="2"/>
      <c r="CQ31" s="2"/>
      <c r="CR31" s="2"/>
      <c r="CS31" s="2"/>
      <c r="CT31" s="2"/>
      <c r="CU31" s="2"/>
      <c r="CV31" s="2"/>
      <c r="CW31" s="2"/>
      <c r="CX31" s="2"/>
      <c r="CY31" s="2"/>
      <c r="CZ31" s="2"/>
    </row>
    <row r="32" spans="1:104" ht="18" customHeight="1" x14ac:dyDescent="0.2">
      <c r="A32" s="147" t="str">
        <f>IF(J24="Italiano","REGOLE",(IF(J24="Español","REGLAS",(IF(J24="Deutsch","REGELN",(IF(J24="Français","RÈGLES","RULESET")))))))</f>
        <v>REGLAS</v>
      </c>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213"/>
      <c r="AQ32" s="54"/>
      <c r="AR32" s="148" t="s">
        <v>1634</v>
      </c>
      <c r="AS32" s="148"/>
      <c r="AT32" s="148"/>
      <c r="AU32" s="148"/>
      <c r="AV32" s="148"/>
      <c r="AW32" s="1"/>
      <c r="AX32" s="2"/>
      <c r="AY32" s="2"/>
      <c r="BC32" s="2"/>
      <c r="BD32" s="2"/>
      <c r="BK32" s="2"/>
      <c r="BL32" s="2" t="s">
        <v>149</v>
      </c>
      <c r="BM32" s="21" t="str">
        <f t="shared" si="12"/>
        <v>Vampiros</v>
      </c>
      <c r="BN32" s="2" t="s">
        <v>150</v>
      </c>
      <c r="BO32" s="2"/>
      <c r="BP32" s="2">
        <v>70000</v>
      </c>
      <c r="BQ32" s="2">
        <v>0</v>
      </c>
      <c r="BR32" s="2">
        <v>0</v>
      </c>
      <c r="BS32" s="42" t="str">
        <f>IF($J$24="Español","Selectiva de Sylvania",(IF($J$24="Deutsch","Sylvanisches Rampenlicht",(IF($J$24="Français","Spot de Sylvanie","Sylvanian Spotlight")))))</f>
        <v>Selectiva de Sylvania</v>
      </c>
      <c r="BT32" s="3" t="s">
        <v>97</v>
      </c>
      <c r="BU32" s="3" t="s">
        <v>98</v>
      </c>
      <c r="BV32" s="3"/>
      <c r="BW32" s="3"/>
      <c r="BX32" s="3"/>
      <c r="BY32" s="2" t="s">
        <v>160</v>
      </c>
      <c r="BZ32" s="2" t="s">
        <v>162</v>
      </c>
      <c r="CA32" s="46" t="s">
        <v>163</v>
      </c>
      <c r="CB32" s="1" t="s">
        <v>164</v>
      </c>
      <c r="CC32" s="7"/>
      <c r="CD32" s="1"/>
      <c r="CE32" s="2" t="s">
        <v>160</v>
      </c>
      <c r="CF32" s="2" t="s">
        <v>1685</v>
      </c>
      <c r="CG32" s="24" t="s">
        <v>55</v>
      </c>
      <c r="CH32" s="1" t="s">
        <v>1687</v>
      </c>
      <c r="CI32" s="2"/>
      <c r="CJ32" s="2"/>
      <c r="CK32" s="2"/>
      <c r="CL32" s="2"/>
      <c r="CM32" s="2"/>
      <c r="CN32" s="2"/>
      <c r="CO32" s="2"/>
      <c r="CP32" s="2"/>
      <c r="CQ32" s="2"/>
      <c r="CR32" s="2"/>
      <c r="CS32" s="2"/>
      <c r="CT32" s="2"/>
      <c r="CU32" s="2"/>
      <c r="CV32" s="2"/>
      <c r="CW32" s="2"/>
      <c r="CX32" s="2"/>
      <c r="CY32" s="2"/>
      <c r="CZ32" s="2"/>
    </row>
    <row r="33" spans="1:104" ht="160.5" customHeight="1" x14ac:dyDescent="0.2">
      <c r="A33" s="57"/>
      <c r="B33" s="149" t="str">
        <f>IF(J24="Italiano",AV33,(IF(J24="Español",AS33,(IF(J24="Deutsch",AT33,(IF(J24="Français",AU33,AR33)))))))</f>
        <v>1.230.000GC -&gt; Hasta 1.050.000GC a gastar en todo lo que no sea habilidades y atributos -&gt; Hasta 180.000GC para gastar en lo que quieras
Se permite apilar hasta 2 subidas en cualquier jugador con un coste máximo de 80.000GC.
Mínimo 11 jugadores antes de fichar Jugadores Estrella.
Costes de las subidas:
⮚ 10.000GC -&gt; +1 AR
⮚ 20.000GC -&gt; +1 MV ó -1 PS ó 1 habilidad simple
⮚ 30.000GC -&gt; 1 habilidad doble
⮚ 40.000GC -&gt; -1 AG
⮚ 80.000GC -&gt; +1 FU</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213"/>
      <c r="AQ33" s="54"/>
      <c r="AR33" s="58" t="s">
        <v>1704</v>
      </c>
      <c r="AS33" s="58" t="s">
        <v>1703</v>
      </c>
      <c r="AT33" s="58" t="s">
        <v>1706</v>
      </c>
      <c r="AU33" s="58" t="s">
        <v>1705</v>
      </c>
      <c r="AV33" s="58" t="s">
        <v>1707</v>
      </c>
      <c r="BL33" s="2" t="s">
        <v>154</v>
      </c>
      <c r="BM33" s="21"/>
      <c r="BN33" s="2" t="s">
        <v>155</v>
      </c>
      <c r="BO33" s="2"/>
      <c r="BP33" s="2">
        <v>70000</v>
      </c>
      <c r="BQ33" s="2">
        <v>50000</v>
      </c>
      <c r="BR33" s="2">
        <v>1</v>
      </c>
      <c r="BS33" s="42" t="str">
        <f>IF($J$24="Español","Reto del Inframundo y Sobornos y Corrupción",(IF($J$24="Deutsch","Unterwelt-Herausforderung, Bestechung und Korruption",(IF($J$24="Français","Défi des Bas-Fonds et Chantage &amp; Corruption","Underworld Challenge and Bribery and Corruption")))))</f>
        <v>Reto del Inframundo y Sobornos y Corrupción</v>
      </c>
      <c r="BT33" s="3" t="s">
        <v>139</v>
      </c>
      <c r="BU33" s="3" t="s">
        <v>25</v>
      </c>
      <c r="BV33" s="3"/>
      <c r="BW33" s="3"/>
      <c r="CC33" s="7"/>
      <c r="CD33" s="1"/>
    </row>
    <row r="34" spans="1:104" ht="21" hidden="1" customHeight="1" x14ac:dyDescent="0.2">
      <c r="A34" s="57"/>
      <c r="B34" s="150" t="str">
        <f>IF(J24="Italiano","Regole Generali",(IF(J24="Español","Reglas generales",(IF(J24="Deutsch","Allgemeine Regeln",(IF(J24="Français","Règles générales","General rules")))))))</f>
        <v>Reglas generales</v>
      </c>
      <c r="C34" s="150"/>
      <c r="D34" s="150"/>
      <c r="E34" s="150"/>
      <c r="F34" s="150"/>
      <c r="G34" s="150"/>
      <c r="H34" s="150"/>
      <c r="I34" s="150"/>
      <c r="J34" s="150"/>
      <c r="K34" s="150"/>
      <c r="L34" s="150"/>
      <c r="M34" s="150"/>
      <c r="N34" s="150"/>
      <c r="O34" s="150"/>
      <c r="P34" s="138"/>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213"/>
      <c r="AQ34" s="54"/>
      <c r="BL34" s="2"/>
      <c r="BM34" s="21"/>
      <c r="BN34" s="2"/>
      <c r="BO34" s="2"/>
      <c r="BP34" s="2">
        <v>70000</v>
      </c>
      <c r="BQ34" s="2">
        <v>50000</v>
      </c>
      <c r="BR34" s="2">
        <v>0</v>
      </c>
      <c r="BS34" s="42" t="str">
        <f>IF($J$24="Español","Selectiva de Sylvania",(IF($J$24="Deutsch","Sylvanisches Rampenlicht",(IF($J$24="Français","Spot de Sylvanie","Sylvanian Spotlight")))))</f>
        <v>Selectiva de Sylvania</v>
      </c>
      <c r="BT34" s="3" t="s">
        <v>97</v>
      </c>
      <c r="BU34" s="3" t="s">
        <v>98</v>
      </c>
      <c r="BV34" s="3"/>
      <c r="BW34" s="3"/>
      <c r="CC34"/>
      <c r="CD34"/>
    </row>
    <row r="35" spans="1:104" ht="21" hidden="1" customHeight="1" x14ac:dyDescent="0.2">
      <c r="A35" s="57"/>
      <c r="B35" s="59" t="str">
        <f>IF(J24="Italiano","VALORE SQUADRA",(IF(J24="Español","VALOR DEL EQUIPO",(IF(J24="Deutsch","TEAMWERT",(IF(J24="Français","VALEUR D’ÉQUIPE ACTUELLE","TEAM VALUE")))))))</f>
        <v>VALOR DEL EQUIPO</v>
      </c>
      <c r="C35" s="143">
        <v>1230000</v>
      </c>
      <c r="D35" s="144"/>
      <c r="E35" s="139" t="str">
        <f>IF(J24="Español","MAX. ESTRELLAS Y MERCENARIOS",(IF(J24="Deutsch","MAX. STARSPIELER &amp; MERCENARIES",(IF(J24="Français","MERCENAIRE &amp; STARS MAX","MAX. STARS &amp; MERCENARIES")))))</f>
        <v>MAX. ESTRELLAS Y MERCENARIOS</v>
      </c>
      <c r="F35" s="140"/>
      <c r="G35" s="140"/>
      <c r="H35" s="140"/>
      <c r="I35" s="140"/>
      <c r="J35" s="141"/>
      <c r="K35" s="61">
        <v>2</v>
      </c>
      <c r="L35" s="139" t="str">
        <f>IF(J24="Español","LINEMEN PRESCINDIBLES",(IF(J24="Deutsch","BILLIGE LINEMEN",(IF(J24="Français","LINEMEN A VIL PRIX","LOW COST LINEMEN")))))</f>
        <v>LINEMEN PRESCINDIBLES</v>
      </c>
      <c r="M35" s="140"/>
      <c r="N35" s="140"/>
      <c r="O35" s="140"/>
      <c r="P35" s="62" t="s">
        <v>165</v>
      </c>
      <c r="Q35" s="140" t="str">
        <f>IF(J24="Italiano","CAPOCUOCO GRATUITO",(IF(J24="Español","MASTER CHEF GRATIS",(IF(J24="Deutsch","FREIER HALBLING-MEISTERKOCH",(IF(J24="Français","CHEF CUISTOT GRATUIT","FREE MASTER CHEF")))))))</f>
        <v>MASTER CHEF GRATIS</v>
      </c>
      <c r="R35" s="140"/>
      <c r="S35" s="140"/>
      <c r="T35" s="141"/>
      <c r="U35" s="63" t="s">
        <v>165</v>
      </c>
      <c r="V35" s="139" t="str">
        <f>IF(J24="Italiano","MAZZETTE GRATUITE",(IF(J24="Español","SOBORNOS GRATIS",(IF(J24="Deutsch","FREIE BESTECHUNGEN",(IF(J24="Français","POTS-DE-VIN GRATUIT","FREE BRIBES")))))))</f>
        <v>SOBORNOS GRATIS</v>
      </c>
      <c r="W35" s="140"/>
      <c r="X35" s="140"/>
      <c r="Y35" s="141"/>
      <c r="Z35" s="63">
        <v>0</v>
      </c>
      <c r="AA35" s="139" t="str">
        <f>IF(J24="Italiano","ESORDIENTI RIBELLI GRATUITI",(IF(J24="Español","NOVATOS ALBOROTADORES GRATIS",(IF(J24="Deutsch","FREIE RANDALIE- RENDE NEULINGE",(IF(J24="Français","DÉBUTANTS DÉCHAÎNÉS GRATUITS","FREE RIOTOUS ROOKIES")))))))</f>
        <v>NOVATOS ALBOROTADORES GRATIS</v>
      </c>
      <c r="AB35" s="140"/>
      <c r="AC35" s="140"/>
      <c r="AD35" s="141"/>
      <c r="AE35" s="63" t="s">
        <v>165</v>
      </c>
      <c r="AF35" s="139" t="str">
        <f>IF(J24="Italiano","MEDICO GRATUITO",(IF(J24="Español","MÉDICO GRATIS",(IF(J24="Deutsch","FREIER SANITÄTER",(IF(J24="Français","APOTHICAIRE GRATUIT","FREE APOTHECARY")))))))</f>
        <v>MÉDICO GRATIS</v>
      </c>
      <c r="AG35" s="140"/>
      <c r="AH35" s="140"/>
      <c r="AI35" s="141"/>
      <c r="AJ35" s="61" t="s">
        <v>165</v>
      </c>
      <c r="AK35" s="139" t="str">
        <f>IF(J24="Italiano","FUSTO BLOODWEISER GRATUITO",(IF(J24="Español","BARRILES BLOODWEISER GRATIS",(IF(J24="Deutsch","FREIE BLOOD- WEISER FÄSSER",(IF(J24="Français","FÛTS DE BLOOWEISER GRATUIT","FREE BLOODWEISER KEGS")))))))</f>
        <v>BARRILES BLOODWEISER GRATIS</v>
      </c>
      <c r="AL35" s="140"/>
      <c r="AM35" s="140"/>
      <c r="AN35" s="141"/>
      <c r="AO35" s="63">
        <v>0</v>
      </c>
      <c r="AP35" s="213"/>
      <c r="AQ35" s="54"/>
      <c r="AR35" s="1"/>
      <c r="AS35" s="122" t="s">
        <v>1633</v>
      </c>
      <c r="AT35" s="122"/>
      <c r="AU35" s="122"/>
      <c r="AV35" s="122"/>
      <c r="AW35" s="1"/>
      <c r="AX35" s="2"/>
      <c r="AY35" s="2"/>
      <c r="BC35" s="2"/>
      <c r="BD35" s="2"/>
      <c r="BK35" s="2"/>
      <c r="BL35" s="2" t="s">
        <v>159</v>
      </c>
      <c r="BM35" s="21"/>
      <c r="BN35" s="2" t="s">
        <v>159</v>
      </c>
      <c r="BO35" s="2"/>
      <c r="BP35" s="2">
        <v>60000</v>
      </c>
      <c r="BQ35" s="2">
        <v>50000</v>
      </c>
      <c r="BR35" s="2">
        <v>1</v>
      </c>
      <c r="BS35" s="42" t="str">
        <f>IF($J$24="Español","Selectiva de Sylvania",(IF($J$24="Deutsch","Sylvanisches Rampenlicht",(IF($J$24="Français","Spot de Sylvanie","Sylvanian Spotlight")))))</f>
        <v>Selectiva de Sylvania</v>
      </c>
      <c r="BT35" s="3" t="s">
        <v>97</v>
      </c>
      <c r="BU35" s="3" t="s">
        <v>98</v>
      </c>
      <c r="BV35" s="3"/>
      <c r="BW35" s="3"/>
      <c r="BX35" s="3"/>
      <c r="CC35"/>
      <c r="CD35"/>
      <c r="CI35" s="2"/>
      <c r="CJ35" s="2"/>
      <c r="CK35" s="2"/>
      <c r="CL35" s="2"/>
      <c r="CM35" s="2"/>
      <c r="CN35" s="2"/>
      <c r="CO35" s="2"/>
      <c r="CP35" s="2"/>
      <c r="CQ35" s="2"/>
      <c r="CR35" s="2"/>
      <c r="CS35" s="2"/>
      <c r="CT35" s="2"/>
      <c r="CU35" s="2"/>
      <c r="CV35" s="2"/>
      <c r="CW35" s="2"/>
      <c r="CX35" s="2"/>
      <c r="CY35" s="2"/>
      <c r="CZ35" s="2"/>
    </row>
    <row r="36" spans="1:104" ht="21" hidden="1" customHeight="1" x14ac:dyDescent="0.2">
      <c r="A36" s="57"/>
      <c r="B36" s="142" t="str">
        <f>IF(J24="Italiano","Regole Abilità",(IF(J24="Español","Reglas habilidades",(IF(J24="Deutsch","Regelkenntnisse",(IF(J24="Français","Compétences en matière de règles","Rules skills")))))))</f>
        <v>Reglas habilidades</v>
      </c>
      <c r="C36" s="142"/>
      <c r="D36" s="142"/>
      <c r="E36" s="142"/>
      <c r="F36" s="142"/>
      <c r="G36" s="142"/>
      <c r="H36" s="142"/>
      <c r="I36" s="142"/>
      <c r="J36" s="142"/>
      <c r="K36" s="142"/>
      <c r="L36" s="142"/>
      <c r="M36" s="142"/>
      <c r="N36" s="142"/>
      <c r="O36" s="142"/>
      <c r="P36" s="138"/>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213"/>
      <c r="AQ36" s="54"/>
      <c r="AR36" s="1"/>
      <c r="AS36" s="23" t="s">
        <v>1241</v>
      </c>
      <c r="AT36" s="1">
        <f>IF($C$18=AS36,1,0)</f>
        <v>0</v>
      </c>
      <c r="AU36" s="1">
        <f>IF($C$19=AS36,1,0)</f>
        <v>0</v>
      </c>
      <c r="AV36" s="1">
        <f>(SUM(AT36:AU41))+(SUM(AW36:AW41))</f>
        <v>0</v>
      </c>
      <c r="AW36" s="1">
        <f>IF($C$20=AS36,1,0)</f>
        <v>0</v>
      </c>
      <c r="AX36" s="2"/>
      <c r="AY36" s="2"/>
      <c r="BC36" s="2"/>
      <c r="BD36" s="2"/>
      <c r="BK36" s="2"/>
      <c r="BL36" s="2" t="s">
        <v>160</v>
      </c>
      <c r="BM36" s="21"/>
      <c r="BN36" s="2" t="s">
        <v>161</v>
      </c>
      <c r="BO36" s="2"/>
      <c r="BP36" s="2">
        <v>50000</v>
      </c>
      <c r="BQ36" s="2">
        <v>50000</v>
      </c>
      <c r="BR36" s="2">
        <v>1</v>
      </c>
      <c r="BS36" s="42" t="str">
        <f>IF($J$24="Español","Liga de los Reinos Elfos",(IF($J$24="Deutsch","Liga der Elfenkönigreiche",(IF($J$24="Français","Ligue des Royaumes Elfiques","Elven Kingdoms League")))))</f>
        <v>Liga de los Reinos Elfos</v>
      </c>
      <c r="BT36" s="3" t="s">
        <v>48</v>
      </c>
      <c r="BX36" s="3"/>
      <c r="CC36" s="7"/>
      <c r="CD36" s="1"/>
      <c r="CI36" s="2"/>
      <c r="CJ36" s="2"/>
      <c r="CK36" s="2"/>
      <c r="CL36" s="2"/>
      <c r="CM36" s="2"/>
      <c r="CN36" s="2"/>
      <c r="CO36" s="2"/>
      <c r="CP36" s="2"/>
      <c r="CQ36" s="2"/>
      <c r="CR36" s="2"/>
      <c r="CS36" s="2"/>
      <c r="CT36" s="2"/>
      <c r="CU36" s="2"/>
      <c r="CV36" s="2"/>
      <c r="CW36" s="2"/>
      <c r="CX36" s="2"/>
      <c r="CY36" s="2"/>
      <c r="CZ36" s="2"/>
    </row>
    <row r="37" spans="1:104" ht="21" hidden="1" customHeight="1" x14ac:dyDescent="0.2">
      <c r="A37" s="57"/>
      <c r="B37" s="60" t="str">
        <f>IF(J24="Italiano","MAX. ABILITÀ TOTALI",(IF(J24="Español","MAX. TOTAL HABILIDADES",(IF(J24="Deutsch","MAX. FERTIG- KEITEN GESAMT",(IF(J24="Français","NB COMPÉTENCES MAX","MAX. TOTAL SKILLS")))))))</f>
        <v>MAX. TOTAL HABILIDADES</v>
      </c>
      <c r="C37" s="133">
        <v>20</v>
      </c>
      <c r="D37" s="134"/>
      <c r="E37" s="139" t="str">
        <f>IF(J24="Italiano","MAX. PRIMARIE",(IF(J24="Español","MAX. PRIMARIAS",(IF(J24="Deutsch","MAX. PRIMÄRE",(IF(J24="Français","COMP PRIMAIRES MAX","MAX. PRIMARY")))))))</f>
        <v>MAX. PRIMARIAS</v>
      </c>
      <c r="F37" s="140"/>
      <c r="G37" s="140"/>
      <c r="H37" s="140"/>
      <c r="I37" s="140"/>
      <c r="J37" s="141"/>
      <c r="K37" s="133">
        <v>20</v>
      </c>
      <c r="L37" s="134"/>
      <c r="M37" s="139" t="str">
        <f>IF(J24="Italiano","MAX. SECONDARIE",(IF(J24="Español","MAX. SECUNDARIAS",(IF(J24="Deutsch","MAX. SEKUNDÄRE",(IF(J24="Français","COMP SECONDAIRES MAX","MAX. SECONDARY")))))))</f>
        <v>MAX. SECUNDARIAS</v>
      </c>
      <c r="N37" s="140"/>
      <c r="O37" s="140"/>
      <c r="P37" s="141"/>
      <c r="Q37" s="133">
        <v>20</v>
      </c>
      <c r="R37" s="134"/>
      <c r="S37" s="139" t="str">
        <f>IF(J24="Italiano","MAX. STATISTICHE",(IF(J24="Español","MAX. ATRIBUTOS",(IF(J24="Deutsch","MAX. EIGENSCHAFTEN",(IF(J24="Français","CARACTÉRISTIQUES MAX","MAX. STATS")))))))</f>
        <v>MAX. ATRIBUTOS</v>
      </c>
      <c r="T37" s="140"/>
      <c r="U37" s="140"/>
      <c r="V37" s="141"/>
      <c r="W37" s="133">
        <v>20</v>
      </c>
      <c r="X37" s="134"/>
      <c r="Y37" s="135" t="str">
        <f>IF(J24="Italiano","SPP DA SPENDERE",(IF(J24="Español","SPP PARA GASTAR",(IF(J24="Deutsch","SPP ZUM AUSGEBEN",(IF(J24="Français","PSP À DÉPENSER","SPP TO EXPEND")))))))</f>
        <v>SPP PARA GASTAR</v>
      </c>
      <c r="Z37" s="136"/>
      <c r="AA37" s="136"/>
      <c r="AB37" s="137"/>
      <c r="AC37" s="133" t="s">
        <v>165</v>
      </c>
      <c r="AD37" s="134"/>
      <c r="AE37" s="135" t="str">
        <f>IF(J24="Italiano","MAX. TESORO PER ABILITÀ E STATISTICHE",(IF(J24="Español","MAX. DINERO PARA HABILIDADES Y ATRIBUTOS",(IF(J24="Deutsch","MAX. GELD FÜR FERTIGKEITEN UND EIGENSCHAFTEN",(IF(J24="Français","ARGENT POUR COMPÉTENCES ET CARACTÉRISTIQUES MAX","MAX. MONEY TO SKILLS AND STATS")))))))</f>
        <v>MAX. DINERO PARA HABILIDADES Y ATRIBUTOS</v>
      </c>
      <c r="AF37" s="136"/>
      <c r="AG37" s="136"/>
      <c r="AH37" s="136"/>
      <c r="AI37" s="137"/>
      <c r="AJ37" s="133">
        <v>180000</v>
      </c>
      <c r="AK37" s="134"/>
      <c r="AL37" s="54"/>
      <c r="AM37" s="54"/>
      <c r="AN37" s="54"/>
      <c r="AO37" s="54"/>
      <c r="AP37" s="213"/>
      <c r="AQ37" s="54"/>
      <c r="AR37" s="1"/>
      <c r="AS37" s="23" t="s">
        <v>1111</v>
      </c>
      <c r="AT37" s="1">
        <f t="shared" ref="AT37:AT41" si="20">IF($C$18=AS37,1,0)</f>
        <v>0</v>
      </c>
      <c r="AU37" s="1">
        <f t="shared" ref="AU37:AU41" si="21">IF($C$19=AS37,1,0)</f>
        <v>0</v>
      </c>
      <c r="AV37" s="1">
        <f>IF(AV36&gt;0,3,0)</f>
        <v>0</v>
      </c>
      <c r="AW37" s="1">
        <f t="shared" ref="AW37:AW40" si="22">IF($C$20=AS37,1,0)</f>
        <v>0</v>
      </c>
      <c r="AX37" s="2"/>
      <c r="AY37" s="2"/>
      <c r="BC37" s="2"/>
      <c r="BD37" s="2"/>
      <c r="BK37" s="2"/>
      <c r="BL37" s="2"/>
      <c r="BM37" s="2"/>
      <c r="BN37" s="2"/>
      <c r="BP37" s="2"/>
      <c r="BQ37" s="2"/>
      <c r="BR37" s="2"/>
      <c r="BS37" s="3"/>
      <c r="BT37" s="3"/>
      <c r="BU37" s="3"/>
      <c r="BV37" s="3"/>
      <c r="BW37" s="3"/>
      <c r="BX37" s="3"/>
      <c r="BY37" s="2"/>
      <c r="BZ37" s="2"/>
      <c r="CA37" s="46"/>
      <c r="CB37" s="1"/>
      <c r="CC37" s="7"/>
      <c r="CD37" s="1"/>
      <c r="CE37" s="1"/>
      <c r="CF37" s="1"/>
      <c r="CG37" s="1"/>
      <c r="CH37" s="1"/>
      <c r="CI37" s="2"/>
      <c r="CJ37" s="2"/>
      <c r="CK37" s="2"/>
      <c r="CL37" s="2"/>
      <c r="CM37" s="2"/>
      <c r="CN37" s="2"/>
      <c r="CO37" s="2"/>
      <c r="CP37" s="2"/>
      <c r="CQ37" s="2"/>
      <c r="CR37" s="2"/>
      <c r="CS37" s="2"/>
      <c r="CT37" s="2"/>
      <c r="CU37" s="2"/>
      <c r="CV37" s="2"/>
      <c r="CW37" s="2"/>
      <c r="CX37" s="2"/>
      <c r="CY37" s="2"/>
      <c r="CZ37" s="2"/>
    </row>
    <row r="38" spans="1:104" ht="21" hidden="1" customHeight="1" x14ac:dyDescent="0.2">
      <c r="A38" s="57"/>
      <c r="B38" s="64" t="str">
        <f>IF(J24="Italiano","COSTO PRIMARIE",(IF(J24="Español","COSTE PRIMARIAS",(IF(J24="Deutsch","Σ PRIMÄRE",(IF(J24="Français","COÛT EN PRIMAIRES","COST PRIMARY")))))))</f>
        <v>COSTE PRIMARIAS</v>
      </c>
      <c r="C38" s="133">
        <v>20000</v>
      </c>
      <c r="D38" s="134"/>
      <c r="E38" s="135" t="str">
        <f>IF(J24="Italiano","COSTO SECONDARIE",(IF(J24="Español","COSTE SECUNDARIAS",(IF(J24="Deutsch","Σ SEKUNDÄRE",(IF(J24="Français","COÛT EN SECONDAIRES","COST SECONDARY")))))))</f>
        <v>COSTE SECUNDARIAS</v>
      </c>
      <c r="F38" s="136"/>
      <c r="G38" s="136"/>
      <c r="H38" s="136"/>
      <c r="I38" s="136"/>
      <c r="J38" s="137"/>
      <c r="K38" s="133">
        <v>30000</v>
      </c>
      <c r="L38" s="134"/>
      <c r="M38" s="135" t="str">
        <f>IF(J24="Italiano","COSTO MA",(IF(J24="Español","COSTE MO",(IF(J24="Deutsch","Σ BE",(IF(J24="Français","COÛT EN M","COST MA")))))))</f>
        <v>COSTE MO</v>
      </c>
      <c r="N38" s="136"/>
      <c r="O38" s="137"/>
      <c r="P38" s="133">
        <v>20000</v>
      </c>
      <c r="Q38" s="134"/>
      <c r="R38" s="135" t="str">
        <f>IF(J24="Italiano","COSTO ST",(IF(J24="Español","COSTE FU",(IF(J24="Deutsch","Σ ST",(IF(J24="Français","COÛT EN F","COST ST")))))))</f>
        <v>COSTE FU</v>
      </c>
      <c r="S38" s="136"/>
      <c r="T38" s="137"/>
      <c r="U38" s="133">
        <v>80000</v>
      </c>
      <c r="V38" s="134"/>
      <c r="W38" s="135" t="str">
        <f>IF(J24="Italiano","COSTO PA",(IF(J24="Español","COSTE PA",(IF(J24="Deutsch","Σ WG",(IF(J24="Français","COÛT EN CP","COST PA")))))))</f>
        <v>COSTE PA</v>
      </c>
      <c r="X38" s="136"/>
      <c r="Y38" s="137"/>
      <c r="Z38" s="133">
        <v>20000</v>
      </c>
      <c r="AA38" s="134"/>
      <c r="AB38" s="135" t="str">
        <f>IF(J24="Italiano","COSTO AG",(IF(J24="Español","COSTE AG",(IF(J24="Deutsch","Σ GE",(IF(J24="Français","COÛT EN AG","COST AG")))))))</f>
        <v>COSTE AG</v>
      </c>
      <c r="AC38" s="136"/>
      <c r="AD38" s="137"/>
      <c r="AE38" s="133">
        <v>40000</v>
      </c>
      <c r="AF38" s="134"/>
      <c r="AG38" s="135" t="str">
        <f>IF(J24="Italiano","COSTO AV",(IF(J24="Español","COSTE AR",(IF(J24="Deutsch","Σ RW",(IF(J24="Français","COÛT EN AR","COST AV")))))))</f>
        <v>COSTE AR</v>
      </c>
      <c r="AH38" s="136"/>
      <c r="AI38" s="137"/>
      <c r="AJ38" s="133">
        <v>10000</v>
      </c>
      <c r="AK38" s="134"/>
      <c r="AL38" s="54"/>
      <c r="AM38" s="54"/>
      <c r="AN38" s="54"/>
      <c r="AO38" s="54"/>
      <c r="AP38" s="213"/>
      <c r="AQ38" s="54"/>
      <c r="AR38" s="1"/>
      <c r="AS38" s="23" t="s">
        <v>1420</v>
      </c>
      <c r="AT38" s="1">
        <f t="shared" si="20"/>
        <v>0</v>
      </c>
      <c r="AU38" s="1">
        <f t="shared" si="21"/>
        <v>0</v>
      </c>
      <c r="AV38" s="1"/>
      <c r="AW38" s="1">
        <f t="shared" si="22"/>
        <v>0</v>
      </c>
      <c r="AX38" s="2"/>
      <c r="AY38" s="2"/>
      <c r="BC38" s="2"/>
      <c r="BD38" s="2"/>
      <c r="BK38" s="2"/>
      <c r="BL38" s="2"/>
      <c r="BM38" s="2"/>
      <c r="BN38" s="2"/>
      <c r="BO38" s="2"/>
      <c r="BP38" s="2"/>
      <c r="BQ38" s="2"/>
      <c r="BR38" s="2"/>
      <c r="BS38" s="3"/>
      <c r="BT38" s="3"/>
      <c r="BU38" s="3"/>
      <c r="BV38" s="3"/>
      <c r="BW38" s="3"/>
      <c r="BX38" s="3"/>
      <c r="BY38" s="2"/>
      <c r="BZ38" s="2"/>
      <c r="CA38" s="46"/>
      <c r="CB38" s="1"/>
      <c r="CC38" s="7"/>
      <c r="CD38" s="1"/>
      <c r="CE38" s="1"/>
      <c r="CF38" s="1"/>
      <c r="CG38" s="1"/>
      <c r="CH38" s="1"/>
      <c r="CI38" s="2"/>
      <c r="CJ38" s="2"/>
      <c r="CK38" s="2"/>
      <c r="CL38" s="2"/>
      <c r="CM38" s="2"/>
      <c r="CN38" s="2"/>
      <c r="CO38" s="2"/>
      <c r="CP38" s="2"/>
      <c r="CQ38" s="2"/>
      <c r="CR38" s="2"/>
      <c r="CS38" s="2"/>
      <c r="CT38" s="2"/>
      <c r="CU38" s="2"/>
      <c r="CV38" s="2"/>
      <c r="CW38" s="2"/>
      <c r="CX38" s="2"/>
      <c r="CY38" s="2"/>
      <c r="CZ38" s="2"/>
    </row>
    <row r="39" spans="1:104" ht="21" hidden="1" customHeight="1" x14ac:dyDescent="0.2">
      <c r="A39" s="57"/>
      <c r="B39" s="138" t="str">
        <f>IF(J24="Italiano","Riassunto della squadra",(IF(J24="Español","Resumen del equipo",(IF(J24="Deutsch","Zusammenfassung der Mannschaft",(IF(J24="Français","Résumé de l'équipe","Team summary")))))))</f>
        <v>Resumen del equipo</v>
      </c>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213"/>
      <c r="AQ39" s="2"/>
      <c r="AR39" s="2"/>
      <c r="AS39" s="23" t="s">
        <v>789</v>
      </c>
      <c r="AT39" s="1">
        <f t="shared" si="20"/>
        <v>0</v>
      </c>
      <c r="AU39" s="1">
        <f t="shared" si="21"/>
        <v>0</v>
      </c>
      <c r="AV39" s="1"/>
      <c r="AW39" s="1">
        <f t="shared" si="22"/>
        <v>0</v>
      </c>
      <c r="AX39" s="2"/>
      <c r="AY39" s="2"/>
      <c r="BC39" s="2"/>
      <c r="BD39" s="2"/>
      <c r="BK39" s="2"/>
      <c r="BL39" s="2"/>
      <c r="BM39" s="2"/>
      <c r="BN39" s="2"/>
      <c r="BO39" s="2"/>
      <c r="BP39" s="2"/>
      <c r="BQ39" s="2"/>
      <c r="BR39" s="2"/>
      <c r="BS39" s="3"/>
      <c r="BT39" s="3"/>
      <c r="BU39" s="3"/>
      <c r="BV39" s="3"/>
      <c r="BW39" s="3"/>
      <c r="BX39" s="3"/>
      <c r="BY39" s="2"/>
      <c r="BZ39" s="2"/>
      <c r="CA39" s="46"/>
      <c r="CB39" s="1"/>
      <c r="CC39" s="7"/>
      <c r="CD39" s="1"/>
      <c r="CE39" s="1"/>
      <c r="CF39" s="1"/>
      <c r="CG39" s="1"/>
      <c r="CH39" s="1"/>
      <c r="CI39" s="2"/>
      <c r="CJ39" s="2"/>
      <c r="CK39" s="2"/>
      <c r="CL39" s="2"/>
      <c r="CM39" s="2"/>
      <c r="CN39" s="2"/>
      <c r="CO39" s="2"/>
      <c r="CP39" s="2"/>
      <c r="CQ39" s="2"/>
      <c r="CR39" s="2"/>
      <c r="CS39" s="2"/>
      <c r="CT39" s="2"/>
      <c r="CU39" s="2"/>
      <c r="CV39" s="2"/>
      <c r="CW39" s="2"/>
      <c r="CX39" s="2"/>
      <c r="CY39" s="2"/>
      <c r="CZ39" s="2"/>
    </row>
    <row r="40" spans="1:104" ht="21" hidden="1" customHeight="1" x14ac:dyDescent="0.2">
      <c r="A40" s="65"/>
      <c r="B40" s="66" t="str">
        <f>IF(J24="Italiano","VALORE SQUADRA",(IF(J24="Español","VALOR DEL EQUIPO",(IF(J24="Deutsch","TEAMWERT",(IF(J24="Français","VALEUR D’ÉQUIPE ACTUELLE","TEAM VALUE")))))))</f>
        <v>VALOR DEL EQUIPO</v>
      </c>
      <c r="C40" s="132">
        <f>J30</f>
        <v>0</v>
      </c>
      <c r="D40" s="132"/>
      <c r="E40" s="130" t="str">
        <f>IF(J24="Italiano","NUMERO DI GIOCATORI",(IF(J24="Español","NÚMERO JUGADORES",(IF(J24="Deutsch","ANZAHL DER SPIELER",(IF(J24="Français","NOMBRE DE JOUEURS","NUMBER OF PLAYERS")))))))</f>
        <v>NÚMERO JUGADORES</v>
      </c>
      <c r="F40" s="130"/>
      <c r="G40" s="130"/>
      <c r="H40" s="130"/>
      <c r="I40" s="130"/>
      <c r="J40" s="130"/>
      <c r="K40" s="130"/>
      <c r="L40" s="132">
        <f>COUNTA(C2:F17)</f>
        <v>0</v>
      </c>
      <c r="M40" s="132"/>
      <c r="N40" s="130" t="str">
        <f>IF(J24="Italiano","NUMERO DI GIOCATORI DI SPICCO",(IF(J24="Español","NÚMERO JUGADORES ESTRELLA",(IF(J24="Deutsch","ANZAHL DER STARSPIELER",(IF(J24="Français","NOMBRE DE JOUEURS VEDETTES","NUMBER OF STAR PLAYERS")))))))</f>
        <v>NÚMERO JUGADORES ESTRELLA</v>
      </c>
      <c r="O40" s="130"/>
      <c r="P40" s="130"/>
      <c r="Q40" s="130"/>
      <c r="R40" s="130"/>
      <c r="S40" s="132">
        <f>COUNTA(C18:F20)</f>
        <v>1</v>
      </c>
      <c r="T40" s="132"/>
      <c r="U40" s="130" t="str">
        <f>IF(J24="Italiano","NUMERO DI ABILITÀ",(IF(J24="Español","NÚMERO HABILIDADES",(IF(J24="Deutsch","ZIFFERNKENNTNISSE",(IF(J24="Français","NOMBRE DE COMPÉTENCES","NUMBER OF SKILLS")))))))</f>
        <v>NÚMERO HABILIDADES</v>
      </c>
      <c r="V40" s="130"/>
      <c r="W40" s="130"/>
      <c r="X40" s="130"/>
      <c r="Y40" s="130"/>
      <c r="Z40" s="129">
        <f>AZ65</f>
        <v>0</v>
      </c>
      <c r="AA40" s="129"/>
      <c r="AB40" s="130" t="str">
        <f>IF(J24="Italiano","COSTO TOTAL ABILITÀ",(IF(J24="Español","COSTE TOTAL HABILIDADES",(IF(J24="Deutsch","TOTAL KOSTENKOMPETENZEN",(IF(J24="Français","TOTAL COÛT EN COMPÉTENCES","TOTAL COST SKILLS")))))))</f>
        <v>COSTE TOTAL HABILIDADES</v>
      </c>
      <c r="AC40" s="130"/>
      <c r="AD40" s="130"/>
      <c r="AE40" s="130"/>
      <c r="AF40" s="130"/>
      <c r="AG40" s="128">
        <f>L41+Z41+AN41</f>
        <v>0</v>
      </c>
      <c r="AH40" s="129"/>
      <c r="AI40" s="130" t="str">
        <f>IF(J24="Italiano","SPP TOTALI",(IF(J24="Español","SPP TOTALES",(IF(J24="Deutsch","GESAMTE SPP",(IF(J24="Français","TOTAL PSP","TOTAL SPP")))))))</f>
        <v>SPP TOTALES</v>
      </c>
      <c r="AJ40" s="130"/>
      <c r="AK40" s="130"/>
      <c r="AL40" s="130"/>
      <c r="AM40" s="130"/>
      <c r="AN40" s="128">
        <f>SUM(AM2:AM17)</f>
        <v>0</v>
      </c>
      <c r="AO40" s="129"/>
      <c r="AP40" s="65"/>
      <c r="AQ40" s="65"/>
      <c r="AR40" s="2"/>
      <c r="AS40" s="23" t="s">
        <v>860</v>
      </c>
      <c r="AT40" s="1">
        <f t="shared" si="20"/>
        <v>0</v>
      </c>
      <c r="AU40" s="1">
        <f t="shared" si="21"/>
        <v>0</v>
      </c>
      <c r="AV40" s="10"/>
      <c r="AW40" s="1">
        <f t="shared" si="22"/>
        <v>0</v>
      </c>
      <c r="AX40" s="2"/>
      <c r="AY40" s="2"/>
      <c r="AZ40" s="2"/>
      <c r="BA40" s="2"/>
      <c r="BB40" s="2"/>
      <c r="BC40" s="2"/>
      <c r="BD40" s="2"/>
      <c r="BK40" s="2"/>
      <c r="BM40" s="2"/>
      <c r="BN40" s="2"/>
      <c r="BO40" s="2"/>
      <c r="BP40" s="2"/>
      <c r="BQ40" s="2"/>
      <c r="BR40" s="2"/>
      <c r="BS40" s="2"/>
      <c r="BT40" s="2"/>
      <c r="BU40" s="3"/>
      <c r="BV40" s="3"/>
      <c r="BW40" s="3"/>
      <c r="BX40" s="3"/>
      <c r="BY40" s="2"/>
      <c r="BZ40" s="2"/>
      <c r="CA40" s="2"/>
      <c r="CB40" s="2"/>
      <c r="CC40" s="2"/>
      <c r="CD40" s="1"/>
      <c r="CE40" s="1"/>
      <c r="CF40" s="1"/>
      <c r="CG40" s="1"/>
      <c r="CH40" s="1"/>
      <c r="CI40" s="2"/>
      <c r="CJ40" s="2"/>
      <c r="CK40" s="2"/>
      <c r="CL40" s="2"/>
      <c r="CM40" s="2"/>
      <c r="CN40" s="2"/>
      <c r="CO40" s="2"/>
      <c r="CP40" s="2"/>
      <c r="CQ40" s="2"/>
      <c r="CR40" s="2"/>
      <c r="CS40" s="2"/>
      <c r="CT40" s="2"/>
      <c r="CU40" s="2"/>
      <c r="CV40" s="2"/>
      <c r="CW40" s="2"/>
      <c r="CX40" s="2"/>
      <c r="CY40" s="2"/>
      <c r="CZ40" s="2"/>
    </row>
    <row r="41" spans="1:104" ht="21" hidden="1" customHeight="1" x14ac:dyDescent="0.2">
      <c r="A41" s="65"/>
      <c r="B41" s="66" t="str">
        <f>IF(J24="Italiano","NUMERO DI ABILITÀ PRIMARIE",(IF(J24="Español","NÚMERO HABILIDADES PRIMARIAS",(IF(J24="Deutsch","ANZAHL DER GRUNDFERTIGKEITEN",(IF(J24="Français","NOMBRE DE COMPÉTENCES PRIMAIRES","NUMBER OF PRIMARY SKILLS")))))))</f>
        <v>NÚMERO HABILIDADES PRIMARIAS</v>
      </c>
      <c r="C41" s="132">
        <f>AX65</f>
        <v>0</v>
      </c>
      <c r="D41" s="132"/>
      <c r="E41" s="130" t="str">
        <f>IF(J24="Italiano","COSTO PRIMARIE",(IF(J24="Español","COSTE PRIMARIAS",(IF(J24="Deutsch","Σ PRIMÄRE",(IF(J24="Français","COÛT EN PRIMAIRES","COST PRIMARY")))))))</f>
        <v>COSTE PRIMARIAS</v>
      </c>
      <c r="F41" s="130"/>
      <c r="G41" s="130"/>
      <c r="H41" s="130"/>
      <c r="I41" s="130"/>
      <c r="J41" s="130"/>
      <c r="K41" s="130"/>
      <c r="L41" s="132">
        <f>IFERROR(((COUNTIF(CG46:CL61,C38))*C38),0)</f>
        <v>0</v>
      </c>
      <c r="M41" s="132"/>
      <c r="N41" s="130" t="str">
        <f>IF(J24="Italiano","NUMERO DI ABILITÀ SECONDARIE",(IF(J24="Español","NÚMERO HABILIDADES SECUNDARIAS",(IF(J24="Deutsch","ANZAHL DER SEKUNDÄREN FÄHIGKEITEN",(IF(J24="Français","NOMBRE DE COMPÉTENCES SECONDAIRES","NUMBER OF SECONDARY SKILLS")))))))</f>
        <v>NÚMERO HABILIDADES SECUNDARIAS</v>
      </c>
      <c r="O41" s="130"/>
      <c r="P41" s="130"/>
      <c r="Q41" s="130"/>
      <c r="R41" s="130"/>
      <c r="S41" s="129">
        <f>AY65</f>
        <v>0</v>
      </c>
      <c r="T41" s="129"/>
      <c r="U41" s="130" t="str">
        <f>IF(J24="Italiano","COSTO SECONDARIE",(IF(J24="Español","COSTE SECUNDARIAS",(IF(J24="Deutsch","Σ SEKUNDÄRE",(IF(J24="Français","COÛT EN SECONDAIRES","COST SECONDARY")))))))</f>
        <v>COSTE SECUNDARIAS</v>
      </c>
      <c r="V41" s="130"/>
      <c r="W41" s="130"/>
      <c r="X41" s="130"/>
      <c r="Y41" s="130"/>
      <c r="Z41" s="128">
        <f>IFERROR(((COUNTIF(CG46:CL61,K38))*K38),0)</f>
        <v>0</v>
      </c>
      <c r="AA41" s="129"/>
      <c r="AB41" s="130" t="str">
        <f>IF(J24="Italiano","NUMERO DI STATISTICHE",(IF(J24="Español","NÚMERO ATRIBUTOS",(IF(J24="Deutsch","ANZAHL DER ATTRIBUTE",(IF(J24="Français","NOMBRE DE CARACTÉRISTIQUES","NUMBER OF STATS")))))))</f>
        <v>NÚMERO ATRIBUTOS</v>
      </c>
      <c r="AC41" s="130"/>
      <c r="AD41" s="130"/>
      <c r="AE41" s="130"/>
      <c r="AF41" s="130"/>
      <c r="AG41" s="129">
        <f>BA65</f>
        <v>0</v>
      </c>
      <c r="AH41" s="129"/>
      <c r="AI41" s="130" t="str">
        <f>IF(J24="Italiano","COSTO STATISTICHE",(IF(J24="Español","COSTE ATRIBUTOS",(IF(J24="Deutsch","Σ  EIGENSCHAFTEN",(IF(J24="Français","COÛT EN CARACTÉRISTIQUES","COST STATS")))))))</f>
        <v>COSTE ATRIBUTOS</v>
      </c>
      <c r="AJ41" s="130"/>
      <c r="AK41" s="130"/>
      <c r="AL41" s="130"/>
      <c r="AM41" s="130"/>
      <c r="AN41" s="128">
        <f>SUM(CN46:CS61)</f>
        <v>0</v>
      </c>
      <c r="AO41" s="129"/>
      <c r="AP41" s="65"/>
      <c r="AQ41" s="65"/>
      <c r="AR41" s="2"/>
      <c r="AS41" s="23" t="s">
        <v>778</v>
      </c>
      <c r="AT41" s="1">
        <f t="shared" si="20"/>
        <v>0</v>
      </c>
      <c r="AU41" s="1">
        <f t="shared" si="21"/>
        <v>0</v>
      </c>
      <c r="AV41" s="10"/>
      <c r="AW41" s="1">
        <f>IF($C$20=AS41,1,0)</f>
        <v>0</v>
      </c>
      <c r="AX41" s="2"/>
      <c r="AY41" s="2"/>
      <c r="AZ41" s="2"/>
      <c r="BA41" s="2"/>
      <c r="BB41" s="2"/>
      <c r="BC41" s="2"/>
      <c r="BD41" s="2"/>
      <c r="BK41" s="2"/>
      <c r="BM41" s="2"/>
      <c r="BN41" s="2"/>
      <c r="BO41" s="2"/>
      <c r="BP41" s="2"/>
      <c r="BQ41" s="2"/>
      <c r="BR41" s="2"/>
      <c r="BS41" s="2"/>
      <c r="BT41" s="2"/>
      <c r="BU41" s="2"/>
      <c r="BV41" s="2"/>
      <c r="BW41" s="2"/>
      <c r="BX41" s="2"/>
      <c r="BY41" s="2"/>
      <c r="BZ41" s="2"/>
      <c r="CA41" s="2"/>
      <c r="CB41" s="2"/>
      <c r="CC41" s="2"/>
      <c r="CD41" s="1"/>
      <c r="CE41" s="1"/>
      <c r="CF41" s="1"/>
      <c r="CG41" s="1"/>
      <c r="CH41" s="1"/>
      <c r="CI41" s="2"/>
      <c r="CJ41" s="2"/>
      <c r="CK41" s="2"/>
      <c r="CL41" s="2"/>
      <c r="CM41" s="2"/>
      <c r="CN41" s="2"/>
      <c r="CO41" s="2"/>
      <c r="CP41" s="2"/>
      <c r="CQ41" s="2"/>
      <c r="CR41" s="2"/>
      <c r="CS41" s="2"/>
      <c r="CT41" s="2"/>
      <c r="CU41" s="2"/>
      <c r="CV41" s="2"/>
      <c r="CW41" s="2"/>
      <c r="CX41" s="2"/>
      <c r="CY41" s="2"/>
      <c r="CZ41" s="2"/>
    </row>
    <row r="42" spans="1:104" ht="11.25" hidden="1" customHeight="1" x14ac:dyDescent="0.2">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0"/>
      <c r="AS42" s="10"/>
      <c r="AT42" s="10"/>
      <c r="AU42" s="10"/>
      <c r="AV42" s="10"/>
      <c r="AW42" s="10"/>
      <c r="AX42" s="2"/>
      <c r="AY42" s="2"/>
      <c r="AZ42" s="2"/>
      <c r="BA42" s="2"/>
      <c r="BB42" s="2"/>
      <c r="BC42" s="2"/>
      <c r="BD42" s="2"/>
      <c r="BK42" s="2"/>
      <c r="BM42" s="2"/>
      <c r="BN42" s="2"/>
      <c r="BO42" s="2"/>
      <c r="BP42" s="2"/>
      <c r="BQ42" s="2"/>
      <c r="BR42" s="2"/>
      <c r="BS42" s="2"/>
      <c r="BT42" s="2"/>
      <c r="BU42" s="3"/>
      <c r="BV42" s="3"/>
      <c r="BW42" s="2"/>
      <c r="BX42" s="2"/>
      <c r="BY42" s="2"/>
      <c r="BZ42" s="2"/>
      <c r="CA42" s="2"/>
      <c r="CB42" s="2"/>
      <c r="CC42" s="2"/>
      <c r="CD42" s="1"/>
      <c r="CE42" s="1"/>
      <c r="CF42" s="1"/>
      <c r="CG42" s="1"/>
      <c r="CH42" s="1"/>
      <c r="CI42" s="2"/>
      <c r="CJ42" s="2"/>
      <c r="CK42" s="2"/>
      <c r="CL42" s="2"/>
      <c r="CM42" s="2"/>
      <c r="CN42" s="2"/>
      <c r="CO42" s="2"/>
      <c r="CP42" s="2"/>
      <c r="CQ42" s="2"/>
      <c r="CR42" s="2"/>
      <c r="CS42" s="2"/>
      <c r="CT42" s="2"/>
      <c r="CU42" s="2"/>
      <c r="CV42" s="2"/>
      <c r="CW42" s="2"/>
      <c r="CX42" s="2"/>
      <c r="CY42" s="2"/>
      <c r="CZ42" s="2"/>
    </row>
    <row r="43" spans="1:104" ht="18" hidden="1"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0" t="s">
        <v>1678</v>
      </c>
      <c r="AS43" s="10" t="s">
        <v>1679</v>
      </c>
      <c r="AT43" s="10"/>
      <c r="AU43" s="10"/>
      <c r="AV43" s="10"/>
      <c r="AW43" s="10"/>
      <c r="AX43" s="2"/>
      <c r="AY43" s="2"/>
      <c r="AZ43" s="2"/>
      <c r="BA43" s="2"/>
      <c r="BB43" s="2"/>
      <c r="BC43" s="2"/>
      <c r="BD43" s="2"/>
      <c r="BK43" s="2"/>
      <c r="BM43" s="2"/>
      <c r="BN43" s="2"/>
      <c r="BO43" s="2"/>
      <c r="BP43" s="2"/>
      <c r="BQ43" s="2"/>
      <c r="BR43" s="2"/>
      <c r="BS43" s="2"/>
      <c r="BT43" s="2"/>
      <c r="BU43" s="3"/>
      <c r="BV43" s="3"/>
      <c r="BW43" s="2"/>
      <c r="BX43" s="2"/>
      <c r="BY43" s="2"/>
      <c r="BZ43" s="2"/>
      <c r="CA43" s="2"/>
      <c r="CB43" s="2"/>
      <c r="CC43" s="2"/>
      <c r="CD43" s="1"/>
      <c r="CE43" s="1"/>
      <c r="CF43" s="1"/>
      <c r="CG43" s="1"/>
      <c r="CH43" s="1"/>
      <c r="CI43" s="2"/>
      <c r="CJ43" s="2"/>
      <c r="CK43" s="2"/>
      <c r="CL43" s="2"/>
      <c r="CM43" s="2"/>
      <c r="CN43" s="2"/>
      <c r="CO43" s="2"/>
      <c r="CP43" s="2"/>
      <c r="CQ43" s="2"/>
      <c r="CR43" s="2"/>
      <c r="CS43" s="2"/>
      <c r="CT43" s="2"/>
      <c r="CU43" s="2"/>
      <c r="CV43" s="2"/>
      <c r="CW43" s="2"/>
      <c r="CX43" s="2"/>
      <c r="CY43" s="2"/>
      <c r="CZ43" s="2"/>
    </row>
    <row r="44" spans="1:104" ht="18" hidden="1"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f>19-(COUNTIF(J2:J20,0))</f>
        <v>0</v>
      </c>
      <c r="AS44" s="10">
        <f>16-(COUNTIF(J2:J17,0))</f>
        <v>0</v>
      </c>
      <c r="AT44" s="10"/>
      <c r="AU44" s="10"/>
      <c r="AV44" s="10"/>
      <c r="AW44" s="10"/>
      <c r="AX44" s="2"/>
      <c r="AY44" s="1"/>
      <c r="AZ44" s="2"/>
      <c r="BA44" s="2"/>
      <c r="BB44" s="2"/>
      <c r="BC44" s="2"/>
      <c r="BD44" s="2"/>
      <c r="BK44" s="2"/>
      <c r="BM44" s="2"/>
      <c r="BN44" s="2"/>
      <c r="BO44" s="2"/>
      <c r="BP44" s="2"/>
      <c r="BQ44" s="2"/>
      <c r="BR44" s="2"/>
      <c r="BS44" s="2"/>
      <c r="BT44" s="67">
        <f>(16-COUNT(BT46:BT61))</f>
        <v>0</v>
      </c>
      <c r="BU44" s="67"/>
      <c r="BV44" s="67"/>
      <c r="BW44" s="67"/>
      <c r="BX44" s="67"/>
      <c r="BY44" s="2"/>
      <c r="BZ44" s="2"/>
      <c r="CA44" s="2"/>
      <c r="CB44" s="2"/>
      <c r="CC44" s="2"/>
      <c r="CD44" s="2"/>
      <c r="CE44" s="2"/>
      <c r="CF44" s="1"/>
      <c r="CG44" s="2"/>
      <c r="CH44" s="5"/>
      <c r="CI44" s="67"/>
      <c r="CJ44" s="67"/>
      <c r="CK44" s="67"/>
      <c r="CL44" s="67"/>
      <c r="CM44" s="2">
        <f>SUM(CM46:CM61)</f>
        <v>0</v>
      </c>
      <c r="CN44" s="2">
        <f>SUM(CN46:CS62)</f>
        <v>0</v>
      </c>
      <c r="CO44" s="2"/>
      <c r="CP44" s="2"/>
      <c r="CQ44" s="2"/>
      <c r="CR44" s="2"/>
      <c r="CS44" s="2"/>
      <c r="CT44" s="2"/>
      <c r="CU44" s="2"/>
      <c r="CV44" s="2"/>
      <c r="CW44" s="2"/>
      <c r="CX44" s="2"/>
      <c r="CY44" s="2"/>
      <c r="CZ44" s="2"/>
    </row>
    <row r="45" spans="1:104" ht="18" hidden="1"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S45" s="10"/>
      <c r="AT45" s="10"/>
      <c r="AU45" s="10"/>
      <c r="AV45" s="67" t="s">
        <v>1677</v>
      </c>
      <c r="AW45" s="10"/>
      <c r="AX45" s="68" t="s">
        <v>166</v>
      </c>
      <c r="AY45" s="5" t="s">
        <v>167</v>
      </c>
      <c r="AZ45" s="5" t="s">
        <v>168</v>
      </c>
      <c r="BA45" s="5" t="s">
        <v>169</v>
      </c>
      <c r="BB45" s="5" t="s">
        <v>170</v>
      </c>
      <c r="BC45" s="5" t="s">
        <v>171</v>
      </c>
      <c r="BD45" s="5" t="s">
        <v>172</v>
      </c>
      <c r="BE45" s="5" t="s">
        <v>173</v>
      </c>
      <c r="BF45" s="5" t="s">
        <v>174</v>
      </c>
      <c r="BG45" s="5" t="s">
        <v>175</v>
      </c>
      <c r="BH45" s="5" t="s">
        <v>176</v>
      </c>
      <c r="BI45" s="5" t="s">
        <v>177</v>
      </c>
      <c r="BJ45" s="2"/>
      <c r="BK45" s="126" t="s">
        <v>178</v>
      </c>
      <c r="BL45" s="123"/>
      <c r="BM45" s="123"/>
      <c r="BN45" s="123"/>
      <c r="BO45" s="123"/>
      <c r="BP45" s="123"/>
      <c r="BQ45" s="2"/>
      <c r="BR45" s="2"/>
      <c r="BS45" s="126" t="s">
        <v>179</v>
      </c>
      <c r="BT45" s="123"/>
      <c r="BU45" s="123"/>
      <c r="BV45" s="123"/>
      <c r="BW45" s="123"/>
      <c r="BX45" s="123"/>
      <c r="BY45" s="2"/>
      <c r="BZ45" s="126" t="s">
        <v>180</v>
      </c>
      <c r="CA45" s="127"/>
      <c r="CB45" s="127"/>
      <c r="CC45" s="127"/>
      <c r="CD45" s="127"/>
      <c r="CE45" s="127"/>
      <c r="CF45" s="2"/>
      <c r="CG45" s="126" t="s">
        <v>181</v>
      </c>
      <c r="CH45" s="123"/>
      <c r="CI45" s="123"/>
      <c r="CJ45" s="123"/>
      <c r="CK45" s="123"/>
      <c r="CL45" s="123"/>
      <c r="CM45" s="2"/>
      <c r="CN45" s="126" t="s">
        <v>182</v>
      </c>
      <c r="CO45" s="123"/>
      <c r="CP45" s="123"/>
      <c r="CQ45" s="123"/>
      <c r="CR45" s="123"/>
      <c r="CS45" s="123"/>
      <c r="CT45" s="2"/>
      <c r="CU45" s="126" t="s">
        <v>183</v>
      </c>
      <c r="CV45" s="123"/>
      <c r="CW45" s="123"/>
      <c r="CX45" s="123"/>
      <c r="CY45" s="123"/>
      <c r="CZ45" s="123"/>
    </row>
    <row r="46" spans="1:104" ht="18" hidden="1"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0" t="s">
        <v>1636</v>
      </c>
      <c r="AS46" s="10"/>
      <c r="AT46" s="10"/>
      <c r="AU46" s="10"/>
      <c r="AV46" s="10">
        <f t="shared" ref="AV46:AV61" si="23">(IF(AE2="",0,(IF(ISNUMBER(SEARCH(AE2,O2)),1,0))))+(IF(AI2="",0,(IF(ISNUMBER(SEARCH(AI2,O2)),1,0))))</f>
        <v>0</v>
      </c>
      <c r="AW46" s="10"/>
      <c r="AX46" s="2">
        <f t="shared" ref="AX46:AX61" si="24">C2</f>
        <v>0</v>
      </c>
      <c r="AY46" s="2">
        <f>IFERROR((VLOOKUP($BO$1&amp;C2,TeamsProtajer!D:S,12,0)),0)</f>
        <v>0</v>
      </c>
      <c r="AZ46" s="2">
        <f>IFERROR((VLOOKUP($BO$1&amp;C2,TeamsProtajer!D:S,13,0)),0)</f>
        <v>0</v>
      </c>
      <c r="BA46" s="2">
        <f>IFERROR((VLOOKUP($BO$1&amp;C2,TeamsProtajer!D:S,14,0)),0)</f>
        <v>0</v>
      </c>
      <c r="BB46" s="2">
        <f>IFERROR((VLOOKUP($BO$1&amp;C2,TeamsProtajer!D:S,15,0)),0)</f>
        <v>0</v>
      </c>
      <c r="BC46" s="2">
        <f>IFERROR((VLOOKUP($BO$1&amp;C2,TeamsProtajer!D:S,16,0)),0)</f>
        <v>0</v>
      </c>
      <c r="BD46" s="2">
        <f>IF($P$38="NO",0,$P$38)</f>
        <v>20000</v>
      </c>
      <c r="BE46" s="2">
        <f t="shared" ref="BE46:BE61" si="25">IF($AJ$38="NO",0,$AJ$38)</f>
        <v>10000</v>
      </c>
      <c r="BF46" s="2">
        <f t="shared" ref="BF46:BF61" si="26">IF($AE$38="NO",0,$AE$38)</f>
        <v>40000</v>
      </c>
      <c r="BG46" s="2">
        <f t="shared" ref="BG46:BG61" si="27">IF($Z$38="NO",0,$Z$38)</f>
        <v>20000</v>
      </c>
      <c r="BH46" s="2">
        <f t="shared" ref="BH46:BH61" si="28">IF($U$38="NO",0,$U$38)</f>
        <v>80000</v>
      </c>
      <c r="BI46" s="2">
        <f>SUM(CG46:CS46)</f>
        <v>0</v>
      </c>
      <c r="BK46" s="2">
        <f>IF(AE2="",0,(VLOOKUP(AE2,$CC$64:$CD$164,2,0)))</f>
        <v>0</v>
      </c>
      <c r="BL46" s="2">
        <f>IF(AI2="",0,(VLOOKUP(AI2,$CC$64:$CD$164,2,0)))</f>
        <v>0</v>
      </c>
      <c r="BM46" s="2"/>
      <c r="BN46" s="2"/>
      <c r="BO46" s="2"/>
      <c r="BP46" s="2"/>
      <c r="BS46" s="2">
        <f t="shared" ref="BS46:BS61" si="29">(IF(BK46="G",AY46,IF(BK46="A",AZ46,IF(BK46="S",BA46,IF(BK46="P",BB46,IF(BK46="M",BC46,IF(BK46="X",0,IF(OR(BK46="MA",BK46="AV",BK46="ST",BK46="PA",BK46="AG"),"STAT",0))))))))</f>
        <v>0</v>
      </c>
      <c r="BT46" s="2">
        <f t="shared" ref="BT46:BT61" si="30">(IF(BL46="G",AY46,IF(BL46="A",AZ46,IF(BL46="S",BA46,IF(BL46="P",BB46,IF(BL46="M",BC46,IF(BL46="X",0,IF(OR(BL46="MA",BL46="AV",BL46="ST",BL46="PA",BL46="AG"),"STAT",0))))))))</f>
        <v>0</v>
      </c>
      <c r="BU46" s="2">
        <f t="shared" ref="BU46:BU61" si="31">(IF(BM46="G",AY46,IF(BM46="A",AZ46,IF(BM46="S",BA46,IF(BM46="P",BB46,IF(BM46="M",BC46,IF(BM46="X",0,IF(OR(BM46="MA",BM46="AV",BM46="ST",BM46="PA",BM46="AG"),"STAT",0))))))))</f>
        <v>0</v>
      </c>
      <c r="BV46" s="2">
        <f t="shared" ref="BV46:BV61" si="32">(IF(BN46="G",AY46,IF(BN46="A",AZ46,IF(BN46="S",BA46,IF(BN46="P",BB46,IF(BN46="M",BC46,IF(BN46="X",0,IF(OR(BN46="MA",BN46="AV",BN46="ST",BN46="PA",BN46="AG"),"STAT",0))))))))</f>
        <v>0</v>
      </c>
      <c r="BW46" s="2">
        <f t="shared" ref="BW46:BW61" si="33">(IF(BO46="G",AY46,IF(BO46="A",AZ46,IF(BO46="S",BA46,IF(BO46="P",BB46,IF(BO46="M",BC46,IF(BO46="X",0,IF(OR(BO46="MA",BO46="AV",BO46="ST",BO46="PA",BO46="AG"),"STAT",0))))))))</f>
        <v>0</v>
      </c>
      <c r="BX46" s="2">
        <f t="shared" ref="BX46:BX60" si="34">(IF(BP46="G",AY46,IF(BP46="A",AZ46,IF(BP46="S",BA46,IF(BP46="P",BB46,IF(BP46="M",BC46,IF(BP46="X",0,IF(OR(BP46="MA",BP46="AV",BP46="ST",BP46="PA",BP46="AG"),"STAT",0))))))))</f>
        <v>0</v>
      </c>
      <c r="BY46" s="2"/>
      <c r="BZ46" s="2">
        <f t="shared" ref="BZ46:BZ61" si="35">IF(E43="Chosen","Chosen",(IF(E43="Elegida","Chosen",(IF(E43="Gewählt","Chosen",(IF(E43="Choisie","Chosen",(IF(E43="Random","Random",(IF(E43="Aleatoria","Random",(IF(E43="Zufällig","Random",(IF(E43="Aléatoire","Random",0)))))))))))))))</f>
        <v>0</v>
      </c>
      <c r="CA46" s="2">
        <f t="shared" ref="CA46:CA61" si="36">IF(K43="Chosen","Chosen",(IF(K43="Elegida","Chosen",(IF(K43="Gewählt","Chosen",(IF(K43="Choisie","Chosen",(IF(K43="Random","Random",(IF(K43="Aleatoria","Random",(IF(K43="Zufällig","Random",(IF(K43="Aléatoire","Random",0)))))))))))))))</f>
        <v>0</v>
      </c>
      <c r="CB46" s="2">
        <f t="shared" ref="CB46:CB61" si="37">IF(O43="Chosen","Chosen",(IF(O43="Elegida","Chosen",(IF(O43="Gewählt","Chosen",(IF(O43="Choisie","Chosen",(IF(O43="Random","Random",(IF(O43="Aleatoria","Random",(IF(O43="Zufällig","Random",(IF(O43="Aléatoire","Random",0)))))))))))))))</f>
        <v>0</v>
      </c>
      <c r="CC46" s="2">
        <f t="shared" ref="CC46:CC61" si="38">IF(S43="Chosen","Chosen",(IF(S43="Elegida","Chosen",(IF(S43="Gewählt","Chosen",(IF(S43="Choisie","Chosen",(IF(S43="Random","Random",(IF(S43="Aleatoria","Random",(IF(S43="Zufällig","Random",(IF(S43="Aléatoire","Random",0)))))))))))))))</f>
        <v>0</v>
      </c>
      <c r="CD46" s="2">
        <f t="shared" ref="CD46:CD61" si="39">IF(W43="Chosen","Chosen",(IF(W43="Elegida","Chosen",(IF(W43="Gewählt","Chosen",(IF(W43="Choisie","Chosen",(IF(W43="Random","Random",(IF(T43="Aleatoria","Random",(IF(W43="Zufällig","Random",(IF(W43="Aléatoire","Random",0)))))))))))))))</f>
        <v>0</v>
      </c>
      <c r="CE46" s="2">
        <f t="shared" ref="CE46:CE61" si="40">IF(AA43="Chosen","Chosen",(IF(AA43="Elegida","Chosen",(IF(AA43="Gewählt","Chosen",(IF(AA43="Choisie","Chosen",(IF(AA43="Random","Random",(IF(U43="Aleatoria","Random",(IF(AA43="Zufällig","Random",(IF(AA43="Aléatoire","Random",0)))))))))))))))</f>
        <v>0</v>
      </c>
      <c r="CF46" s="2"/>
      <c r="CG46" s="2">
        <f>IF(BS46="P",$C$38,(IF(BS46="S",$K$38,0)))</f>
        <v>0</v>
      </c>
      <c r="CH46" s="2">
        <f t="shared" ref="CH46:CL46" si="41">IF(BT46="P",$C$38,(IF(BT46="S",$K$38,0)))</f>
        <v>0</v>
      </c>
      <c r="CI46" s="2">
        <f>IF(BU46="P",$C$38,(IF(BU46="S",$K$38,0)))</f>
        <v>0</v>
      </c>
      <c r="CJ46" s="2">
        <f t="shared" si="41"/>
        <v>0</v>
      </c>
      <c r="CK46" s="2">
        <f t="shared" si="41"/>
        <v>0</v>
      </c>
      <c r="CL46" s="2">
        <f t="shared" si="41"/>
        <v>0</v>
      </c>
      <c r="CM46" s="2">
        <f>IF((SUM(CN46:CS46))&gt;80000,1,0)</f>
        <v>0</v>
      </c>
      <c r="CN46" s="2">
        <f>IF(BK46="MA",$P$38,(IF(BK46="ST",$U$38,(IF(BK46="PA",$Z$38,(IF(BK46="AG",$AE$38,(IF(BK46="AV",$AJ$38,0)))))))))</f>
        <v>0</v>
      </c>
      <c r="CO46" s="2">
        <f t="shared" ref="CO46:CS61" si="42">IF(BL46="MA",$P$38,(IF(BL46="ST",$U$38,(IF(BL46="PA",$Z$38,(IF(BL46="AG",$AE$38,(IF(BL46="AV",$AJ$38,0)))))))))</f>
        <v>0</v>
      </c>
      <c r="CP46" s="2">
        <f t="shared" si="42"/>
        <v>0</v>
      </c>
      <c r="CQ46" s="2">
        <f t="shared" si="42"/>
        <v>0</v>
      </c>
      <c r="CR46" s="2">
        <f t="shared" si="42"/>
        <v>0</v>
      </c>
      <c r="CS46" s="2">
        <f t="shared" si="42"/>
        <v>0</v>
      </c>
      <c r="CT46" s="2"/>
      <c r="CU46" s="2">
        <f t="shared" ref="CU46:CU61" si="43">IF(BS46="P",6,IF(BS46="S",12,IF(BS46="STAT",18,0)))</f>
        <v>0</v>
      </c>
      <c r="CV46" s="2">
        <f t="shared" ref="CV46:CV61" si="44">IF(BT46="P",8,IF(BT46="S",14,IF(BT46="STAT",20,0)))</f>
        <v>0</v>
      </c>
      <c r="CW46" s="2">
        <f t="shared" ref="CW46:CW61" si="45">IF(BU46="P",12,IF(BU46="S",18,IF(BU46="STAT",24,0)))</f>
        <v>0</v>
      </c>
      <c r="CX46" s="2">
        <f>IF(BV46="P",16,IF(BV46="S",22,IF(BV46="STAT",28,0)))</f>
        <v>0</v>
      </c>
      <c r="CY46" s="2">
        <f>IF(BW46="P",20,IF(BW46="S",26,IF(BW46="STAT",32,0)))</f>
        <v>0</v>
      </c>
      <c r="CZ46" s="2">
        <f>IF(BX46="P",30,IF(BX46="S",40,IF(BX46="STAT",50,0)))</f>
        <v>0</v>
      </c>
    </row>
    <row r="47" spans="1:104" ht="18" hidden="1"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f>2-(COUNTIF(J18:J19,0))</f>
        <v>0</v>
      </c>
      <c r="AS47" s="10"/>
      <c r="AT47" s="10"/>
      <c r="AU47" s="10"/>
      <c r="AV47" s="10">
        <f t="shared" si="23"/>
        <v>0</v>
      </c>
      <c r="AW47" s="10"/>
      <c r="AX47" s="2">
        <f t="shared" si="24"/>
        <v>0</v>
      </c>
      <c r="AY47" s="2">
        <f>IFERROR((VLOOKUP($BO$1&amp;C3,TeamsProtajer!D:S,12,0)),0)</f>
        <v>0</v>
      </c>
      <c r="AZ47" s="2">
        <f>IFERROR((VLOOKUP($BO$1&amp;C3,TeamsProtajer!D:S,13,0)),0)</f>
        <v>0</v>
      </c>
      <c r="BA47" s="2">
        <f>IFERROR((VLOOKUP($BO$1&amp;C3,TeamsProtajer!D:S,14,0)),0)</f>
        <v>0</v>
      </c>
      <c r="BB47" s="2">
        <f>IFERROR((VLOOKUP($BO$1&amp;C3,TeamsProtajer!D:S,15,0)),0)</f>
        <v>0</v>
      </c>
      <c r="BC47" s="2">
        <f>IFERROR((VLOOKUP($BO$1&amp;C3,TeamsProtajer!D:S,16,0)),0)</f>
        <v>0</v>
      </c>
      <c r="BD47" s="2">
        <f t="shared" ref="BD47:BD61" si="46">IF($P$38="NO",0,$P$38)</f>
        <v>20000</v>
      </c>
      <c r="BE47" s="2">
        <f t="shared" si="25"/>
        <v>10000</v>
      </c>
      <c r="BF47" s="2">
        <f t="shared" si="26"/>
        <v>40000</v>
      </c>
      <c r="BG47" s="2">
        <f t="shared" si="27"/>
        <v>20000</v>
      </c>
      <c r="BH47" s="2">
        <f t="shared" si="28"/>
        <v>80000</v>
      </c>
      <c r="BI47" s="2">
        <f t="shared" ref="BI47:BI60" si="47">SUM(CG47:CS47)</f>
        <v>0</v>
      </c>
      <c r="BK47" s="2">
        <f t="shared" ref="BK47:BK61" si="48">IF(AE3="",0,(VLOOKUP(AE3,$CC$64:$CD$164,2,0)))</f>
        <v>0</v>
      </c>
      <c r="BL47" s="2">
        <f t="shared" ref="BL47:BL61" si="49">IF(AI3="",0,(VLOOKUP(AI3,$CC$64:$CD$164,2,0)))</f>
        <v>0</v>
      </c>
      <c r="BM47" s="2"/>
      <c r="BN47" s="2"/>
      <c r="BO47" s="2"/>
      <c r="BP47" s="2"/>
      <c r="BS47" s="2">
        <f t="shared" si="29"/>
        <v>0</v>
      </c>
      <c r="BT47" s="2">
        <f t="shared" si="30"/>
        <v>0</v>
      </c>
      <c r="BU47" s="2">
        <f t="shared" si="31"/>
        <v>0</v>
      </c>
      <c r="BV47" s="2">
        <f t="shared" si="32"/>
        <v>0</v>
      </c>
      <c r="BW47" s="2">
        <f t="shared" si="33"/>
        <v>0</v>
      </c>
      <c r="BX47" s="2">
        <f t="shared" si="34"/>
        <v>0</v>
      </c>
      <c r="BY47" s="2"/>
      <c r="BZ47" s="2">
        <f t="shared" si="35"/>
        <v>0</v>
      </c>
      <c r="CA47" s="2">
        <f t="shared" si="36"/>
        <v>0</v>
      </c>
      <c r="CB47" s="2">
        <f t="shared" si="37"/>
        <v>0</v>
      </c>
      <c r="CC47" s="2">
        <f t="shared" si="38"/>
        <v>0</v>
      </c>
      <c r="CD47" s="2">
        <f t="shared" si="39"/>
        <v>0</v>
      </c>
      <c r="CE47" s="2">
        <f t="shared" si="40"/>
        <v>0</v>
      </c>
      <c r="CF47" s="2"/>
      <c r="CG47" s="2">
        <f t="shared" ref="CG47:CL61" si="50">IF(BS47="P",$C$38,(IF(BS47="S",$K$38,0)))</f>
        <v>0</v>
      </c>
      <c r="CH47" s="2">
        <f t="shared" si="50"/>
        <v>0</v>
      </c>
      <c r="CI47" s="2">
        <f t="shared" si="50"/>
        <v>0</v>
      </c>
      <c r="CJ47" s="2">
        <f t="shared" si="50"/>
        <v>0</v>
      </c>
      <c r="CK47" s="2">
        <f t="shared" si="50"/>
        <v>0</v>
      </c>
      <c r="CL47" s="2">
        <f t="shared" si="50"/>
        <v>0</v>
      </c>
      <c r="CM47" s="2">
        <f t="shared" ref="CM47:CM61" si="51">IF((SUM(CN47:CS47))&gt;80000,1,0)</f>
        <v>0</v>
      </c>
      <c r="CN47" s="2">
        <f t="shared" ref="CN47:CN61" si="52">IF(BK47="MA",$P$38,(IF(BK47="ST",$U$38,(IF(BK47="PA",$Z$38,(IF(BK47="AG",$AE$38,(IF(BK47="AV",$AJ$38,0)))))))))</f>
        <v>0</v>
      </c>
      <c r="CO47" s="2">
        <f t="shared" si="42"/>
        <v>0</v>
      </c>
      <c r="CP47" s="2">
        <f t="shared" si="42"/>
        <v>0</v>
      </c>
      <c r="CQ47" s="2">
        <f t="shared" si="42"/>
        <v>0</v>
      </c>
      <c r="CR47" s="2">
        <f t="shared" si="42"/>
        <v>0</v>
      </c>
      <c r="CS47" s="2">
        <f t="shared" si="42"/>
        <v>0</v>
      </c>
      <c r="CT47" s="2"/>
      <c r="CU47" s="2">
        <f t="shared" si="43"/>
        <v>0</v>
      </c>
      <c r="CV47" s="2">
        <f t="shared" si="44"/>
        <v>0</v>
      </c>
      <c r="CW47" s="2">
        <f t="shared" si="45"/>
        <v>0</v>
      </c>
      <c r="CX47" s="2">
        <f t="shared" ref="CX47:CX61" si="53">IF(BV47="P",16,IF(BV47="S",22,IF(BV47="STAT",28,0)))</f>
        <v>0</v>
      </c>
      <c r="CY47" s="2">
        <f t="shared" ref="CY47:CY61" si="54">IF(BW47="P",20,IF(BW47="S",26,IF(BW47="STAT",32,0)))</f>
        <v>0</v>
      </c>
      <c r="CZ47" s="2">
        <f t="shared" ref="CZ47:CZ61" si="55">IF(AND(BX47="P",CE47="Random"),15,IF(AND(BX47="P",CE47="Chosen"),30,IF(AND(BX47="S",CE47="Random"),30,IF(AND(BX47="S",CE47="Chosen"),40,IF(OR(BX47="STAT"),50,0)))))</f>
        <v>0</v>
      </c>
    </row>
    <row r="48" spans="1:104" ht="18" hidden="1"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S48" s="10"/>
      <c r="AT48" s="10"/>
      <c r="AU48" s="10"/>
      <c r="AV48" s="10">
        <f t="shared" si="23"/>
        <v>0</v>
      </c>
      <c r="AW48" s="10"/>
      <c r="AX48" s="2">
        <f t="shared" si="24"/>
        <v>0</v>
      </c>
      <c r="AY48" s="2">
        <f>IFERROR((VLOOKUP($BO$1&amp;C4,TeamsProtajer!D:S,12,0)),0)</f>
        <v>0</v>
      </c>
      <c r="AZ48" s="2">
        <f>IFERROR((VLOOKUP($BO$1&amp;C4,TeamsProtajer!D:S,13,0)),0)</f>
        <v>0</v>
      </c>
      <c r="BA48" s="2">
        <f>IFERROR((VLOOKUP($BO$1&amp;C4,TeamsProtajer!D:S,14,0)),0)</f>
        <v>0</v>
      </c>
      <c r="BB48" s="2">
        <f>IFERROR((VLOOKUP($BO$1&amp;C4,TeamsProtajer!D:S,15,0)),0)</f>
        <v>0</v>
      </c>
      <c r="BC48" s="2">
        <f>IFERROR((VLOOKUP($BO$1&amp;C4,TeamsProtajer!D:S,16,0)),0)</f>
        <v>0</v>
      </c>
      <c r="BD48" s="2">
        <f t="shared" si="46"/>
        <v>20000</v>
      </c>
      <c r="BE48" s="2">
        <f t="shared" si="25"/>
        <v>10000</v>
      </c>
      <c r="BF48" s="2">
        <f t="shared" si="26"/>
        <v>40000</v>
      </c>
      <c r="BG48" s="2">
        <f t="shared" si="27"/>
        <v>20000</v>
      </c>
      <c r="BH48" s="2">
        <f t="shared" si="28"/>
        <v>80000</v>
      </c>
      <c r="BI48" s="2">
        <f t="shared" si="47"/>
        <v>0</v>
      </c>
      <c r="BK48" s="2">
        <f t="shared" si="48"/>
        <v>0</v>
      </c>
      <c r="BL48" s="2">
        <f t="shared" si="49"/>
        <v>0</v>
      </c>
      <c r="BM48" s="2"/>
      <c r="BN48" s="2"/>
      <c r="BO48" s="2"/>
      <c r="BP48" s="2"/>
      <c r="BS48" s="2">
        <f t="shared" si="29"/>
        <v>0</v>
      </c>
      <c r="BT48" s="2">
        <f t="shared" si="30"/>
        <v>0</v>
      </c>
      <c r="BU48" s="2">
        <f t="shared" si="31"/>
        <v>0</v>
      </c>
      <c r="BV48" s="2">
        <f t="shared" si="32"/>
        <v>0</v>
      </c>
      <c r="BW48" s="2">
        <f t="shared" si="33"/>
        <v>0</v>
      </c>
      <c r="BX48" s="2">
        <f t="shared" si="34"/>
        <v>0</v>
      </c>
      <c r="BY48" s="2"/>
      <c r="BZ48" s="2">
        <f t="shared" si="35"/>
        <v>0</v>
      </c>
      <c r="CA48" s="2">
        <f t="shared" si="36"/>
        <v>0</v>
      </c>
      <c r="CB48" s="2">
        <f t="shared" si="37"/>
        <v>0</v>
      </c>
      <c r="CC48" s="2">
        <f t="shared" si="38"/>
        <v>0</v>
      </c>
      <c r="CD48" s="2">
        <f t="shared" si="39"/>
        <v>0</v>
      </c>
      <c r="CE48" s="2">
        <f t="shared" si="40"/>
        <v>0</v>
      </c>
      <c r="CF48" s="2"/>
      <c r="CG48" s="2">
        <f t="shared" si="50"/>
        <v>0</v>
      </c>
      <c r="CH48" s="2">
        <f t="shared" si="50"/>
        <v>0</v>
      </c>
      <c r="CI48" s="2">
        <f t="shared" si="50"/>
        <v>0</v>
      </c>
      <c r="CJ48" s="2">
        <f t="shared" si="50"/>
        <v>0</v>
      </c>
      <c r="CK48" s="2">
        <f t="shared" si="50"/>
        <v>0</v>
      </c>
      <c r="CL48" s="2">
        <f t="shared" si="50"/>
        <v>0</v>
      </c>
      <c r="CM48" s="2">
        <f t="shared" si="51"/>
        <v>0</v>
      </c>
      <c r="CN48" s="2">
        <f t="shared" si="52"/>
        <v>0</v>
      </c>
      <c r="CO48" s="2">
        <f t="shared" si="42"/>
        <v>0</v>
      </c>
      <c r="CP48" s="2">
        <f t="shared" si="42"/>
        <v>0</v>
      </c>
      <c r="CQ48" s="2">
        <f t="shared" si="42"/>
        <v>0</v>
      </c>
      <c r="CR48" s="2">
        <f t="shared" si="42"/>
        <v>0</v>
      </c>
      <c r="CS48" s="2">
        <f t="shared" si="42"/>
        <v>0</v>
      </c>
      <c r="CT48" s="2"/>
      <c r="CU48" s="2">
        <f t="shared" si="43"/>
        <v>0</v>
      </c>
      <c r="CV48" s="2">
        <f t="shared" si="44"/>
        <v>0</v>
      </c>
      <c r="CW48" s="2">
        <f t="shared" si="45"/>
        <v>0</v>
      </c>
      <c r="CX48" s="2">
        <f t="shared" si="53"/>
        <v>0</v>
      </c>
      <c r="CY48" s="2">
        <f t="shared" si="54"/>
        <v>0</v>
      </c>
      <c r="CZ48" s="2">
        <f t="shared" si="55"/>
        <v>0</v>
      </c>
    </row>
    <row r="49" spans="2:104" ht="18" hidden="1" customHeight="1" x14ac:dyDescent="0.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S49" s="10"/>
      <c r="AT49" s="10"/>
      <c r="AU49" s="10"/>
      <c r="AV49" s="10">
        <f t="shared" si="23"/>
        <v>0</v>
      </c>
      <c r="AW49" s="10"/>
      <c r="AX49" s="2">
        <f t="shared" si="24"/>
        <v>0</v>
      </c>
      <c r="AY49" s="2">
        <f>IFERROR((VLOOKUP($BO$1&amp;C5,TeamsProtajer!D:S,12,0)),0)</f>
        <v>0</v>
      </c>
      <c r="AZ49" s="2">
        <f>IFERROR((VLOOKUP($BO$1&amp;C5,TeamsProtajer!D:S,13,0)),0)</f>
        <v>0</v>
      </c>
      <c r="BA49" s="2">
        <f>IFERROR((VLOOKUP($BO$1&amp;C5,TeamsProtajer!D:S,14,0)),0)</f>
        <v>0</v>
      </c>
      <c r="BB49" s="2">
        <f>IFERROR((VLOOKUP($BO$1&amp;C5,TeamsProtajer!D:S,15,0)),0)</f>
        <v>0</v>
      </c>
      <c r="BC49" s="2">
        <f>IFERROR((VLOOKUP($BO$1&amp;C5,TeamsProtajer!D:S,16,0)),0)</f>
        <v>0</v>
      </c>
      <c r="BD49" s="2">
        <f t="shared" si="46"/>
        <v>20000</v>
      </c>
      <c r="BE49" s="2">
        <f t="shared" si="25"/>
        <v>10000</v>
      </c>
      <c r="BF49" s="2">
        <f t="shared" si="26"/>
        <v>40000</v>
      </c>
      <c r="BG49" s="2">
        <f t="shared" si="27"/>
        <v>20000</v>
      </c>
      <c r="BH49" s="2">
        <f t="shared" si="28"/>
        <v>80000</v>
      </c>
      <c r="BI49" s="2">
        <f t="shared" si="47"/>
        <v>0</v>
      </c>
      <c r="BK49" s="2">
        <f t="shared" si="48"/>
        <v>0</v>
      </c>
      <c r="BL49" s="2">
        <f t="shared" si="49"/>
        <v>0</v>
      </c>
      <c r="BM49" s="2"/>
      <c r="BN49" s="2"/>
      <c r="BO49" s="2"/>
      <c r="BP49" s="2"/>
      <c r="BS49" s="2">
        <f t="shared" si="29"/>
        <v>0</v>
      </c>
      <c r="BT49" s="2">
        <f t="shared" si="30"/>
        <v>0</v>
      </c>
      <c r="BU49" s="2">
        <f t="shared" si="31"/>
        <v>0</v>
      </c>
      <c r="BV49" s="2">
        <f t="shared" si="32"/>
        <v>0</v>
      </c>
      <c r="BW49" s="2">
        <f t="shared" si="33"/>
        <v>0</v>
      </c>
      <c r="BX49" s="2">
        <f t="shared" si="34"/>
        <v>0</v>
      </c>
      <c r="BY49" s="2"/>
      <c r="BZ49" s="2">
        <f t="shared" si="35"/>
        <v>0</v>
      </c>
      <c r="CA49" s="2">
        <f t="shared" si="36"/>
        <v>0</v>
      </c>
      <c r="CB49" s="2">
        <f t="shared" si="37"/>
        <v>0</v>
      </c>
      <c r="CC49" s="2">
        <f t="shared" si="38"/>
        <v>0</v>
      </c>
      <c r="CD49" s="2">
        <f t="shared" si="39"/>
        <v>0</v>
      </c>
      <c r="CE49" s="2">
        <f t="shared" si="40"/>
        <v>0</v>
      </c>
      <c r="CF49" s="2"/>
      <c r="CG49" s="2">
        <f t="shared" si="50"/>
        <v>0</v>
      </c>
      <c r="CH49" s="2">
        <f t="shared" si="50"/>
        <v>0</v>
      </c>
      <c r="CI49" s="2">
        <f t="shared" si="50"/>
        <v>0</v>
      </c>
      <c r="CJ49" s="2">
        <f t="shared" si="50"/>
        <v>0</v>
      </c>
      <c r="CK49" s="2">
        <f t="shared" si="50"/>
        <v>0</v>
      </c>
      <c r="CL49" s="2">
        <f t="shared" si="50"/>
        <v>0</v>
      </c>
      <c r="CM49" s="2">
        <f t="shared" si="51"/>
        <v>0</v>
      </c>
      <c r="CN49" s="2">
        <f t="shared" si="52"/>
        <v>0</v>
      </c>
      <c r="CO49" s="2">
        <f t="shared" si="42"/>
        <v>0</v>
      </c>
      <c r="CP49" s="2">
        <f t="shared" si="42"/>
        <v>0</v>
      </c>
      <c r="CQ49" s="2">
        <f t="shared" si="42"/>
        <v>0</v>
      </c>
      <c r="CR49" s="2">
        <f t="shared" si="42"/>
        <v>0</v>
      </c>
      <c r="CS49" s="2">
        <f t="shared" si="42"/>
        <v>0</v>
      </c>
      <c r="CT49" s="2"/>
      <c r="CU49" s="2">
        <f t="shared" si="43"/>
        <v>0</v>
      </c>
      <c r="CV49" s="2">
        <f t="shared" si="44"/>
        <v>0</v>
      </c>
      <c r="CW49" s="2">
        <f t="shared" si="45"/>
        <v>0</v>
      </c>
      <c r="CX49" s="2">
        <f t="shared" si="53"/>
        <v>0</v>
      </c>
      <c r="CY49" s="2">
        <f t="shared" si="54"/>
        <v>0</v>
      </c>
      <c r="CZ49" s="2">
        <f t="shared" si="55"/>
        <v>0</v>
      </c>
    </row>
    <row r="50" spans="2:104" ht="18" hidden="1" customHeight="1" x14ac:dyDescent="0.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S50" s="10"/>
      <c r="AT50" s="10"/>
      <c r="AU50" s="10"/>
      <c r="AV50" s="10">
        <f t="shared" si="23"/>
        <v>0</v>
      </c>
      <c r="AW50" s="10"/>
      <c r="AX50" s="2">
        <f t="shared" si="24"/>
        <v>0</v>
      </c>
      <c r="AY50" s="2">
        <f>IFERROR((VLOOKUP($BO$1&amp;C6,TeamsProtajer!D:S,12,0)),0)</f>
        <v>0</v>
      </c>
      <c r="AZ50" s="2">
        <f>IFERROR((VLOOKUP($BO$1&amp;C6,TeamsProtajer!D:S,13,0)),0)</f>
        <v>0</v>
      </c>
      <c r="BA50" s="2">
        <f>IFERROR((VLOOKUP($BO$1&amp;C6,TeamsProtajer!D:S,14,0)),0)</f>
        <v>0</v>
      </c>
      <c r="BB50" s="2">
        <f>IFERROR((VLOOKUP($BO$1&amp;C6,TeamsProtajer!D:S,15,0)),0)</f>
        <v>0</v>
      </c>
      <c r="BC50" s="2">
        <f>IFERROR((VLOOKUP($BO$1&amp;C6,TeamsProtajer!D:S,16,0)),0)</f>
        <v>0</v>
      </c>
      <c r="BD50" s="2">
        <f t="shared" si="46"/>
        <v>20000</v>
      </c>
      <c r="BE50" s="2">
        <f t="shared" si="25"/>
        <v>10000</v>
      </c>
      <c r="BF50" s="2">
        <f t="shared" si="26"/>
        <v>40000</v>
      </c>
      <c r="BG50" s="2">
        <f t="shared" si="27"/>
        <v>20000</v>
      </c>
      <c r="BH50" s="2">
        <f t="shared" si="28"/>
        <v>80000</v>
      </c>
      <c r="BI50" s="2">
        <f t="shared" si="47"/>
        <v>0</v>
      </c>
      <c r="BK50" s="2">
        <f t="shared" si="48"/>
        <v>0</v>
      </c>
      <c r="BL50" s="2">
        <f t="shared" si="49"/>
        <v>0</v>
      </c>
      <c r="BM50" s="2"/>
      <c r="BN50" s="2"/>
      <c r="BO50" s="2"/>
      <c r="BP50" s="2"/>
      <c r="BS50" s="2">
        <f t="shared" si="29"/>
        <v>0</v>
      </c>
      <c r="BT50" s="2">
        <f t="shared" si="30"/>
        <v>0</v>
      </c>
      <c r="BU50" s="2">
        <f t="shared" si="31"/>
        <v>0</v>
      </c>
      <c r="BV50" s="2">
        <f t="shared" si="32"/>
        <v>0</v>
      </c>
      <c r="BW50" s="2">
        <f t="shared" si="33"/>
        <v>0</v>
      </c>
      <c r="BX50" s="2">
        <f t="shared" si="34"/>
        <v>0</v>
      </c>
      <c r="BY50" s="2"/>
      <c r="BZ50" s="2">
        <f t="shared" si="35"/>
        <v>0</v>
      </c>
      <c r="CA50" s="2">
        <f t="shared" si="36"/>
        <v>0</v>
      </c>
      <c r="CB50" s="2">
        <f t="shared" si="37"/>
        <v>0</v>
      </c>
      <c r="CC50" s="2">
        <f t="shared" si="38"/>
        <v>0</v>
      </c>
      <c r="CD50" s="2">
        <f t="shared" si="39"/>
        <v>0</v>
      </c>
      <c r="CE50" s="2">
        <f t="shared" si="40"/>
        <v>0</v>
      </c>
      <c r="CF50" s="2"/>
      <c r="CG50" s="2">
        <f t="shared" si="50"/>
        <v>0</v>
      </c>
      <c r="CH50" s="2">
        <f t="shared" si="50"/>
        <v>0</v>
      </c>
      <c r="CI50" s="2">
        <f t="shared" si="50"/>
        <v>0</v>
      </c>
      <c r="CJ50" s="2">
        <f t="shared" si="50"/>
        <v>0</v>
      </c>
      <c r="CK50" s="2">
        <f t="shared" si="50"/>
        <v>0</v>
      </c>
      <c r="CL50" s="2">
        <f t="shared" si="50"/>
        <v>0</v>
      </c>
      <c r="CM50" s="2">
        <f t="shared" si="51"/>
        <v>0</v>
      </c>
      <c r="CN50" s="2">
        <f t="shared" si="52"/>
        <v>0</v>
      </c>
      <c r="CO50" s="2">
        <f t="shared" si="42"/>
        <v>0</v>
      </c>
      <c r="CP50" s="2">
        <f t="shared" si="42"/>
        <v>0</v>
      </c>
      <c r="CQ50" s="2">
        <f t="shared" si="42"/>
        <v>0</v>
      </c>
      <c r="CR50" s="2">
        <f t="shared" si="42"/>
        <v>0</v>
      </c>
      <c r="CS50" s="2">
        <f t="shared" si="42"/>
        <v>0</v>
      </c>
      <c r="CT50" s="2"/>
      <c r="CU50" s="2">
        <f t="shared" si="43"/>
        <v>0</v>
      </c>
      <c r="CV50" s="2">
        <f t="shared" si="44"/>
        <v>0</v>
      </c>
      <c r="CW50" s="2">
        <f t="shared" si="45"/>
        <v>0</v>
      </c>
      <c r="CX50" s="2">
        <f t="shared" si="53"/>
        <v>0</v>
      </c>
      <c r="CY50" s="2">
        <f t="shared" si="54"/>
        <v>0</v>
      </c>
      <c r="CZ50" s="2">
        <f t="shared" si="55"/>
        <v>0</v>
      </c>
    </row>
    <row r="51" spans="2:104" ht="18" hidden="1" customHeight="1" x14ac:dyDescent="0.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S51" s="10"/>
      <c r="AT51" s="10"/>
      <c r="AU51" s="10"/>
      <c r="AV51" s="10">
        <f t="shared" si="23"/>
        <v>0</v>
      </c>
      <c r="AW51" s="10"/>
      <c r="AX51" s="2">
        <f t="shared" si="24"/>
        <v>0</v>
      </c>
      <c r="AY51" s="2">
        <f>IFERROR((VLOOKUP($BO$1&amp;C7,TeamsProtajer!D:S,12,0)),0)</f>
        <v>0</v>
      </c>
      <c r="AZ51" s="2">
        <f>IFERROR((VLOOKUP($BO$1&amp;C7,TeamsProtajer!D:S,13,0)),0)</f>
        <v>0</v>
      </c>
      <c r="BA51" s="2">
        <f>IFERROR((VLOOKUP($BO$1&amp;C7,TeamsProtajer!D:S,14,0)),0)</f>
        <v>0</v>
      </c>
      <c r="BB51" s="2">
        <f>IFERROR((VLOOKUP($BO$1&amp;C7,TeamsProtajer!D:S,15,0)),0)</f>
        <v>0</v>
      </c>
      <c r="BC51" s="2">
        <f>IFERROR((VLOOKUP($BO$1&amp;C7,TeamsProtajer!D:S,16,0)),0)</f>
        <v>0</v>
      </c>
      <c r="BD51" s="2">
        <f t="shared" si="46"/>
        <v>20000</v>
      </c>
      <c r="BE51" s="2">
        <f t="shared" si="25"/>
        <v>10000</v>
      </c>
      <c r="BF51" s="2">
        <f t="shared" si="26"/>
        <v>40000</v>
      </c>
      <c r="BG51" s="2">
        <f t="shared" si="27"/>
        <v>20000</v>
      </c>
      <c r="BH51" s="2">
        <f t="shared" si="28"/>
        <v>80000</v>
      </c>
      <c r="BI51" s="2">
        <f>SUM(CG51:CS51)</f>
        <v>0</v>
      </c>
      <c r="BJ51" s="2"/>
      <c r="BK51" s="2">
        <f t="shared" si="48"/>
        <v>0</v>
      </c>
      <c r="BL51" s="2">
        <f t="shared" si="49"/>
        <v>0</v>
      </c>
      <c r="BM51" s="2"/>
      <c r="BN51" s="2"/>
      <c r="BO51" s="2"/>
      <c r="BP51" s="2"/>
      <c r="BS51" s="2">
        <f t="shared" si="29"/>
        <v>0</v>
      </c>
      <c r="BT51" s="2">
        <f>(IF(BL51="G",AY51,IF(BL51="A",AZ51,IF(BL51="S",BA51,IF(BL51="P",BB51,IF(BL51="M",BC51,IF(BL51="X",0,IF(OR(BL51="MA",BL51="AV",BL51="ST",BL51="PA",BL51="AG"),"STAT",0))))))))</f>
        <v>0</v>
      </c>
      <c r="BU51" s="2">
        <f t="shared" si="31"/>
        <v>0</v>
      </c>
      <c r="BV51" s="2">
        <f t="shared" si="32"/>
        <v>0</v>
      </c>
      <c r="BW51" s="2">
        <f t="shared" si="33"/>
        <v>0</v>
      </c>
      <c r="BX51" s="2">
        <f t="shared" si="34"/>
        <v>0</v>
      </c>
      <c r="BY51" s="2"/>
      <c r="BZ51" s="2">
        <f t="shared" si="35"/>
        <v>0</v>
      </c>
      <c r="CA51" s="2">
        <f t="shared" si="36"/>
        <v>0</v>
      </c>
      <c r="CB51" s="2">
        <f t="shared" si="37"/>
        <v>0</v>
      </c>
      <c r="CC51" s="2">
        <f t="shared" si="38"/>
        <v>0</v>
      </c>
      <c r="CD51" s="2">
        <f t="shared" si="39"/>
        <v>0</v>
      </c>
      <c r="CE51" s="2">
        <f t="shared" si="40"/>
        <v>0</v>
      </c>
      <c r="CF51" s="2"/>
      <c r="CG51" s="2">
        <f t="shared" si="50"/>
        <v>0</v>
      </c>
      <c r="CH51" s="2">
        <f t="shared" si="50"/>
        <v>0</v>
      </c>
      <c r="CI51" s="2">
        <f t="shared" si="50"/>
        <v>0</v>
      </c>
      <c r="CJ51" s="2">
        <f t="shared" si="50"/>
        <v>0</v>
      </c>
      <c r="CK51" s="2">
        <f t="shared" si="50"/>
        <v>0</v>
      </c>
      <c r="CL51" s="2">
        <f t="shared" si="50"/>
        <v>0</v>
      </c>
      <c r="CM51" s="2">
        <f t="shared" si="51"/>
        <v>0</v>
      </c>
      <c r="CN51" s="2">
        <f t="shared" si="52"/>
        <v>0</v>
      </c>
      <c r="CO51" s="2">
        <f t="shared" si="42"/>
        <v>0</v>
      </c>
      <c r="CP51" s="2">
        <f t="shared" si="42"/>
        <v>0</v>
      </c>
      <c r="CQ51" s="2">
        <f t="shared" si="42"/>
        <v>0</v>
      </c>
      <c r="CR51" s="2">
        <f t="shared" si="42"/>
        <v>0</v>
      </c>
      <c r="CS51" s="2">
        <f t="shared" si="42"/>
        <v>0</v>
      </c>
      <c r="CT51" s="2"/>
      <c r="CU51" s="2">
        <f>IF(BS51="P",6,IF(BS51="S",12,IF(BS51="STAT",18,0)))</f>
        <v>0</v>
      </c>
      <c r="CV51" s="2">
        <f>IF(BT51="P",8,IF(BT51="S",14,IF(BT51="STAT",20,0)))</f>
        <v>0</v>
      </c>
      <c r="CW51" s="2">
        <f t="shared" si="45"/>
        <v>0</v>
      </c>
      <c r="CX51" s="2">
        <f t="shared" si="53"/>
        <v>0</v>
      </c>
      <c r="CY51" s="2">
        <f t="shared" si="54"/>
        <v>0</v>
      </c>
      <c r="CZ51" s="2">
        <f t="shared" si="55"/>
        <v>0</v>
      </c>
    </row>
    <row r="52" spans="2:104" ht="18" hidden="1" customHeight="1" x14ac:dyDescent="0.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S52" s="10"/>
      <c r="AT52" s="10"/>
      <c r="AU52" s="10"/>
      <c r="AV52" s="10">
        <f t="shared" si="23"/>
        <v>0</v>
      </c>
      <c r="AW52" s="10"/>
      <c r="AX52" s="2">
        <f t="shared" si="24"/>
        <v>0</v>
      </c>
      <c r="AY52" s="2">
        <f>IFERROR((VLOOKUP($BO$1&amp;C8,TeamsProtajer!D:S,12,0)),0)</f>
        <v>0</v>
      </c>
      <c r="AZ52" s="2">
        <f>IFERROR((VLOOKUP($BO$1&amp;C8,TeamsProtajer!D:S,13,0)),0)</f>
        <v>0</v>
      </c>
      <c r="BA52" s="2">
        <f>IFERROR((VLOOKUP($BO$1&amp;C8,TeamsProtajer!D:S,14,0)),0)</f>
        <v>0</v>
      </c>
      <c r="BB52" s="2">
        <f>IFERROR((VLOOKUP($BO$1&amp;C8,TeamsProtajer!D:S,15,0)),0)</f>
        <v>0</v>
      </c>
      <c r="BC52" s="2">
        <f>IFERROR((VLOOKUP($BO$1&amp;C8,TeamsProtajer!D:S,16,0)),0)</f>
        <v>0</v>
      </c>
      <c r="BD52" s="2">
        <f t="shared" si="46"/>
        <v>20000</v>
      </c>
      <c r="BE52" s="2">
        <f t="shared" si="25"/>
        <v>10000</v>
      </c>
      <c r="BF52" s="2">
        <f t="shared" si="26"/>
        <v>40000</v>
      </c>
      <c r="BG52" s="2">
        <f t="shared" si="27"/>
        <v>20000</v>
      </c>
      <c r="BH52" s="2">
        <f t="shared" si="28"/>
        <v>80000</v>
      </c>
      <c r="BI52" s="2">
        <f t="shared" si="47"/>
        <v>0</v>
      </c>
      <c r="BJ52" s="2"/>
      <c r="BK52" s="2">
        <f t="shared" si="48"/>
        <v>0</v>
      </c>
      <c r="BL52" s="2">
        <f t="shared" si="49"/>
        <v>0</v>
      </c>
      <c r="BM52" s="2"/>
      <c r="BN52" s="2"/>
      <c r="BO52" s="2"/>
      <c r="BP52" s="2"/>
      <c r="BS52" s="2">
        <f t="shared" si="29"/>
        <v>0</v>
      </c>
      <c r="BT52" s="2">
        <f t="shared" si="30"/>
        <v>0</v>
      </c>
      <c r="BU52" s="2">
        <f t="shared" si="31"/>
        <v>0</v>
      </c>
      <c r="BV52" s="2">
        <f t="shared" si="32"/>
        <v>0</v>
      </c>
      <c r="BW52" s="2">
        <f t="shared" si="33"/>
        <v>0</v>
      </c>
      <c r="BX52" s="2">
        <f t="shared" si="34"/>
        <v>0</v>
      </c>
      <c r="BY52" s="2"/>
      <c r="BZ52" s="2">
        <f t="shared" si="35"/>
        <v>0</v>
      </c>
      <c r="CA52" s="2">
        <f t="shared" si="36"/>
        <v>0</v>
      </c>
      <c r="CB52" s="2">
        <f t="shared" si="37"/>
        <v>0</v>
      </c>
      <c r="CC52" s="2">
        <f t="shared" si="38"/>
        <v>0</v>
      </c>
      <c r="CD52" s="2">
        <f t="shared" si="39"/>
        <v>0</v>
      </c>
      <c r="CE52" s="2">
        <f t="shared" si="40"/>
        <v>0</v>
      </c>
      <c r="CF52" s="2"/>
      <c r="CG52" s="2">
        <f t="shared" si="50"/>
        <v>0</v>
      </c>
      <c r="CH52" s="2">
        <f t="shared" si="50"/>
        <v>0</v>
      </c>
      <c r="CI52" s="2">
        <f t="shared" si="50"/>
        <v>0</v>
      </c>
      <c r="CJ52" s="2">
        <f t="shared" si="50"/>
        <v>0</v>
      </c>
      <c r="CK52" s="2">
        <f t="shared" si="50"/>
        <v>0</v>
      </c>
      <c r="CL52" s="2">
        <f t="shared" si="50"/>
        <v>0</v>
      </c>
      <c r="CM52" s="2">
        <f t="shared" si="51"/>
        <v>0</v>
      </c>
      <c r="CN52" s="2">
        <f t="shared" si="52"/>
        <v>0</v>
      </c>
      <c r="CO52" s="2">
        <f t="shared" si="42"/>
        <v>0</v>
      </c>
      <c r="CP52" s="2">
        <f t="shared" si="42"/>
        <v>0</v>
      </c>
      <c r="CQ52" s="2">
        <f t="shared" si="42"/>
        <v>0</v>
      </c>
      <c r="CR52" s="2">
        <f t="shared" si="42"/>
        <v>0</v>
      </c>
      <c r="CS52" s="2">
        <f t="shared" si="42"/>
        <v>0</v>
      </c>
      <c r="CT52" s="2"/>
      <c r="CU52" s="2">
        <f t="shared" si="43"/>
        <v>0</v>
      </c>
      <c r="CV52" s="2">
        <f t="shared" si="44"/>
        <v>0</v>
      </c>
      <c r="CW52" s="2">
        <f t="shared" si="45"/>
        <v>0</v>
      </c>
      <c r="CX52" s="2">
        <f t="shared" si="53"/>
        <v>0</v>
      </c>
      <c r="CY52" s="2">
        <f t="shared" si="54"/>
        <v>0</v>
      </c>
      <c r="CZ52" s="2">
        <f t="shared" si="55"/>
        <v>0</v>
      </c>
    </row>
    <row r="53" spans="2:104" ht="18" hidden="1" customHeight="1" x14ac:dyDescent="0.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10"/>
      <c r="AS53" s="10"/>
      <c r="AT53" s="10"/>
      <c r="AU53" s="10"/>
      <c r="AV53" s="10">
        <f t="shared" si="23"/>
        <v>0</v>
      </c>
      <c r="AW53" s="10"/>
      <c r="AX53" s="2">
        <f t="shared" si="24"/>
        <v>0</v>
      </c>
      <c r="AY53" s="2">
        <f>IFERROR((VLOOKUP($BO$1&amp;C9,TeamsProtajer!D:S,12,0)),0)</f>
        <v>0</v>
      </c>
      <c r="AZ53" s="2">
        <f>IFERROR((VLOOKUP($BO$1&amp;C9,TeamsProtajer!D:S,13,0)),0)</f>
        <v>0</v>
      </c>
      <c r="BA53" s="2">
        <f>IFERROR((VLOOKUP($BO$1&amp;C9,TeamsProtajer!D:S,14,0)),0)</f>
        <v>0</v>
      </c>
      <c r="BB53" s="2">
        <f>IFERROR((VLOOKUP($BO$1&amp;C9,TeamsProtajer!D:S,15,0)),0)</f>
        <v>0</v>
      </c>
      <c r="BC53" s="2">
        <f>IFERROR((VLOOKUP($BO$1&amp;C9,TeamsProtajer!D:S,16,0)),0)</f>
        <v>0</v>
      </c>
      <c r="BD53" s="2">
        <f t="shared" si="46"/>
        <v>20000</v>
      </c>
      <c r="BE53" s="2">
        <f t="shared" si="25"/>
        <v>10000</v>
      </c>
      <c r="BF53" s="2">
        <f t="shared" si="26"/>
        <v>40000</v>
      </c>
      <c r="BG53" s="2">
        <f t="shared" si="27"/>
        <v>20000</v>
      </c>
      <c r="BH53" s="2">
        <f t="shared" si="28"/>
        <v>80000</v>
      </c>
      <c r="BI53" s="2">
        <f t="shared" si="47"/>
        <v>0</v>
      </c>
      <c r="BJ53" s="2"/>
      <c r="BK53" s="2">
        <f t="shared" si="48"/>
        <v>0</v>
      </c>
      <c r="BL53" s="2">
        <f t="shared" si="49"/>
        <v>0</v>
      </c>
      <c r="BM53" s="2"/>
      <c r="BN53" s="2"/>
      <c r="BO53" s="2"/>
      <c r="BP53" s="2"/>
      <c r="BS53" s="2">
        <f t="shared" si="29"/>
        <v>0</v>
      </c>
      <c r="BT53" s="2">
        <f t="shared" si="30"/>
        <v>0</v>
      </c>
      <c r="BU53" s="2">
        <f t="shared" si="31"/>
        <v>0</v>
      </c>
      <c r="BV53" s="2">
        <f t="shared" si="32"/>
        <v>0</v>
      </c>
      <c r="BW53" s="2">
        <f t="shared" si="33"/>
        <v>0</v>
      </c>
      <c r="BX53" s="2">
        <f t="shared" si="34"/>
        <v>0</v>
      </c>
      <c r="BY53" s="2"/>
      <c r="BZ53" s="2">
        <f t="shared" si="35"/>
        <v>0</v>
      </c>
      <c r="CA53" s="2">
        <f t="shared" si="36"/>
        <v>0</v>
      </c>
      <c r="CB53" s="2">
        <f t="shared" si="37"/>
        <v>0</v>
      </c>
      <c r="CC53" s="2">
        <f t="shared" si="38"/>
        <v>0</v>
      </c>
      <c r="CD53" s="2">
        <f t="shared" si="39"/>
        <v>0</v>
      </c>
      <c r="CE53" s="2">
        <f t="shared" si="40"/>
        <v>0</v>
      </c>
      <c r="CF53" s="2"/>
      <c r="CG53" s="2">
        <f t="shared" si="50"/>
        <v>0</v>
      </c>
      <c r="CH53" s="2">
        <f t="shared" si="50"/>
        <v>0</v>
      </c>
      <c r="CI53" s="2">
        <f t="shared" si="50"/>
        <v>0</v>
      </c>
      <c r="CJ53" s="2">
        <f t="shared" si="50"/>
        <v>0</v>
      </c>
      <c r="CK53" s="2">
        <f t="shared" si="50"/>
        <v>0</v>
      </c>
      <c r="CL53" s="2">
        <f t="shared" si="50"/>
        <v>0</v>
      </c>
      <c r="CM53" s="2">
        <f t="shared" si="51"/>
        <v>0</v>
      </c>
      <c r="CN53" s="2">
        <f t="shared" si="52"/>
        <v>0</v>
      </c>
      <c r="CO53" s="2">
        <f t="shared" si="42"/>
        <v>0</v>
      </c>
      <c r="CP53" s="2">
        <f t="shared" si="42"/>
        <v>0</v>
      </c>
      <c r="CQ53" s="2">
        <f t="shared" si="42"/>
        <v>0</v>
      </c>
      <c r="CR53" s="2">
        <f t="shared" si="42"/>
        <v>0</v>
      </c>
      <c r="CS53" s="2">
        <f t="shared" si="42"/>
        <v>0</v>
      </c>
      <c r="CT53" s="2"/>
      <c r="CU53" s="2">
        <f t="shared" si="43"/>
        <v>0</v>
      </c>
      <c r="CV53" s="2">
        <f t="shared" si="44"/>
        <v>0</v>
      </c>
      <c r="CW53" s="2">
        <f t="shared" si="45"/>
        <v>0</v>
      </c>
      <c r="CX53" s="2">
        <f t="shared" si="53"/>
        <v>0</v>
      </c>
      <c r="CY53" s="2">
        <f t="shared" si="54"/>
        <v>0</v>
      </c>
      <c r="CZ53" s="2">
        <f t="shared" si="55"/>
        <v>0</v>
      </c>
    </row>
    <row r="54" spans="2:104" ht="18" hidden="1" customHeight="1" x14ac:dyDescent="0.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0"/>
      <c r="AS54" s="10"/>
      <c r="AT54" s="10"/>
      <c r="AU54" s="10"/>
      <c r="AV54" s="10">
        <f t="shared" si="23"/>
        <v>0</v>
      </c>
      <c r="AW54" s="10"/>
      <c r="AX54" s="2">
        <f t="shared" si="24"/>
        <v>0</v>
      </c>
      <c r="AY54" s="2">
        <f>IFERROR((VLOOKUP($BO$1&amp;C10,TeamsProtajer!D:S,12,0)),0)</f>
        <v>0</v>
      </c>
      <c r="AZ54" s="2">
        <f>IFERROR((VLOOKUP($BO$1&amp;C10,TeamsProtajer!D:S,13,0)),0)</f>
        <v>0</v>
      </c>
      <c r="BA54" s="2">
        <f>IFERROR((VLOOKUP($BO$1&amp;C10,TeamsProtajer!D:S,14,0)),0)</f>
        <v>0</v>
      </c>
      <c r="BB54" s="2">
        <f>IFERROR((VLOOKUP($BO$1&amp;C10,TeamsProtajer!D:S,15,0)),0)</f>
        <v>0</v>
      </c>
      <c r="BC54" s="2">
        <f>IFERROR((VLOOKUP($BO$1&amp;C10,TeamsProtajer!D:S,16,0)),0)</f>
        <v>0</v>
      </c>
      <c r="BD54" s="2">
        <f t="shared" si="46"/>
        <v>20000</v>
      </c>
      <c r="BE54" s="2">
        <f t="shared" si="25"/>
        <v>10000</v>
      </c>
      <c r="BF54" s="2">
        <f t="shared" si="26"/>
        <v>40000</v>
      </c>
      <c r="BG54" s="2">
        <f t="shared" si="27"/>
        <v>20000</v>
      </c>
      <c r="BH54" s="2">
        <f t="shared" si="28"/>
        <v>80000</v>
      </c>
      <c r="BI54" s="2">
        <f t="shared" si="47"/>
        <v>0</v>
      </c>
      <c r="BJ54" s="2"/>
      <c r="BK54" s="2">
        <f t="shared" si="48"/>
        <v>0</v>
      </c>
      <c r="BL54" s="2">
        <f t="shared" si="49"/>
        <v>0</v>
      </c>
      <c r="BM54" s="2"/>
      <c r="BN54" s="2"/>
      <c r="BO54" s="2"/>
      <c r="BP54" s="2"/>
      <c r="BS54" s="2">
        <f t="shared" si="29"/>
        <v>0</v>
      </c>
      <c r="BT54" s="2">
        <f t="shared" si="30"/>
        <v>0</v>
      </c>
      <c r="BU54" s="2">
        <f t="shared" si="31"/>
        <v>0</v>
      </c>
      <c r="BV54" s="2">
        <f t="shared" si="32"/>
        <v>0</v>
      </c>
      <c r="BW54" s="2">
        <f t="shared" si="33"/>
        <v>0</v>
      </c>
      <c r="BX54" s="2">
        <f t="shared" si="34"/>
        <v>0</v>
      </c>
      <c r="BY54" s="2"/>
      <c r="BZ54" s="2">
        <f t="shared" si="35"/>
        <v>0</v>
      </c>
      <c r="CA54" s="2">
        <f t="shared" si="36"/>
        <v>0</v>
      </c>
      <c r="CB54" s="2">
        <f t="shared" si="37"/>
        <v>0</v>
      </c>
      <c r="CC54" s="2">
        <f t="shared" si="38"/>
        <v>0</v>
      </c>
      <c r="CD54" s="2">
        <f t="shared" si="39"/>
        <v>0</v>
      </c>
      <c r="CE54" s="2">
        <f t="shared" si="40"/>
        <v>0</v>
      </c>
      <c r="CF54" s="2"/>
      <c r="CG54" s="2">
        <f t="shared" si="50"/>
        <v>0</v>
      </c>
      <c r="CH54" s="2">
        <f t="shared" si="50"/>
        <v>0</v>
      </c>
      <c r="CI54" s="2">
        <f t="shared" si="50"/>
        <v>0</v>
      </c>
      <c r="CJ54" s="2">
        <f t="shared" si="50"/>
        <v>0</v>
      </c>
      <c r="CK54" s="2">
        <f t="shared" si="50"/>
        <v>0</v>
      </c>
      <c r="CL54" s="2">
        <f t="shared" si="50"/>
        <v>0</v>
      </c>
      <c r="CM54" s="2">
        <f t="shared" si="51"/>
        <v>0</v>
      </c>
      <c r="CN54" s="2">
        <f t="shared" si="52"/>
        <v>0</v>
      </c>
      <c r="CO54" s="2">
        <f t="shared" si="42"/>
        <v>0</v>
      </c>
      <c r="CP54" s="2">
        <f t="shared" si="42"/>
        <v>0</v>
      </c>
      <c r="CQ54" s="2">
        <f t="shared" si="42"/>
        <v>0</v>
      </c>
      <c r="CR54" s="2">
        <f t="shared" si="42"/>
        <v>0</v>
      </c>
      <c r="CS54" s="2">
        <f t="shared" si="42"/>
        <v>0</v>
      </c>
      <c r="CT54" s="2"/>
      <c r="CU54" s="2">
        <f t="shared" si="43"/>
        <v>0</v>
      </c>
      <c r="CV54" s="2">
        <f t="shared" si="44"/>
        <v>0</v>
      </c>
      <c r="CW54" s="2">
        <f t="shared" si="45"/>
        <v>0</v>
      </c>
      <c r="CX54" s="2">
        <f t="shared" si="53"/>
        <v>0</v>
      </c>
      <c r="CY54" s="2">
        <f t="shared" si="54"/>
        <v>0</v>
      </c>
      <c r="CZ54" s="2">
        <f t="shared" si="55"/>
        <v>0</v>
      </c>
    </row>
    <row r="55" spans="2:104" ht="18" hidden="1" customHeight="1" x14ac:dyDescent="0.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10"/>
      <c r="AS55" s="10"/>
      <c r="AT55" s="10"/>
      <c r="AU55" s="10"/>
      <c r="AV55" s="10">
        <f t="shared" si="23"/>
        <v>0</v>
      </c>
      <c r="AW55" s="10"/>
      <c r="AX55" s="2">
        <f t="shared" si="24"/>
        <v>0</v>
      </c>
      <c r="AY55" s="2">
        <f>IFERROR((VLOOKUP($BO$1&amp;C11,TeamsProtajer!D:S,12,0)),0)</f>
        <v>0</v>
      </c>
      <c r="AZ55" s="2">
        <f>IFERROR((VLOOKUP($BO$1&amp;C11,TeamsProtajer!D:S,13,0)),0)</f>
        <v>0</v>
      </c>
      <c r="BA55" s="2">
        <f>IFERROR((VLOOKUP($BO$1&amp;C11,TeamsProtajer!D:S,14,0)),0)</f>
        <v>0</v>
      </c>
      <c r="BB55" s="2">
        <f>IFERROR((VLOOKUP($BO$1&amp;C11,TeamsProtajer!D:S,15,0)),0)</f>
        <v>0</v>
      </c>
      <c r="BC55" s="2">
        <f>IFERROR((VLOOKUP($BO$1&amp;C11,TeamsProtajer!D:S,16,0)),0)</f>
        <v>0</v>
      </c>
      <c r="BD55" s="2">
        <f t="shared" si="46"/>
        <v>20000</v>
      </c>
      <c r="BE55" s="2">
        <f t="shared" si="25"/>
        <v>10000</v>
      </c>
      <c r="BF55" s="2">
        <f t="shared" si="26"/>
        <v>40000</v>
      </c>
      <c r="BG55" s="2">
        <f t="shared" si="27"/>
        <v>20000</v>
      </c>
      <c r="BH55" s="2">
        <f t="shared" si="28"/>
        <v>80000</v>
      </c>
      <c r="BI55" s="2">
        <f t="shared" si="47"/>
        <v>0</v>
      </c>
      <c r="BJ55" s="2"/>
      <c r="BK55" s="2">
        <f t="shared" si="48"/>
        <v>0</v>
      </c>
      <c r="BL55" s="2">
        <f t="shared" si="49"/>
        <v>0</v>
      </c>
      <c r="BM55" s="2"/>
      <c r="BN55" s="2"/>
      <c r="BO55" s="2"/>
      <c r="BP55" s="2"/>
      <c r="BS55" s="2">
        <f t="shared" si="29"/>
        <v>0</v>
      </c>
      <c r="BT55" s="2">
        <f t="shared" si="30"/>
        <v>0</v>
      </c>
      <c r="BU55" s="2">
        <f t="shared" si="31"/>
        <v>0</v>
      </c>
      <c r="BV55" s="2">
        <f t="shared" si="32"/>
        <v>0</v>
      </c>
      <c r="BW55" s="2">
        <f t="shared" si="33"/>
        <v>0</v>
      </c>
      <c r="BX55" s="2">
        <f t="shared" si="34"/>
        <v>0</v>
      </c>
      <c r="BY55" s="2"/>
      <c r="BZ55" s="2">
        <f t="shared" si="35"/>
        <v>0</v>
      </c>
      <c r="CA55" s="2">
        <f t="shared" si="36"/>
        <v>0</v>
      </c>
      <c r="CB55" s="2">
        <f t="shared" si="37"/>
        <v>0</v>
      </c>
      <c r="CC55" s="2">
        <f t="shared" si="38"/>
        <v>0</v>
      </c>
      <c r="CD55" s="2">
        <f t="shared" si="39"/>
        <v>0</v>
      </c>
      <c r="CE55" s="2">
        <f t="shared" si="40"/>
        <v>0</v>
      </c>
      <c r="CF55" s="2"/>
      <c r="CG55" s="2">
        <f t="shared" si="50"/>
        <v>0</v>
      </c>
      <c r="CH55" s="2">
        <f t="shared" si="50"/>
        <v>0</v>
      </c>
      <c r="CI55" s="2">
        <f t="shared" si="50"/>
        <v>0</v>
      </c>
      <c r="CJ55" s="2">
        <f t="shared" si="50"/>
        <v>0</v>
      </c>
      <c r="CK55" s="2">
        <f t="shared" si="50"/>
        <v>0</v>
      </c>
      <c r="CL55" s="2">
        <f t="shared" si="50"/>
        <v>0</v>
      </c>
      <c r="CM55" s="2">
        <f t="shared" si="51"/>
        <v>0</v>
      </c>
      <c r="CN55" s="2">
        <f t="shared" si="52"/>
        <v>0</v>
      </c>
      <c r="CO55" s="2">
        <f t="shared" si="42"/>
        <v>0</v>
      </c>
      <c r="CP55" s="2">
        <f t="shared" si="42"/>
        <v>0</v>
      </c>
      <c r="CQ55" s="2">
        <f t="shared" si="42"/>
        <v>0</v>
      </c>
      <c r="CR55" s="2">
        <f t="shared" si="42"/>
        <v>0</v>
      </c>
      <c r="CS55" s="2">
        <f t="shared" si="42"/>
        <v>0</v>
      </c>
      <c r="CT55" s="2"/>
      <c r="CU55" s="2">
        <f t="shared" si="43"/>
        <v>0</v>
      </c>
      <c r="CV55" s="2">
        <f t="shared" si="44"/>
        <v>0</v>
      </c>
      <c r="CW55" s="2">
        <f t="shared" si="45"/>
        <v>0</v>
      </c>
      <c r="CX55" s="2">
        <f t="shared" si="53"/>
        <v>0</v>
      </c>
      <c r="CY55" s="2">
        <f t="shared" si="54"/>
        <v>0</v>
      </c>
      <c r="CZ55" s="2">
        <f t="shared" si="55"/>
        <v>0</v>
      </c>
    </row>
    <row r="56" spans="2:104" ht="18" hidden="1" customHeight="1" x14ac:dyDescent="0.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10"/>
      <c r="AS56" s="10"/>
      <c r="AT56" s="10"/>
      <c r="AU56" s="10"/>
      <c r="AV56" s="10">
        <f t="shared" si="23"/>
        <v>0</v>
      </c>
      <c r="AW56" s="10"/>
      <c r="AX56" s="2">
        <f t="shared" si="24"/>
        <v>0</v>
      </c>
      <c r="AY56" s="2">
        <f>IFERROR((VLOOKUP($BO$1&amp;C12,TeamsProtajer!D:S,12,0)),0)</f>
        <v>0</v>
      </c>
      <c r="AZ56" s="2">
        <f>IFERROR((VLOOKUP($BO$1&amp;C12,TeamsProtajer!D:S,13,0)),0)</f>
        <v>0</v>
      </c>
      <c r="BA56" s="2">
        <f>IFERROR((VLOOKUP($BO$1&amp;C12,TeamsProtajer!D:S,14,0)),0)</f>
        <v>0</v>
      </c>
      <c r="BB56" s="2">
        <f>IFERROR((VLOOKUP($BO$1&amp;C12,TeamsProtajer!D:S,15,0)),0)</f>
        <v>0</v>
      </c>
      <c r="BC56" s="2">
        <f>IFERROR((VLOOKUP($BO$1&amp;C12,TeamsProtajer!D:S,16,0)),0)</f>
        <v>0</v>
      </c>
      <c r="BD56" s="2">
        <f t="shared" si="46"/>
        <v>20000</v>
      </c>
      <c r="BE56" s="2">
        <f t="shared" si="25"/>
        <v>10000</v>
      </c>
      <c r="BF56" s="2">
        <f t="shared" si="26"/>
        <v>40000</v>
      </c>
      <c r="BG56" s="2">
        <f t="shared" si="27"/>
        <v>20000</v>
      </c>
      <c r="BH56" s="2">
        <f t="shared" si="28"/>
        <v>80000</v>
      </c>
      <c r="BI56" s="2">
        <f t="shared" si="47"/>
        <v>0</v>
      </c>
      <c r="BJ56" s="2"/>
      <c r="BK56" s="2">
        <f t="shared" si="48"/>
        <v>0</v>
      </c>
      <c r="BL56" s="2">
        <f t="shared" si="49"/>
        <v>0</v>
      </c>
      <c r="BM56" s="2"/>
      <c r="BN56" s="2"/>
      <c r="BO56" s="2"/>
      <c r="BP56" s="2"/>
      <c r="BS56" s="2">
        <f t="shared" si="29"/>
        <v>0</v>
      </c>
      <c r="BT56" s="2">
        <f t="shared" si="30"/>
        <v>0</v>
      </c>
      <c r="BU56" s="2">
        <f t="shared" si="31"/>
        <v>0</v>
      </c>
      <c r="BV56" s="2">
        <f t="shared" si="32"/>
        <v>0</v>
      </c>
      <c r="BW56" s="2">
        <f t="shared" si="33"/>
        <v>0</v>
      </c>
      <c r="BX56" s="2">
        <f t="shared" si="34"/>
        <v>0</v>
      </c>
      <c r="BY56" s="2"/>
      <c r="BZ56" s="2">
        <f t="shared" si="35"/>
        <v>0</v>
      </c>
      <c r="CA56" s="2">
        <f t="shared" si="36"/>
        <v>0</v>
      </c>
      <c r="CB56" s="2">
        <f t="shared" si="37"/>
        <v>0</v>
      </c>
      <c r="CC56" s="2">
        <f t="shared" si="38"/>
        <v>0</v>
      </c>
      <c r="CD56" s="2">
        <f t="shared" si="39"/>
        <v>0</v>
      </c>
      <c r="CE56" s="2">
        <f t="shared" si="40"/>
        <v>0</v>
      </c>
      <c r="CF56" s="2"/>
      <c r="CG56" s="2">
        <f t="shared" si="50"/>
        <v>0</v>
      </c>
      <c r="CH56" s="2">
        <f t="shared" si="50"/>
        <v>0</v>
      </c>
      <c r="CI56" s="2">
        <f t="shared" si="50"/>
        <v>0</v>
      </c>
      <c r="CJ56" s="2">
        <f t="shared" si="50"/>
        <v>0</v>
      </c>
      <c r="CK56" s="2">
        <f t="shared" si="50"/>
        <v>0</v>
      </c>
      <c r="CL56" s="2">
        <f t="shared" si="50"/>
        <v>0</v>
      </c>
      <c r="CM56" s="2">
        <f t="shared" si="51"/>
        <v>0</v>
      </c>
      <c r="CN56" s="2">
        <f t="shared" si="52"/>
        <v>0</v>
      </c>
      <c r="CO56" s="2">
        <f t="shared" si="42"/>
        <v>0</v>
      </c>
      <c r="CP56" s="2">
        <f t="shared" si="42"/>
        <v>0</v>
      </c>
      <c r="CQ56" s="2">
        <f t="shared" si="42"/>
        <v>0</v>
      </c>
      <c r="CR56" s="2">
        <f t="shared" si="42"/>
        <v>0</v>
      </c>
      <c r="CS56" s="2">
        <f t="shared" si="42"/>
        <v>0</v>
      </c>
      <c r="CT56" s="2"/>
      <c r="CU56" s="2">
        <f t="shared" si="43"/>
        <v>0</v>
      </c>
      <c r="CV56" s="2">
        <f t="shared" si="44"/>
        <v>0</v>
      </c>
      <c r="CW56" s="2">
        <f t="shared" si="45"/>
        <v>0</v>
      </c>
      <c r="CX56" s="2">
        <f t="shared" si="53"/>
        <v>0</v>
      </c>
      <c r="CY56" s="2">
        <f t="shared" si="54"/>
        <v>0</v>
      </c>
      <c r="CZ56" s="2">
        <f t="shared" si="55"/>
        <v>0</v>
      </c>
    </row>
    <row r="57" spans="2:104" ht="18" hidden="1" customHeight="1" x14ac:dyDescent="0.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0"/>
      <c r="AS57" s="10"/>
      <c r="AT57" s="10"/>
      <c r="AU57" s="10"/>
      <c r="AV57" s="10">
        <f t="shared" si="23"/>
        <v>0</v>
      </c>
      <c r="AW57" s="10"/>
      <c r="AX57" s="2">
        <f t="shared" si="24"/>
        <v>0</v>
      </c>
      <c r="AY57" s="2">
        <f>IFERROR((VLOOKUP($BO$1&amp;C13,TeamsProtajer!D:S,12,0)),0)</f>
        <v>0</v>
      </c>
      <c r="AZ57" s="2">
        <f>IFERROR((VLOOKUP($BO$1&amp;C13,TeamsProtajer!D:S,13,0)),0)</f>
        <v>0</v>
      </c>
      <c r="BA57" s="2">
        <f>IFERROR((VLOOKUP($BO$1&amp;C13,TeamsProtajer!D:S,14,0)),0)</f>
        <v>0</v>
      </c>
      <c r="BB57" s="2">
        <f>IFERROR((VLOOKUP($BO$1&amp;C13,TeamsProtajer!D:S,15,0)),0)</f>
        <v>0</v>
      </c>
      <c r="BC57" s="2">
        <f>IFERROR((VLOOKUP($BO$1&amp;C13,TeamsProtajer!D:S,16,0)),0)</f>
        <v>0</v>
      </c>
      <c r="BD57" s="2">
        <f t="shared" si="46"/>
        <v>20000</v>
      </c>
      <c r="BE57" s="2">
        <f t="shared" si="25"/>
        <v>10000</v>
      </c>
      <c r="BF57" s="2">
        <f t="shared" si="26"/>
        <v>40000</v>
      </c>
      <c r="BG57" s="2">
        <f t="shared" si="27"/>
        <v>20000</v>
      </c>
      <c r="BH57" s="2">
        <f t="shared" si="28"/>
        <v>80000</v>
      </c>
      <c r="BI57" s="2">
        <f t="shared" si="47"/>
        <v>0</v>
      </c>
      <c r="BJ57" s="2"/>
      <c r="BK57" s="2">
        <f t="shared" si="48"/>
        <v>0</v>
      </c>
      <c r="BL57" s="2">
        <f t="shared" si="49"/>
        <v>0</v>
      </c>
      <c r="BM57" s="2"/>
      <c r="BN57" s="2"/>
      <c r="BO57" s="2"/>
      <c r="BP57" s="2"/>
      <c r="BS57" s="2">
        <f t="shared" si="29"/>
        <v>0</v>
      </c>
      <c r="BT57" s="2">
        <f t="shared" si="30"/>
        <v>0</v>
      </c>
      <c r="BU57" s="2">
        <f t="shared" si="31"/>
        <v>0</v>
      </c>
      <c r="BV57" s="2">
        <f t="shared" si="32"/>
        <v>0</v>
      </c>
      <c r="BW57" s="2">
        <f t="shared" si="33"/>
        <v>0</v>
      </c>
      <c r="BX57" s="2">
        <f t="shared" si="34"/>
        <v>0</v>
      </c>
      <c r="BY57" s="2"/>
      <c r="BZ57" s="2">
        <f t="shared" si="35"/>
        <v>0</v>
      </c>
      <c r="CA57" s="2">
        <f t="shared" si="36"/>
        <v>0</v>
      </c>
      <c r="CB57" s="2">
        <f t="shared" si="37"/>
        <v>0</v>
      </c>
      <c r="CC57" s="2">
        <f t="shared" si="38"/>
        <v>0</v>
      </c>
      <c r="CD57" s="2">
        <f t="shared" si="39"/>
        <v>0</v>
      </c>
      <c r="CE57" s="2">
        <f t="shared" si="40"/>
        <v>0</v>
      </c>
      <c r="CF57" s="2"/>
      <c r="CG57" s="2">
        <f t="shared" si="50"/>
        <v>0</v>
      </c>
      <c r="CH57" s="2">
        <f t="shared" si="50"/>
        <v>0</v>
      </c>
      <c r="CI57" s="2">
        <f t="shared" si="50"/>
        <v>0</v>
      </c>
      <c r="CJ57" s="2">
        <f t="shared" si="50"/>
        <v>0</v>
      </c>
      <c r="CK57" s="2">
        <f t="shared" si="50"/>
        <v>0</v>
      </c>
      <c r="CL57" s="2">
        <f t="shared" si="50"/>
        <v>0</v>
      </c>
      <c r="CM57" s="2">
        <f t="shared" si="51"/>
        <v>0</v>
      </c>
      <c r="CN57" s="2">
        <f t="shared" si="52"/>
        <v>0</v>
      </c>
      <c r="CO57" s="2">
        <f t="shared" si="42"/>
        <v>0</v>
      </c>
      <c r="CP57" s="2">
        <f t="shared" si="42"/>
        <v>0</v>
      </c>
      <c r="CQ57" s="2">
        <f t="shared" si="42"/>
        <v>0</v>
      </c>
      <c r="CR57" s="2">
        <f t="shared" si="42"/>
        <v>0</v>
      </c>
      <c r="CS57" s="2">
        <f t="shared" si="42"/>
        <v>0</v>
      </c>
      <c r="CT57" s="2"/>
      <c r="CU57" s="2">
        <f t="shared" si="43"/>
        <v>0</v>
      </c>
      <c r="CV57" s="2">
        <f t="shared" si="44"/>
        <v>0</v>
      </c>
      <c r="CW57" s="2">
        <f t="shared" si="45"/>
        <v>0</v>
      </c>
      <c r="CX57" s="2">
        <f t="shared" si="53"/>
        <v>0</v>
      </c>
      <c r="CY57" s="2">
        <f t="shared" si="54"/>
        <v>0</v>
      </c>
      <c r="CZ57" s="2">
        <f t="shared" si="55"/>
        <v>0</v>
      </c>
    </row>
    <row r="58" spans="2:104" ht="18" hidden="1" customHeight="1" x14ac:dyDescent="0.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10"/>
      <c r="AS58" s="10"/>
      <c r="AT58" s="10"/>
      <c r="AU58" s="10"/>
      <c r="AV58" s="10">
        <f t="shared" si="23"/>
        <v>0</v>
      </c>
      <c r="AW58" s="10"/>
      <c r="AX58" s="2">
        <f t="shared" si="24"/>
        <v>0</v>
      </c>
      <c r="AY58" s="2">
        <f>IFERROR((VLOOKUP($BO$1&amp;C14,TeamsProtajer!D:S,12,0)),0)</f>
        <v>0</v>
      </c>
      <c r="AZ58" s="2">
        <f>IFERROR((VLOOKUP($BO$1&amp;C14,TeamsProtajer!D:S,13,0)),0)</f>
        <v>0</v>
      </c>
      <c r="BA58" s="2">
        <f>IFERROR((VLOOKUP($BO$1&amp;C14,TeamsProtajer!D:S,14,0)),0)</f>
        <v>0</v>
      </c>
      <c r="BB58" s="2">
        <f>IFERROR((VLOOKUP($BO$1&amp;C14,TeamsProtajer!D:S,15,0)),0)</f>
        <v>0</v>
      </c>
      <c r="BC58" s="2">
        <f>IFERROR((VLOOKUP($BO$1&amp;C14,TeamsProtajer!D:S,16,0)),0)</f>
        <v>0</v>
      </c>
      <c r="BD58" s="2">
        <f t="shared" si="46"/>
        <v>20000</v>
      </c>
      <c r="BE58" s="2">
        <f t="shared" si="25"/>
        <v>10000</v>
      </c>
      <c r="BF58" s="2">
        <f t="shared" si="26"/>
        <v>40000</v>
      </c>
      <c r="BG58" s="2">
        <f t="shared" si="27"/>
        <v>20000</v>
      </c>
      <c r="BH58" s="2">
        <f t="shared" si="28"/>
        <v>80000</v>
      </c>
      <c r="BI58" s="2">
        <f t="shared" si="47"/>
        <v>0</v>
      </c>
      <c r="BJ58" s="2"/>
      <c r="BK58" s="2">
        <f t="shared" si="48"/>
        <v>0</v>
      </c>
      <c r="BL58" s="2">
        <f t="shared" si="49"/>
        <v>0</v>
      </c>
      <c r="BM58" s="2"/>
      <c r="BN58" s="2"/>
      <c r="BO58" s="2"/>
      <c r="BP58" s="2"/>
      <c r="BS58" s="2">
        <f t="shared" si="29"/>
        <v>0</v>
      </c>
      <c r="BT58" s="2">
        <f t="shared" si="30"/>
        <v>0</v>
      </c>
      <c r="BU58" s="2">
        <f t="shared" si="31"/>
        <v>0</v>
      </c>
      <c r="BV58" s="2">
        <f t="shared" si="32"/>
        <v>0</v>
      </c>
      <c r="BW58" s="2">
        <f t="shared" si="33"/>
        <v>0</v>
      </c>
      <c r="BX58" s="2">
        <f t="shared" si="34"/>
        <v>0</v>
      </c>
      <c r="BY58" s="2"/>
      <c r="BZ58" s="2">
        <f t="shared" si="35"/>
        <v>0</v>
      </c>
      <c r="CA58" s="2">
        <f t="shared" si="36"/>
        <v>0</v>
      </c>
      <c r="CB58" s="2">
        <f t="shared" si="37"/>
        <v>0</v>
      </c>
      <c r="CC58" s="2">
        <f t="shared" si="38"/>
        <v>0</v>
      </c>
      <c r="CD58" s="2">
        <f t="shared" si="39"/>
        <v>0</v>
      </c>
      <c r="CE58" s="2">
        <f t="shared" si="40"/>
        <v>0</v>
      </c>
      <c r="CF58" s="2"/>
      <c r="CG58" s="2">
        <f t="shared" si="50"/>
        <v>0</v>
      </c>
      <c r="CH58" s="2">
        <f t="shared" si="50"/>
        <v>0</v>
      </c>
      <c r="CI58" s="2">
        <f t="shared" si="50"/>
        <v>0</v>
      </c>
      <c r="CJ58" s="2">
        <f t="shared" si="50"/>
        <v>0</v>
      </c>
      <c r="CK58" s="2">
        <f t="shared" si="50"/>
        <v>0</v>
      </c>
      <c r="CL58" s="2">
        <f t="shared" si="50"/>
        <v>0</v>
      </c>
      <c r="CM58" s="2">
        <f t="shared" si="51"/>
        <v>0</v>
      </c>
      <c r="CN58" s="2">
        <f t="shared" si="52"/>
        <v>0</v>
      </c>
      <c r="CO58" s="2">
        <f t="shared" si="42"/>
        <v>0</v>
      </c>
      <c r="CP58" s="2">
        <f t="shared" si="42"/>
        <v>0</v>
      </c>
      <c r="CQ58" s="2">
        <f t="shared" si="42"/>
        <v>0</v>
      </c>
      <c r="CR58" s="2">
        <f t="shared" si="42"/>
        <v>0</v>
      </c>
      <c r="CS58" s="2">
        <f t="shared" si="42"/>
        <v>0</v>
      </c>
      <c r="CT58" s="2"/>
      <c r="CU58" s="2">
        <f t="shared" si="43"/>
        <v>0</v>
      </c>
      <c r="CV58" s="2">
        <f t="shared" si="44"/>
        <v>0</v>
      </c>
      <c r="CW58" s="2">
        <f t="shared" si="45"/>
        <v>0</v>
      </c>
      <c r="CX58" s="2">
        <f t="shared" si="53"/>
        <v>0</v>
      </c>
      <c r="CY58" s="2">
        <f t="shared" si="54"/>
        <v>0</v>
      </c>
      <c r="CZ58" s="2">
        <f t="shared" si="55"/>
        <v>0</v>
      </c>
    </row>
    <row r="59" spans="2:104" ht="15" hidden="1" customHeight="1" x14ac:dyDescent="0.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10"/>
      <c r="AS59" s="10"/>
      <c r="AT59" s="10"/>
      <c r="AU59" s="10"/>
      <c r="AV59" s="10">
        <f t="shared" si="23"/>
        <v>0</v>
      </c>
      <c r="AW59" s="10"/>
      <c r="AX59" s="2">
        <f t="shared" si="24"/>
        <v>0</v>
      </c>
      <c r="AY59" s="2">
        <f>IFERROR((VLOOKUP($BO$1&amp;C15,TeamsProtajer!D:S,12,0)),0)</f>
        <v>0</v>
      </c>
      <c r="AZ59" s="2">
        <f>IFERROR((VLOOKUP($BO$1&amp;C15,TeamsProtajer!D:S,13,0)),0)</f>
        <v>0</v>
      </c>
      <c r="BA59" s="2">
        <f>IFERROR((VLOOKUP($BO$1&amp;C15,TeamsProtajer!D:S,14,0)),0)</f>
        <v>0</v>
      </c>
      <c r="BB59" s="2">
        <f>IFERROR((VLOOKUP($BO$1&amp;C15,TeamsProtajer!D:S,15,0)),0)</f>
        <v>0</v>
      </c>
      <c r="BC59" s="2">
        <f>IFERROR((VLOOKUP($BO$1&amp;C15,TeamsProtajer!D:S,16,0)),0)</f>
        <v>0</v>
      </c>
      <c r="BD59" s="2">
        <f t="shared" si="46"/>
        <v>20000</v>
      </c>
      <c r="BE59" s="2">
        <f t="shared" si="25"/>
        <v>10000</v>
      </c>
      <c r="BF59" s="2">
        <f t="shared" si="26"/>
        <v>40000</v>
      </c>
      <c r="BG59" s="2">
        <f t="shared" si="27"/>
        <v>20000</v>
      </c>
      <c r="BH59" s="2">
        <f t="shared" si="28"/>
        <v>80000</v>
      </c>
      <c r="BI59" s="2">
        <f t="shared" si="47"/>
        <v>0</v>
      </c>
      <c r="BJ59" s="2"/>
      <c r="BK59" s="2">
        <f t="shared" si="48"/>
        <v>0</v>
      </c>
      <c r="BL59" s="2">
        <f t="shared" si="49"/>
        <v>0</v>
      </c>
      <c r="BM59" s="2"/>
      <c r="BN59" s="2"/>
      <c r="BO59" s="2"/>
      <c r="BP59" s="2"/>
      <c r="BS59" s="2">
        <f t="shared" si="29"/>
        <v>0</v>
      </c>
      <c r="BT59" s="2">
        <f t="shared" si="30"/>
        <v>0</v>
      </c>
      <c r="BU59" s="2">
        <f t="shared" si="31"/>
        <v>0</v>
      </c>
      <c r="BV59" s="2">
        <f t="shared" si="32"/>
        <v>0</v>
      </c>
      <c r="BW59" s="2">
        <f t="shared" si="33"/>
        <v>0</v>
      </c>
      <c r="BX59" s="2">
        <f t="shared" si="34"/>
        <v>0</v>
      </c>
      <c r="BY59" s="2"/>
      <c r="BZ59" s="2">
        <f t="shared" si="35"/>
        <v>0</v>
      </c>
      <c r="CA59" s="2">
        <f t="shared" si="36"/>
        <v>0</v>
      </c>
      <c r="CB59" s="2">
        <f t="shared" si="37"/>
        <v>0</v>
      </c>
      <c r="CC59" s="2">
        <f t="shared" si="38"/>
        <v>0</v>
      </c>
      <c r="CD59" s="2">
        <f t="shared" si="39"/>
        <v>0</v>
      </c>
      <c r="CE59" s="2">
        <f t="shared" si="40"/>
        <v>0</v>
      </c>
      <c r="CF59" s="2"/>
      <c r="CG59" s="2">
        <f t="shared" si="50"/>
        <v>0</v>
      </c>
      <c r="CH59" s="2">
        <f t="shared" si="50"/>
        <v>0</v>
      </c>
      <c r="CI59" s="2">
        <f t="shared" si="50"/>
        <v>0</v>
      </c>
      <c r="CJ59" s="2">
        <f t="shared" si="50"/>
        <v>0</v>
      </c>
      <c r="CK59" s="2">
        <f t="shared" si="50"/>
        <v>0</v>
      </c>
      <c r="CL59" s="2">
        <f t="shared" si="50"/>
        <v>0</v>
      </c>
      <c r="CM59" s="2">
        <f t="shared" si="51"/>
        <v>0</v>
      </c>
      <c r="CN59" s="2">
        <f t="shared" si="52"/>
        <v>0</v>
      </c>
      <c r="CO59" s="2">
        <f t="shared" si="42"/>
        <v>0</v>
      </c>
      <c r="CP59" s="2">
        <f t="shared" si="42"/>
        <v>0</v>
      </c>
      <c r="CQ59" s="2">
        <f t="shared" si="42"/>
        <v>0</v>
      </c>
      <c r="CR59" s="2">
        <f t="shared" si="42"/>
        <v>0</v>
      </c>
      <c r="CS59" s="2">
        <f t="shared" si="42"/>
        <v>0</v>
      </c>
      <c r="CT59" s="2"/>
      <c r="CU59" s="2">
        <f t="shared" si="43"/>
        <v>0</v>
      </c>
      <c r="CV59" s="2">
        <f t="shared" si="44"/>
        <v>0</v>
      </c>
      <c r="CW59" s="2">
        <f t="shared" si="45"/>
        <v>0</v>
      </c>
      <c r="CX59" s="2">
        <f t="shared" si="53"/>
        <v>0</v>
      </c>
      <c r="CY59" s="2">
        <f t="shared" si="54"/>
        <v>0</v>
      </c>
      <c r="CZ59" s="2">
        <f t="shared" si="55"/>
        <v>0</v>
      </c>
    </row>
    <row r="60" spans="2:104" ht="22.5" hidden="1" customHeight="1" x14ac:dyDescent="0.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10"/>
      <c r="AS60" s="10"/>
      <c r="AT60" s="10"/>
      <c r="AU60" s="10"/>
      <c r="AV60" s="10">
        <f t="shared" si="23"/>
        <v>0</v>
      </c>
      <c r="AW60" s="10"/>
      <c r="AX60" s="2">
        <f t="shared" si="24"/>
        <v>0</v>
      </c>
      <c r="AY60" s="2">
        <f>IFERROR((VLOOKUP($BO$1&amp;C16,TeamsProtajer!D:S,12,0)),0)</f>
        <v>0</v>
      </c>
      <c r="AZ60" s="2">
        <f>IFERROR((VLOOKUP($BO$1&amp;C16,TeamsProtajer!D:S,13,0)),0)</f>
        <v>0</v>
      </c>
      <c r="BA60" s="2">
        <f>IFERROR((VLOOKUP($BO$1&amp;C16,TeamsProtajer!D:S,14,0)),0)</f>
        <v>0</v>
      </c>
      <c r="BB60" s="2">
        <f>IFERROR((VLOOKUP($BO$1&amp;C16,TeamsProtajer!D:S,15,0)),0)</f>
        <v>0</v>
      </c>
      <c r="BC60" s="2">
        <f>IFERROR((VLOOKUP($BO$1&amp;C16,TeamsProtajer!D:S,16,0)),0)</f>
        <v>0</v>
      </c>
      <c r="BD60" s="2">
        <f t="shared" si="46"/>
        <v>20000</v>
      </c>
      <c r="BE60" s="2">
        <f t="shared" si="25"/>
        <v>10000</v>
      </c>
      <c r="BF60" s="2">
        <f t="shared" si="26"/>
        <v>40000</v>
      </c>
      <c r="BG60" s="2">
        <f t="shared" si="27"/>
        <v>20000</v>
      </c>
      <c r="BH60" s="2">
        <f t="shared" si="28"/>
        <v>80000</v>
      </c>
      <c r="BI60" s="2">
        <f t="shared" si="47"/>
        <v>0</v>
      </c>
      <c r="BJ60" s="2"/>
      <c r="BK60" s="2">
        <f t="shared" si="48"/>
        <v>0</v>
      </c>
      <c r="BL60" s="2">
        <f t="shared" si="49"/>
        <v>0</v>
      </c>
      <c r="BM60" s="2"/>
      <c r="BN60" s="2"/>
      <c r="BO60" s="2"/>
      <c r="BP60" s="2"/>
      <c r="BS60" s="2">
        <f t="shared" si="29"/>
        <v>0</v>
      </c>
      <c r="BT60" s="2">
        <f t="shared" si="30"/>
        <v>0</v>
      </c>
      <c r="BU60" s="2">
        <f t="shared" si="31"/>
        <v>0</v>
      </c>
      <c r="BV60" s="2">
        <f t="shared" si="32"/>
        <v>0</v>
      </c>
      <c r="BW60" s="2">
        <f t="shared" si="33"/>
        <v>0</v>
      </c>
      <c r="BX60" s="2">
        <f t="shared" si="34"/>
        <v>0</v>
      </c>
      <c r="BY60" s="2"/>
      <c r="BZ60" s="2">
        <f t="shared" si="35"/>
        <v>0</v>
      </c>
      <c r="CA60" s="2">
        <f t="shared" si="36"/>
        <v>0</v>
      </c>
      <c r="CB60" s="2">
        <f t="shared" si="37"/>
        <v>0</v>
      </c>
      <c r="CC60" s="2">
        <f t="shared" si="38"/>
        <v>0</v>
      </c>
      <c r="CD60" s="2">
        <f t="shared" si="39"/>
        <v>0</v>
      </c>
      <c r="CE60" s="2">
        <f t="shared" si="40"/>
        <v>0</v>
      </c>
      <c r="CF60" s="2"/>
      <c r="CG60" s="2">
        <f t="shared" si="50"/>
        <v>0</v>
      </c>
      <c r="CH60" s="2">
        <f t="shared" si="50"/>
        <v>0</v>
      </c>
      <c r="CI60" s="2">
        <f t="shared" si="50"/>
        <v>0</v>
      </c>
      <c r="CJ60" s="2">
        <f t="shared" si="50"/>
        <v>0</v>
      </c>
      <c r="CK60" s="2">
        <f t="shared" si="50"/>
        <v>0</v>
      </c>
      <c r="CL60" s="2">
        <f t="shared" si="50"/>
        <v>0</v>
      </c>
      <c r="CM60" s="2">
        <f t="shared" si="51"/>
        <v>0</v>
      </c>
      <c r="CN60" s="2">
        <f t="shared" si="52"/>
        <v>0</v>
      </c>
      <c r="CO60" s="2">
        <f t="shared" si="42"/>
        <v>0</v>
      </c>
      <c r="CP60" s="2">
        <f t="shared" si="42"/>
        <v>0</v>
      </c>
      <c r="CQ60" s="2">
        <f t="shared" si="42"/>
        <v>0</v>
      </c>
      <c r="CR60" s="2">
        <f t="shared" si="42"/>
        <v>0</v>
      </c>
      <c r="CS60" s="2">
        <f t="shared" si="42"/>
        <v>0</v>
      </c>
      <c r="CT60" s="2"/>
      <c r="CU60" s="2">
        <f t="shared" si="43"/>
        <v>0</v>
      </c>
      <c r="CV60" s="2">
        <f t="shared" si="44"/>
        <v>0</v>
      </c>
      <c r="CW60" s="2">
        <f t="shared" si="45"/>
        <v>0</v>
      </c>
      <c r="CX60" s="2">
        <f t="shared" si="53"/>
        <v>0</v>
      </c>
      <c r="CY60" s="2">
        <f t="shared" si="54"/>
        <v>0</v>
      </c>
      <c r="CZ60" s="2">
        <f t="shared" si="55"/>
        <v>0</v>
      </c>
    </row>
    <row r="61" spans="2:104" ht="22.5" hidden="1" customHeight="1" x14ac:dyDescent="0.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10"/>
      <c r="AS61" s="10"/>
      <c r="AT61" s="10"/>
      <c r="AU61" s="10"/>
      <c r="AV61" s="10">
        <f t="shared" si="23"/>
        <v>0</v>
      </c>
      <c r="AW61" s="10"/>
      <c r="AX61" s="2">
        <f t="shared" si="24"/>
        <v>0</v>
      </c>
      <c r="AY61" s="2">
        <f>IFERROR((VLOOKUP($BO$1&amp;C17,TeamsProtajer!D:S,12,0)),0)</f>
        <v>0</v>
      </c>
      <c r="AZ61" s="2">
        <f>IFERROR((VLOOKUP($BO$1&amp;C17,TeamsProtajer!D:S,13,0)),0)</f>
        <v>0</v>
      </c>
      <c r="BA61" s="2">
        <f>IFERROR((VLOOKUP($BO$1&amp;C17,TeamsProtajer!D:S,14,0)),0)</f>
        <v>0</v>
      </c>
      <c r="BB61" s="2">
        <f>IFERROR((VLOOKUP($BO$1&amp;C17,TeamsProtajer!D:S,15,0)),0)</f>
        <v>0</v>
      </c>
      <c r="BC61" s="2">
        <f>IFERROR((VLOOKUP($BO$1&amp;C17,TeamsProtajer!D:S,16,0)),0)</f>
        <v>0</v>
      </c>
      <c r="BD61" s="2">
        <f t="shared" si="46"/>
        <v>20000</v>
      </c>
      <c r="BE61" s="2">
        <f t="shared" si="25"/>
        <v>10000</v>
      </c>
      <c r="BF61" s="2">
        <f t="shared" si="26"/>
        <v>40000</v>
      </c>
      <c r="BG61" s="2">
        <f t="shared" si="27"/>
        <v>20000</v>
      </c>
      <c r="BH61" s="2">
        <f t="shared" si="28"/>
        <v>80000</v>
      </c>
      <c r="BI61" s="2">
        <f>SUM(CG61:CS61)</f>
        <v>0</v>
      </c>
      <c r="BJ61" s="2"/>
      <c r="BK61" s="2">
        <f t="shared" si="48"/>
        <v>0</v>
      </c>
      <c r="BL61" s="2">
        <f t="shared" si="49"/>
        <v>0</v>
      </c>
      <c r="BM61" s="2"/>
      <c r="BN61" s="2"/>
      <c r="BO61" s="2"/>
      <c r="BP61" s="2"/>
      <c r="BS61" s="2">
        <f t="shared" si="29"/>
        <v>0</v>
      </c>
      <c r="BT61" s="2">
        <f t="shared" si="30"/>
        <v>0</v>
      </c>
      <c r="BU61" s="2">
        <f t="shared" si="31"/>
        <v>0</v>
      </c>
      <c r="BV61" s="2">
        <f t="shared" si="32"/>
        <v>0</v>
      </c>
      <c r="BW61" s="2">
        <f t="shared" si="33"/>
        <v>0</v>
      </c>
      <c r="BX61" s="2">
        <f>(IF(BP61="G",AY61,IF(BP61="A",AZ61,IF(BP61="S",BA61,IF(BP61="P",BB61,IF(BP61="M",BC61,IF(BP61="X",0,IF(OR(BP61="MA",BP61="AV",BP61="ST",BP61="PA",BP61="AG"),"STAT",0))))))))</f>
        <v>0</v>
      </c>
      <c r="BY61" s="2"/>
      <c r="BZ61" s="2">
        <f t="shared" si="35"/>
        <v>0</v>
      </c>
      <c r="CA61" s="2">
        <f t="shared" si="36"/>
        <v>0</v>
      </c>
      <c r="CB61" s="2">
        <f t="shared" si="37"/>
        <v>0</v>
      </c>
      <c r="CC61" s="2">
        <f t="shared" si="38"/>
        <v>0</v>
      </c>
      <c r="CD61" s="2">
        <f t="shared" si="39"/>
        <v>0</v>
      </c>
      <c r="CE61" s="2">
        <f t="shared" si="40"/>
        <v>0</v>
      </c>
      <c r="CF61" s="2"/>
      <c r="CG61" s="2">
        <f t="shared" si="50"/>
        <v>0</v>
      </c>
      <c r="CH61" s="2">
        <f t="shared" si="50"/>
        <v>0</v>
      </c>
      <c r="CI61" s="2">
        <f t="shared" si="50"/>
        <v>0</v>
      </c>
      <c r="CJ61" s="2">
        <f t="shared" si="50"/>
        <v>0</v>
      </c>
      <c r="CK61" s="2">
        <f t="shared" si="50"/>
        <v>0</v>
      </c>
      <c r="CL61" s="2">
        <f>IF(BX61="P",$C$38,(IF(BX61="S",$K$38,0)))</f>
        <v>0</v>
      </c>
      <c r="CM61" s="2">
        <f t="shared" si="51"/>
        <v>0</v>
      </c>
      <c r="CN61" s="2">
        <f t="shared" si="52"/>
        <v>0</v>
      </c>
      <c r="CO61" s="2">
        <f t="shared" si="42"/>
        <v>0</v>
      </c>
      <c r="CP61" s="2">
        <f t="shared" si="42"/>
        <v>0</v>
      </c>
      <c r="CQ61" s="2">
        <f t="shared" si="42"/>
        <v>0</v>
      </c>
      <c r="CR61" s="2">
        <f t="shared" si="42"/>
        <v>0</v>
      </c>
      <c r="CS61" s="2">
        <f t="shared" si="42"/>
        <v>0</v>
      </c>
      <c r="CT61" s="2"/>
      <c r="CU61" s="2">
        <f t="shared" si="43"/>
        <v>0</v>
      </c>
      <c r="CV61" s="2">
        <f t="shared" si="44"/>
        <v>0</v>
      </c>
      <c r="CW61" s="2">
        <f t="shared" si="45"/>
        <v>0</v>
      </c>
      <c r="CX61" s="2">
        <f t="shared" si="53"/>
        <v>0</v>
      </c>
      <c r="CY61" s="2">
        <f t="shared" si="54"/>
        <v>0</v>
      </c>
      <c r="CZ61" s="2">
        <f t="shared" si="55"/>
        <v>0</v>
      </c>
    </row>
    <row r="62" spans="2:104" ht="22.5" hidden="1" customHeight="1" x14ac:dyDescent="0.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10"/>
      <c r="AS62" s="10"/>
      <c r="AT62" s="10"/>
      <c r="AU62" s="10"/>
      <c r="AV62" s="10">
        <f>SUM(AV46:AV61)</f>
        <v>0</v>
      </c>
      <c r="AW62" s="10"/>
      <c r="AX62" s="2"/>
      <c r="AY62" s="2"/>
      <c r="AZ62" s="2"/>
      <c r="BA62" s="2"/>
      <c r="BB62" s="2"/>
      <c r="BC62" s="2"/>
      <c r="BD62" s="2"/>
      <c r="BE62" s="2"/>
      <c r="BI62" s="67"/>
      <c r="BJ62" s="67"/>
      <c r="BK62" s="2"/>
      <c r="BM62" s="2"/>
      <c r="BN62" s="2"/>
      <c r="BO62" s="2"/>
      <c r="BS62" s="11"/>
      <c r="BT62" s="2"/>
      <c r="BU62" s="3"/>
      <c r="BV62" s="3"/>
      <c r="BW62" s="2"/>
      <c r="BX62" s="2"/>
      <c r="BY62" s="2"/>
      <c r="BZ62" s="2"/>
      <c r="CA62" s="2"/>
      <c r="CB62" s="2"/>
      <c r="CC62" s="2"/>
      <c r="CD62" s="2"/>
      <c r="CE62" s="2"/>
      <c r="CF62" s="2"/>
      <c r="CG62" s="2" t="str">
        <f>VLOOKUP(CG63,TeamsProtajer!$D:$T,17,FALSE)</f>
        <v/>
      </c>
      <c r="CH62" s="2" t="str">
        <f>VLOOKUP(CH63,TeamsProtajer!$D:$T,17,FALSE)</f>
        <v/>
      </c>
      <c r="CI62" s="9" t="str">
        <f>VLOOKUP(CI63,TeamsProtajer!$D:$T,17,FALSE)</f>
        <v/>
      </c>
      <c r="CJ62" s="9" t="str">
        <f>VLOOKUP(CJ63,TeamsProtajer!$D:$T,17,FALSE)</f>
        <v/>
      </c>
      <c r="CK62" s="9" t="str">
        <f>VLOOKUP(CK63,TeamsProtajer!$D:$T,17,FALSE)</f>
        <v/>
      </c>
      <c r="CL62" s="9" t="str">
        <f>VLOOKUP(CL63,TeamsProtajer!$D:$T,17,FALSE)</f>
        <v/>
      </c>
      <c r="CM62" s="9" t="str">
        <f>VLOOKUP(CM63,TeamsProtajer!$D:$T,17,FALSE)</f>
        <v/>
      </c>
      <c r="CN62" s="9" t="str">
        <f>VLOOKUP(CN63,TeamsProtajer!$D:$T,17,FALSE)</f>
        <v/>
      </c>
      <c r="CO62" s="9" t="str">
        <f>VLOOKUP(CO63,TeamsProtajer!$D:$T,17,FALSE)</f>
        <v/>
      </c>
      <c r="CP62" s="9" t="str">
        <f>VLOOKUP(CP63,TeamsProtajer!$D:$T,17,FALSE)</f>
        <v/>
      </c>
      <c r="CQ62" s="9" t="str">
        <f>VLOOKUP(CQ63,TeamsProtajer!$D:$T,17,FALSE)</f>
        <v/>
      </c>
      <c r="CR62" s="9" t="str">
        <f>VLOOKUP(CR63,TeamsProtajer!$D:$T,17,FALSE)</f>
        <v/>
      </c>
      <c r="CS62" s="9" t="str">
        <f>VLOOKUP(CS63,TeamsProtajer!$D:$T,17,FALSE)</f>
        <v/>
      </c>
      <c r="CT62" s="9" t="str">
        <f>VLOOKUP(CT63,TeamsProtajer!$D:$T,17,FALSE)</f>
        <v/>
      </c>
      <c r="CU62" s="9" t="str">
        <f>VLOOKUP(CU63,TeamsProtajer!$D:$T,17,FALSE)</f>
        <v/>
      </c>
      <c r="CV62" s="9" t="str">
        <f>VLOOKUP(CV63,TeamsProtajer!$D:$T,17,FALSE)</f>
        <v/>
      </c>
      <c r="CW62" s="4"/>
      <c r="CX62" s="2"/>
      <c r="CY62" s="2"/>
      <c r="CZ62" s="2"/>
    </row>
    <row r="63" spans="2:104" ht="15" hidden="1" customHeight="1" x14ac:dyDescent="0.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1"/>
      <c r="AS63" s="1"/>
      <c r="AT63" s="1"/>
      <c r="AU63" s="1"/>
      <c r="AV63" s="1"/>
      <c r="AW63" s="1"/>
      <c r="AX63" s="2"/>
      <c r="AY63" s="2"/>
      <c r="AZ63" s="2"/>
      <c r="BA63" s="2"/>
      <c r="BB63" s="2"/>
      <c r="BC63" s="2"/>
      <c r="BD63" s="2"/>
      <c r="BE63" s="2"/>
      <c r="BK63" s="2"/>
      <c r="BM63" s="2"/>
      <c r="BN63" s="2"/>
      <c r="BO63" s="2"/>
      <c r="BS63" s="11"/>
      <c r="BT63" s="2"/>
      <c r="BU63" s="3"/>
      <c r="BV63" s="3"/>
      <c r="BW63" s="2"/>
      <c r="BX63" s="2"/>
      <c r="BY63" s="2"/>
      <c r="BZ63" s="2"/>
      <c r="CA63" s="2"/>
      <c r="CB63" s="2"/>
      <c r="CC63" s="2"/>
      <c r="CD63" s="2"/>
      <c r="CE63" s="2"/>
      <c r="CF63" s="2"/>
      <c r="CG63" s="69" t="str">
        <f>$BO$1&amp;$C2</f>
        <v>Old World Alliance</v>
      </c>
      <c r="CH63" s="69" t="str">
        <f>$BO$1&amp;$C3</f>
        <v>Old World Alliance</v>
      </c>
      <c r="CI63" s="69" t="str">
        <f>$BO$1&amp;$C4</f>
        <v>Old World Alliance</v>
      </c>
      <c r="CJ63" s="69" t="str">
        <f>$BO$1&amp;$C5</f>
        <v>Old World Alliance</v>
      </c>
      <c r="CK63" s="69" t="str">
        <f>$BO$1&amp;$C6</f>
        <v>Old World Alliance</v>
      </c>
      <c r="CL63" s="69" t="str">
        <f>$BO$1&amp;$C7</f>
        <v>Old World Alliance</v>
      </c>
      <c r="CM63" s="69" t="str">
        <f>$BO$1&amp;$C8</f>
        <v>Old World Alliance</v>
      </c>
      <c r="CN63" s="69" t="str">
        <f>$BO$1&amp;$C9</f>
        <v>Old World Alliance</v>
      </c>
      <c r="CO63" s="69" t="str">
        <f>$BO$1&amp;$C10</f>
        <v>Old World Alliance</v>
      </c>
      <c r="CP63" s="69" t="str">
        <f>$BO$1&amp;$C11</f>
        <v>Old World Alliance</v>
      </c>
      <c r="CQ63" s="69" t="str">
        <f>$BO$1&amp;$C12</f>
        <v>Old World Alliance</v>
      </c>
      <c r="CR63" s="69" t="str">
        <f>$BO$1&amp;$C13</f>
        <v>Old World Alliance</v>
      </c>
      <c r="CS63" s="69" t="str">
        <f>$BO$1&amp;$C14</f>
        <v>Old World Alliance</v>
      </c>
      <c r="CT63" s="69" t="str">
        <f>$BO$1&amp;$C15</f>
        <v>Old World Alliance</v>
      </c>
      <c r="CU63" s="69" t="str">
        <f>$BO$1&amp;$C16</f>
        <v>Old World Alliance</v>
      </c>
      <c r="CV63" s="69" t="str">
        <f>$BO$1&amp;$C17</f>
        <v>Old World Alliance</v>
      </c>
      <c r="CW63" s="70"/>
      <c r="CX63" s="2"/>
      <c r="CY63" s="2"/>
      <c r="CZ63" s="2"/>
    </row>
    <row r="64" spans="2:104" ht="15" hidden="1" customHeight="1" x14ac:dyDescent="0.2">
      <c r="B64" s="126" t="s">
        <v>184</v>
      </c>
      <c r="C64" s="123"/>
      <c r="D64" s="123"/>
      <c r="E64" s="123"/>
      <c r="F64" s="123"/>
      <c r="G64" s="2"/>
      <c r="H64" s="2"/>
      <c r="I64" s="2"/>
      <c r="J64" s="2"/>
      <c r="K64" s="126" t="s">
        <v>185</v>
      </c>
      <c r="L64" s="123"/>
      <c r="M64" s="123"/>
      <c r="N64" s="123"/>
      <c r="O64" s="123"/>
      <c r="P64" s="2"/>
      <c r="Q64" s="126" t="s">
        <v>186</v>
      </c>
      <c r="R64" s="123"/>
      <c r="S64" s="123"/>
      <c r="T64" s="123"/>
      <c r="U64" s="123"/>
      <c r="V64" s="2"/>
      <c r="W64" s="126" t="s">
        <v>187</v>
      </c>
      <c r="X64" s="123"/>
      <c r="Y64" s="123"/>
      <c r="Z64" s="123"/>
      <c r="AA64" s="123"/>
      <c r="AB64" s="2"/>
      <c r="AC64" s="126" t="s">
        <v>188</v>
      </c>
      <c r="AD64" s="123"/>
      <c r="AE64" s="123"/>
      <c r="AF64" s="123"/>
      <c r="AG64" s="123"/>
      <c r="AH64" s="2"/>
      <c r="AI64" s="2"/>
      <c r="AJ64" s="2"/>
      <c r="AK64" s="126" t="s">
        <v>189</v>
      </c>
      <c r="AL64" s="123"/>
      <c r="AM64" s="123"/>
      <c r="AN64" s="123"/>
      <c r="AO64" s="123"/>
      <c r="AP64" s="1"/>
      <c r="AQ64" s="1"/>
      <c r="AR64" s="68" t="s">
        <v>190</v>
      </c>
      <c r="AS64" s="68"/>
      <c r="AT64" s="68"/>
      <c r="AU64" s="68"/>
      <c r="AV64" s="68"/>
      <c r="AW64" s="68"/>
      <c r="AX64" s="68" t="s">
        <v>191</v>
      </c>
      <c r="AY64" s="68" t="s">
        <v>192</v>
      </c>
      <c r="AZ64" s="68" t="s">
        <v>193</v>
      </c>
      <c r="BA64" s="68" t="s">
        <v>194</v>
      </c>
      <c r="BB64" s="68" t="s">
        <v>195</v>
      </c>
      <c r="BC64" s="2"/>
      <c r="BD64" s="71" t="s">
        <v>117</v>
      </c>
      <c r="BF64" s="2"/>
      <c r="BG64" s="2"/>
      <c r="BH64" s="71" t="s">
        <v>109</v>
      </c>
      <c r="BK64" s="2"/>
      <c r="BL64" s="71" t="s">
        <v>127</v>
      </c>
      <c r="BM64" s="2"/>
      <c r="BO64" s="71" t="s">
        <v>133</v>
      </c>
      <c r="BP64" s="2"/>
      <c r="BR64" s="71" t="s">
        <v>143</v>
      </c>
      <c r="BS64" s="11"/>
      <c r="BT64" s="2"/>
      <c r="BU64" s="3"/>
      <c r="BV64" s="3"/>
      <c r="BW64" s="2"/>
      <c r="BX64" s="2"/>
      <c r="BY64" s="2"/>
      <c r="BZ64" s="2"/>
      <c r="CA64" s="2"/>
      <c r="CB64" s="2"/>
      <c r="CC64" s="2"/>
      <c r="CD64" s="2">
        <v>0</v>
      </c>
      <c r="CE64" s="2"/>
      <c r="CF64" s="2"/>
      <c r="CG64" s="15" t="s">
        <v>196</v>
      </c>
      <c r="CH64" s="15" t="s">
        <v>197</v>
      </c>
      <c r="CI64" s="11" t="s">
        <v>198</v>
      </c>
      <c r="CJ64" s="11" t="s">
        <v>199</v>
      </c>
      <c r="CK64" s="11" t="s">
        <v>200</v>
      </c>
      <c r="CL64" s="11" t="s">
        <v>201</v>
      </c>
      <c r="CM64" s="11" t="s">
        <v>202</v>
      </c>
      <c r="CN64" s="11" t="s">
        <v>203</v>
      </c>
      <c r="CO64" s="11" t="s">
        <v>204</v>
      </c>
      <c r="CP64" s="11" t="s">
        <v>205</v>
      </c>
      <c r="CQ64" s="11" t="s">
        <v>206</v>
      </c>
      <c r="CR64" s="11" t="s">
        <v>207</v>
      </c>
      <c r="CS64" s="11" t="s">
        <v>208</v>
      </c>
      <c r="CT64" s="11" t="s">
        <v>209</v>
      </c>
      <c r="CU64" s="11" t="s">
        <v>210</v>
      </c>
      <c r="CV64" s="11" t="s">
        <v>211</v>
      </c>
      <c r="CW64" s="4"/>
      <c r="CX64" s="2"/>
      <c r="CY64" s="2"/>
      <c r="CZ64" s="2"/>
    </row>
    <row r="65" spans="2:104" ht="15" hidden="1" customHeight="1" x14ac:dyDescent="0.2">
      <c r="B65" s="122" t="str">
        <f>IF(((C35/1000)-J27-J28)&lt;0,(IF(J24="Italiano","AVETE SPESO TROPPO!   ",IF(J24="Español","¡HAS GASTADO DEMASIADO!   ",(IF(J24="Deutsch","ZU VIEL AUSGEGEBEN!   ",(IF(J24="Français","TU DÉPENSES TROP!   ","YOU HAVE EXPENT TOO MUCH!   "))))))),"")</f>
        <v/>
      </c>
      <c r="C65" s="123"/>
      <c r="D65" s="123"/>
      <c r="E65" s="123"/>
      <c r="F65" s="123"/>
      <c r="G65" s="2"/>
      <c r="H65" s="2"/>
      <c r="I65" s="2"/>
      <c r="J65" s="2"/>
      <c r="K65" s="5" t="s">
        <v>172</v>
      </c>
      <c r="L65" s="5" t="s">
        <v>176</v>
      </c>
      <c r="M65" s="5" t="s">
        <v>174</v>
      </c>
      <c r="N65" s="5" t="s">
        <v>175</v>
      </c>
      <c r="O65" s="5" t="s">
        <v>173</v>
      </c>
      <c r="P65" s="2"/>
      <c r="Q65" s="5" t="s">
        <v>172</v>
      </c>
      <c r="R65" s="5" t="s">
        <v>176</v>
      </c>
      <c r="S65" s="5" t="s">
        <v>174</v>
      </c>
      <c r="T65" s="5" t="s">
        <v>175</v>
      </c>
      <c r="U65" s="5" t="s">
        <v>173</v>
      </c>
      <c r="V65" s="2"/>
      <c r="W65" s="5" t="s">
        <v>172</v>
      </c>
      <c r="X65" s="5" t="s">
        <v>176</v>
      </c>
      <c r="Y65" s="5" t="s">
        <v>174</v>
      </c>
      <c r="Z65" s="5" t="s">
        <v>175</v>
      </c>
      <c r="AA65" s="5" t="s">
        <v>173</v>
      </c>
      <c r="AB65" s="2"/>
      <c r="AC65" s="5" t="s">
        <v>172</v>
      </c>
      <c r="AD65" s="5" t="s">
        <v>176</v>
      </c>
      <c r="AE65" s="5" t="s">
        <v>174</v>
      </c>
      <c r="AF65" s="5" t="s">
        <v>175</v>
      </c>
      <c r="AG65" s="5" t="s">
        <v>173</v>
      </c>
      <c r="AH65" s="2"/>
      <c r="AI65" s="2" t="str">
        <f>IF(J24="English","NI",(IF(J24="Español","LP",(IF(J24="Deutsch","HV",(IF(J24="Français","BP")))))))</f>
        <v>LP</v>
      </c>
      <c r="AJ65" s="2"/>
      <c r="AK65" s="5" t="s">
        <v>172</v>
      </c>
      <c r="AL65" s="5" t="s">
        <v>176</v>
      </c>
      <c r="AM65" s="5" t="s">
        <v>174</v>
      </c>
      <c r="AN65" s="5" t="s">
        <v>175</v>
      </c>
      <c r="AO65" s="5" t="s">
        <v>173</v>
      </c>
      <c r="AP65" s="1"/>
      <c r="AQ65" s="12" t="s">
        <v>165</v>
      </c>
      <c r="AR65" s="2">
        <v>0</v>
      </c>
      <c r="AS65" s="13" t="s">
        <v>165</v>
      </c>
      <c r="AU65" s="2"/>
      <c r="AV65" s="2"/>
      <c r="AW65" s="2"/>
      <c r="AX65" s="2">
        <f>COUNTIF(BS46:BT61,"P")</f>
        <v>0</v>
      </c>
      <c r="AY65" s="2">
        <f>COUNTIF(BS46:BT61,"S")</f>
        <v>0</v>
      </c>
      <c r="AZ65" s="2">
        <f>AX65+AY65</f>
        <v>0</v>
      </c>
      <c r="BA65" s="2">
        <f>COUNTIF(BS46:BX61,"STAT")</f>
        <v>0</v>
      </c>
      <c r="BB65" s="1">
        <f>(COUNTIF(I18:I20,1))-(COUNTIF(AN18:AO20,0))</f>
        <v>-3</v>
      </c>
      <c r="BC65" s="2"/>
      <c r="BD65" s="72" t="s">
        <v>212</v>
      </c>
      <c r="BE65" s="73">
        <v>100000</v>
      </c>
      <c r="BF65" s="73"/>
      <c r="BG65" s="2"/>
      <c r="BH65" s="74" t="str">
        <f>IF(J24="Español","HECHICERO-DEPORTIVO MERCENARIO",(IF(J24="Deutsch","SPORT-ZAUBERER",(IF(J24="Français","SORCIER-SPORTIF A GAGES","HIRELING SPORT-WIZARD")))))</f>
        <v>HECHICERO-DEPORTIVO MERCENARIO</v>
      </c>
      <c r="BI65" s="73">
        <v>150000</v>
      </c>
      <c r="BJ65" s="73"/>
      <c r="BK65" s="2"/>
      <c r="BL65" s="72" t="s">
        <v>1066</v>
      </c>
      <c r="BM65" s="73">
        <f>IFERROR(IF($BV$2="Bribery and Corruption",80000,120000),0)</f>
        <v>120000</v>
      </c>
      <c r="BN65" s="73"/>
      <c r="BO65" s="72" t="s">
        <v>1071</v>
      </c>
      <c r="BP65" s="73">
        <f>IFERROR((IF(OR(COUNTIF($BU$2,"*BadlandsBrawl*")),50000,0)),0)</f>
        <v>0</v>
      </c>
      <c r="BR65" s="72" t="s">
        <v>1079</v>
      </c>
      <c r="BS65" s="125" t="s">
        <v>213</v>
      </c>
      <c r="BT65" s="125"/>
      <c r="BU65" s="125" t="s">
        <v>170</v>
      </c>
      <c r="BV65" s="125"/>
      <c r="BW65" s="125" t="s">
        <v>171</v>
      </c>
      <c r="BX65" s="125"/>
      <c r="BY65" s="125" t="s">
        <v>214</v>
      </c>
      <c r="BZ65" s="125"/>
      <c r="CA65" s="21" t="str">
        <f>IF($J$24="Italiano","Scelto",(IF($J$24="Español","Elegida",(IF($J$24="Deutsch","Gewählt",(IF($J$24="Français","Choisie","Chosen")))))))</f>
        <v>Elegida</v>
      </c>
      <c r="CB65" s="2"/>
      <c r="CC65" s="2" t="str">
        <f>IF($J$24="Español","MO+",(IF($J$24="Deutsch","BE+",(IF($J$24="Français","M+","MA+")))))</f>
        <v>MO+</v>
      </c>
      <c r="CD65" s="2" t="s">
        <v>172</v>
      </c>
      <c r="CE65" s="2"/>
      <c r="CF65" s="2"/>
      <c r="CG65" s="2" t="str">
        <f>IFERROR((IF($CG$62="M",BW66,IF($CG$62="PM",BY66,IF($CG$62="P",BU66,IF($CG$62="FULL",BS66,IF($CG$62="GPSM",CA70,"")))))),"")</f>
        <v/>
      </c>
      <c r="CH65" s="2" t="str">
        <f>IFERROR((IF($CH$62="M",BW66,IF($CH$62="PM",BY66,IF($CH$62="P",BU66,IF($CH$62="FULL",BS66,IF($CH$62="GPSM",CA70,"")))))),"")</f>
        <v/>
      </c>
      <c r="CI65" s="2" t="str">
        <f>IFERROR((IF($CI$62="M",BW66,IF($CI$62="PM",BY66,IF($CI$62="P",BU66,IF($CI$62="FULL",BS66,IF($CI$62="GPSM",CA70,"")))))),"")</f>
        <v/>
      </c>
      <c r="CJ65" s="2" t="str">
        <f>IFERROR((IF($CJ$62="M",BW66,IF($CJ$62="PM",BY66,IF($CJ$62="P",BU66,IF($CJ$62="FULL",BS66,IF($CJ$62="GPSM",CA70,"")))))),"")</f>
        <v/>
      </c>
      <c r="CK65" s="2" t="str">
        <f>IFERROR((IF($CK$62="M",BW66,IF($CK$62="PM",BY66,IF($CK$62="P",BU66,IF($CK$62="FULL",BS66,IF($CK$62="GPSM",CA70,"")))))),"")</f>
        <v/>
      </c>
      <c r="CL65" s="2" t="str">
        <f>IFERROR((IF($CL$62="M",BW66,IF($CL$62="PM",BY66,IF($CL$62="P",BU66,IF($CL$62="FULL",BS66,IF($CL$62="GPSM",CA70,"")))))),"")</f>
        <v/>
      </c>
      <c r="CM65" s="2" t="str">
        <f>IFERROR((IF($CM$62="M",BW66,IF($CM$62="PM",BY66,IF($CM$62="P",BU66,IF($CM$62="FULL",BS66,IF($CM$62="GPSM",CA70,"")))))),"")</f>
        <v/>
      </c>
      <c r="CN65" s="2" t="str">
        <f>IFERROR((IF($CN$62="M",BW66,IF($CN$62="PM",BY66,IF($CN$62="P",BU66,IF($CN$62="FULL",BS66,IF($CN$62="GPSM",CA70,"")))))),"")</f>
        <v/>
      </c>
      <c r="CO65" s="2" t="str">
        <f>IFERROR((IF($CO$62="M",BW66,IF($CO$62="PM",BY66,IF($CO$62="P",BU66,IF($CO$62="FULL",BS66,IF($CO$62="GPSM",CA70,"")))))),"")</f>
        <v/>
      </c>
      <c r="CP65" s="2" t="str">
        <f>IFERROR((IF($CP$62="M",BW66,IF($CP$62="PM",BY66,IF($CP$62="P",BU66,IF($CP$62="FULL",BS66,IF($CP$62="GPSM",CA70,"")))))),"")</f>
        <v/>
      </c>
      <c r="CQ65" s="2" t="str">
        <f>IFERROR((IF($CQ$62="M",BW66,IF($CQ$62="PM",BY66,IF($CQ$62="P",BU66,IF($CQ$62="FULL",BS66,IF($CQ$62="GPSM",CA70,"")))))),"")</f>
        <v/>
      </c>
      <c r="CR65" s="2" t="str">
        <f>IFERROR((IF($CR$62="M",BW66,IF($CR$62="PM",BY66,IF($CR$62="P",BU66,IF($CR$62="FULL",BS66,IF($CR$62="GPSM",CA70,"")))))),"")</f>
        <v/>
      </c>
      <c r="CS65" s="2" t="str">
        <f>IFERROR((IF($CS$62="M",BW66,IF($CS$62="PM",BY66,IF($CS$62="P",BU66,IF($CS$62="FULL",BS66,IF($CS$62="GPSM",CA70,"")))))),"")</f>
        <v/>
      </c>
      <c r="CT65" s="2" t="str">
        <f>IFERROR((IF($CT$62="M",BW66,IF($CT$62="PM",BY66,IF($CT$62="P",BU66,IF($CT$62="FULL",BS66,IF($CT$62="GPSM",CA70,"")))))),"")</f>
        <v/>
      </c>
      <c r="CU65" s="2" t="str">
        <f>IFERROR((IF($CU$62="M",BW66,IF($CU$62="PM",BY66,IF($CU$62="P",BU66,IF($CU$62="FULL",BS66,IF($CU$62="GPSM",CA70,"")))))),"")</f>
        <v/>
      </c>
      <c r="CV65" s="2" t="str">
        <f>IFERROR((IF($CV$62="M",BW66,IF($CV$62="PM",BY66,IF($CV$62="P",BU66,IF($CV$62="FULL",BS66,IF($CV$62="GPSM",CA70,"")))))),"")</f>
        <v/>
      </c>
      <c r="CW65" s="2"/>
      <c r="CX65" s="2"/>
      <c r="CY65" s="2"/>
      <c r="CZ65" s="2"/>
    </row>
    <row r="66" spans="2:104" ht="15" hidden="1" customHeight="1" x14ac:dyDescent="0.2">
      <c r="B66" s="122" t="str">
        <f>IF(K35&lt;BB65,(IF(J24="Italiano","TROPPI GIOCATORI DI STELLE!   ",IF(J24="Español","¡DEMASIADOS JUGADORES ESTRELLA!   ",(IF(J24="Deutsch","ZU VIELE STARSPIELER!   ",(IF(J24="Français","TROP DE STARS PLAYERS!   ","TOO MANY STAR PLAYERS!   "))))))),"")</f>
        <v/>
      </c>
      <c r="C66" s="123"/>
      <c r="D66" s="123"/>
      <c r="E66" s="123"/>
      <c r="F66" s="123"/>
      <c r="G66" s="2"/>
      <c r="H66" s="2"/>
      <c r="I66" s="2"/>
      <c r="J66" s="2"/>
      <c r="K66" s="2">
        <f t="shared" ref="K66:K81" si="56">IF(Q66=0,0,(IF(Q66&gt;9,9,(IF(Q66&lt;1,1,Q66)))))</f>
        <v>0</v>
      </c>
      <c r="L66" s="2">
        <f t="shared" ref="L66:L81" si="57">IF(R66=0,0,(IF(R66&gt;8,8,(IF(R66&lt;1,1,R66)))))</f>
        <v>0</v>
      </c>
      <c r="M66" s="2">
        <f t="shared" ref="M66:N81" si="58">IF(S66=0,0,(IF(S66&gt;6,6,(IF(S66&lt;1,1,S66)))))</f>
        <v>0</v>
      </c>
      <c r="N66" s="2">
        <f t="shared" si="58"/>
        <v>0</v>
      </c>
      <c r="O66" s="2">
        <f t="shared" ref="O66:O81" si="59">IF(U66=0,0,(IF(U66&gt;11,11,(IF(U66&lt;3,3,U66)))))</f>
        <v>0</v>
      </c>
      <c r="P66" s="2"/>
      <c r="Q66" s="1">
        <f>IFERROR((VLOOKUP($BO$1&amp;C2,TeamsProtajer!D:M,2,0)+AK66+AC66),0)</f>
        <v>0</v>
      </c>
      <c r="R66" s="1">
        <f>IFERROR((VLOOKUP($BO$1&amp;C2,TeamsProtajer!D:M,3,0)+AL66+AD66),0)</f>
        <v>0</v>
      </c>
      <c r="S66" s="1">
        <f>IFERROR((VLOOKUP($BO$1&amp;C2,TeamsProtajer!D:M,4,0)+AM66-AE66),0)</f>
        <v>0</v>
      </c>
      <c r="T66" s="1">
        <f>IFERROR((VLOOKUP($BO$1&amp;C2,TeamsProtajer!D:M,5,0)+AN66-AF66),0)</f>
        <v>0</v>
      </c>
      <c r="U66" s="1">
        <f>IFERROR((VLOOKUP($BO$1&amp;C2,TeamsProtajer!D:M,6,0)+AO66+AG66),0)</f>
        <v>0</v>
      </c>
      <c r="V66" s="2"/>
      <c r="W66" s="2">
        <f>IFERROR((VLOOKUP($BO$1&amp;C2,TeamsProtajer!D:M,2,0)),0)</f>
        <v>0</v>
      </c>
      <c r="X66" s="2">
        <f>IFERROR((VLOOKUP($BO$1&amp;C2,TeamsProtajer!D:M,3,0)),0)</f>
        <v>0</v>
      </c>
      <c r="Y66" s="2">
        <f>IFERROR((VLOOKUP($BO$1&amp;C2,TeamsProtajer!D:M,4,0)),0)</f>
        <v>0</v>
      </c>
      <c r="Z66" s="2">
        <f>IFERROR((VLOOKUP($BO$1&amp;C2,TeamsProtajer!D:M,5,0)),0)</f>
        <v>0</v>
      </c>
      <c r="AA66" s="2">
        <f>IFERROR((VLOOKUP($BO$1&amp;C2,TeamsProtajer!D:M,6,0)),0)</f>
        <v>0</v>
      </c>
      <c r="AB66" s="2"/>
      <c r="AC66" s="2">
        <f t="shared" ref="AC66:AC81" si="60">IF((COUNTIF(BK46:BP46,"MA"))&gt;2,2,(COUNTIF(BK46:BP46,"MA")))</f>
        <v>0</v>
      </c>
      <c r="AD66" s="2">
        <f t="shared" ref="AD66:AD81" si="61">IF((COUNTIF(BK46:BP46,"ST"))&gt;2,2,(COUNTIF(BK46:BP46,"ST")))</f>
        <v>0</v>
      </c>
      <c r="AE66" s="2">
        <f t="shared" ref="AE66:AE81" si="62">IF((COUNTIF(BK46:BP46,"AG"))&gt;2,2,(COUNTIF(BK46:BP46,"AG")))</f>
        <v>0</v>
      </c>
      <c r="AF66" s="2">
        <f t="shared" ref="AF66:AF81" si="63">IF((COUNTIF(BK46:BP46,"PA"))&gt;2,2,(COUNTIF(BK46:BP46,"PA")))</f>
        <v>0</v>
      </c>
      <c r="AG66" s="2">
        <f t="shared" ref="AG66:AG81" si="64">IF((COUNTIF(BK46:BP46,"AV"))&gt;2,2,(COUNTIF(BK46:BP46,"AV")))</f>
        <v>0</v>
      </c>
      <c r="AH66" s="2"/>
      <c r="AJ66" s="2"/>
      <c r="AK66" s="1">
        <f t="shared" ref="AK66:AK81" si="65">IF(OR(AG2="-1 MO",AG2="-1 MA",AG2="-1 BE",AG2="-1 M"),-1,(IF(OR(AG2="-2 MO",AG2="-2 MA",AG2="-2 BE",AG2="-2 M"),-2,0)))</f>
        <v>0</v>
      </c>
      <c r="AL66" s="1">
        <f t="shared" ref="AL66:AL81" si="66">IF(OR(AG2="-1 ST",AG2="-1 FU",AG2="-1 F"),-1,(IF(OR(AG2="-2 ST",AG2="-2 FU",AG2="-2 F"),-2,0)))</f>
        <v>0</v>
      </c>
      <c r="AM66" s="1">
        <f t="shared" ref="AM66:AM81" si="67">IF(OR(AG2="1 AG",AG2="1 GE"),1,(IF(OR(AG2="2 AG",AG2="2 GE"),2,0)))</f>
        <v>0</v>
      </c>
      <c r="AN66" s="1">
        <f t="shared" ref="AN66:AN81" si="68">IF(OR(AG2="1 PA",AG2="1 WG",AG2="1 CP"),1,(IF(OR(AG2="2 PA",AG2="2 WG",AG2="2 CP"),2,0)))</f>
        <v>0</v>
      </c>
      <c r="AO66" s="1">
        <f t="shared" ref="AO66:AO81" si="69">IF(OR(AG2="-1 AV",AG2="-1 AR",AG2="-1 RW"),-1,(IF(OR(AG2="-2 AV",AG2="-2 AR",AG2="-2 RW"),-2,0)))</f>
        <v>0</v>
      </c>
      <c r="AP66" s="1"/>
      <c r="AQ66" s="12">
        <v>1</v>
      </c>
      <c r="AR66" s="12">
        <v>600000</v>
      </c>
      <c r="AS66" s="12">
        <v>10000</v>
      </c>
      <c r="AT66" s="76" t="str">
        <f>IF(J24="English","-1 MA",(IF(J24="Español","-1 MO",(IF(J24="Deutsch","-1 BE",(IF(J24="Français","-1 M")))))))</f>
        <v>-1 MO</v>
      </c>
      <c r="AU66" s="1"/>
      <c r="AV66" s="1"/>
      <c r="AW66" s="1"/>
      <c r="AX66" s="68"/>
      <c r="AY66" s="2"/>
      <c r="AZ66" s="2"/>
      <c r="BA66" s="2"/>
      <c r="BB66" s="2"/>
      <c r="BC66" s="73"/>
      <c r="BD66" s="72" t="s">
        <v>1047</v>
      </c>
      <c r="BE66" s="73">
        <f>IFERROR((IF(OR(COUNTIF($BU$2,"*ElvenKingdomsLeague*"),COUNTIF($BU$2,"*LustrianSuperleague*"),COUNTIF($BU$2,"*OldWorldClassic*"),COUNTIF($BU$2,"*WorldsEdgeSuperleague*")),50000,0)),0)</f>
        <v>50000</v>
      </c>
      <c r="BF66" s="73"/>
      <c r="BH66" s="72" t="s">
        <v>1056</v>
      </c>
      <c r="BI66" s="73">
        <f>IFERROR((IF(OR(COUNTIF($BU$2,"*Favouredof*"),COUNTIF($BU$2,"*UnderworldChallenge*")),150000,0)),0)</f>
        <v>0</v>
      </c>
      <c r="BJ66" s="73"/>
      <c r="BK66" s="2"/>
      <c r="BL66" s="72" t="s">
        <v>1067</v>
      </c>
      <c r="BM66" s="73">
        <f>IFERROR((IF(OR(COUNTIF($BU$2,"*LustrianSuperleague*"),COUNTIF($BU$2,"*OldWorldClassic*")),130000,0)),0)</f>
        <v>130000</v>
      </c>
      <c r="BN66" s="73"/>
      <c r="BO66" s="72" t="s">
        <v>1072</v>
      </c>
      <c r="BP66" s="73">
        <f>IFERROR((IF(OR(COUNTIF(BO2,"*Nurgle*")),30000,0)),0)</f>
        <v>0</v>
      </c>
      <c r="BR66" s="72" t="s">
        <v>1080</v>
      </c>
      <c r="BS66" s="21" t="str">
        <f t="shared" ref="BS66:CB70" si="70">""</f>
        <v/>
      </c>
      <c r="BT66" s="21" t="str">
        <f t="shared" si="70"/>
        <v/>
      </c>
      <c r="BU66" s="21" t="str">
        <f t="shared" si="70"/>
        <v/>
      </c>
      <c r="BV66" s="21" t="str">
        <f t="shared" si="70"/>
        <v/>
      </c>
      <c r="BW66" s="21" t="str">
        <f t="shared" si="70"/>
        <v/>
      </c>
      <c r="BX66" s="21" t="str">
        <f t="shared" si="70"/>
        <v/>
      </c>
      <c r="BY66" s="21" t="str">
        <f t="shared" si="70"/>
        <v/>
      </c>
      <c r="BZ66" s="21" t="str">
        <f t="shared" si="70"/>
        <v/>
      </c>
      <c r="CA66" s="21" t="str">
        <f>IF($J$24="Italiano","Casuale",(IF($J$24="Español","Aleatoria",(IF($J$24="Deutsch","Zufällig",(IF($J$24="Français","Aléatoire","Random")))))))</f>
        <v>Aleatoria</v>
      </c>
      <c r="CB66" s="2"/>
      <c r="CC66" s="2" t="str">
        <f>IF($J$24="Español","AR+",(IF($J$24="Deutsch","RW+",(IF($J$24="Français","AR+","AV+")))))</f>
        <v>AR+</v>
      </c>
      <c r="CD66" s="2" t="s">
        <v>173</v>
      </c>
      <c r="CE66" s="2"/>
      <c r="CF66" s="2"/>
      <c r="CG66" s="2" t="str">
        <f t="shared" ref="CG66:CG129" si="71">IFERROR((IF($CG$62="M",BW67,IF($CG$62="PM",BY67,IF($CG$62="P",BU67,IF($CG$62="FULL",BS67,IF($CG$62="GPSM",CA71,"")))))),"")</f>
        <v/>
      </c>
      <c r="CH66" s="2" t="str">
        <f t="shared" ref="CH66:CH129" si="72">IFERROR((IF($CH$62="M",BW67,IF($CH$62="PM",BY67,IF($CH$62="P",BU67,IF($CH$62="FULL",BS67,IF($CH$62="GPSM",CA71,"")))))),"")</f>
        <v/>
      </c>
      <c r="CI66" s="2" t="str">
        <f t="shared" ref="CI66:CI129" si="73">IFERROR((IF($CI$62="M",BW67,IF($CI$62="PM",BY67,IF($CI$62="P",BU67,IF($CI$62="FULL",BS67,IF($CI$62="GPSM",CA71,"")))))),"")</f>
        <v/>
      </c>
      <c r="CJ66" s="2" t="str">
        <f t="shared" ref="CJ66:CJ129" si="74">IFERROR((IF($CJ$62="M",BW67,IF($CJ$62="PM",BY67,IF($CJ$62="P",BU67,IF($CJ$62="FULL",BS67,IF($CJ$62="GPSM",CA71,"")))))),"")</f>
        <v/>
      </c>
      <c r="CK66" s="2" t="str">
        <f t="shared" ref="CK66:CK129" si="75">IFERROR((IF($CK$62="M",BW67,IF($CK$62="PM",BY67,IF($CK$62="P",BU67,IF($CK$62="FULL",BS67,IF($CK$62="GPSM",CA71,"")))))),"")</f>
        <v/>
      </c>
      <c r="CL66" s="2" t="str">
        <f t="shared" ref="CL66:CL129" si="76">IFERROR((IF($CL$62="M",BW67,IF($CL$62="PM",BY67,IF($CL$62="P",BU67,IF($CL$62="FULL",BS67,IF($CL$62="GPSM",CA71,"")))))),"")</f>
        <v/>
      </c>
      <c r="CM66" s="2" t="str">
        <f t="shared" ref="CM66:CM129" si="77">IFERROR((IF($CM$62="M",BW67,IF($CM$62="PM",BY67,IF($CM$62="P",BU67,IF($CM$62="FULL",BS67,IF($CM$62="GPSM",CA71,"")))))),"")</f>
        <v/>
      </c>
      <c r="CN66" s="2" t="str">
        <f t="shared" ref="CN66:CN129" si="78">IFERROR((IF($CN$62="M",BW67,IF($CN$62="PM",BY67,IF($CN$62="P",BU67,IF($CN$62="FULL",BS67,IF($CN$62="GPSM",CA71,"")))))),"")</f>
        <v/>
      </c>
      <c r="CO66" s="2" t="str">
        <f t="shared" ref="CO66:CO129" si="79">IFERROR((IF($CO$62="M",BW67,IF($CO$62="PM",BY67,IF($CO$62="P",BU67,IF($CO$62="FULL",BS67,IF($CO$62="GPSM",CA71,"")))))),"")</f>
        <v/>
      </c>
      <c r="CP66" s="2" t="str">
        <f t="shared" ref="CP66:CP129" si="80">IFERROR((IF($CP$62="M",BW67,IF($CP$62="PM",BY67,IF($CP$62="P",BU67,IF($CP$62="FULL",BS67,IF($CP$62="GPSM",CA71,"")))))),"")</f>
        <v/>
      </c>
      <c r="CQ66" s="2" t="str">
        <f t="shared" ref="CQ66:CQ129" si="81">IFERROR((IF($CQ$62="M",BW67,IF($CQ$62="PM",BY67,IF($CQ$62="P",BU67,IF($CQ$62="FULL",BS67,IF($CQ$62="GPSM",CA71,"")))))),"")</f>
        <v/>
      </c>
      <c r="CR66" s="2" t="str">
        <f t="shared" ref="CR66:CR129" si="82">IFERROR((IF($CR$62="M",BW67,IF($CR$62="PM",BY67,IF($CR$62="P",BU67,IF($CR$62="FULL",BS67,IF($CR$62="GPSM",CA71,"")))))),"")</f>
        <v/>
      </c>
      <c r="CS66" s="2" t="str">
        <f t="shared" ref="CS66:CS129" si="83">IFERROR((IF($CS$62="M",BW67,IF($CS$62="PM",BY67,IF($CS$62="P",BU67,IF($CS$62="FULL",BS67,IF($CS$62="GPSM",CA71,"")))))),"")</f>
        <v/>
      </c>
      <c r="CT66" s="2" t="str">
        <f t="shared" ref="CT66:CT129" si="84">IFERROR((IF($CT$62="M",BW67,IF($CT$62="PM",BY67,IF($CT$62="P",BU67,IF($CT$62="FULL",BS67,IF($CT$62="GPSM",CA71,"")))))),"")</f>
        <v/>
      </c>
      <c r="CU66" s="2" t="str">
        <f t="shared" ref="CU66:CU129" si="85">IFERROR((IF($CU$62="M",BW67,IF($CU$62="PM",BY67,IF($CU$62="P",BU67,IF($CU$62="FULL",BS67,IF($CU$62="GPSM",CA71,"")))))),"")</f>
        <v/>
      </c>
      <c r="CV66" s="2" t="str">
        <f t="shared" ref="CV66:CV129" si="86">IFERROR((IF($CV$62="M",BW67,IF($CV$62="PM",BY67,IF($CV$62="P",BU67,IF($CV$62="FULL",BS67,IF($CV$62="GPSM",CA71,"")))))),"")</f>
        <v/>
      </c>
      <c r="CW66" s="2"/>
      <c r="CX66" s="2"/>
      <c r="CY66" s="2"/>
      <c r="CZ66" s="2"/>
    </row>
    <row r="67" spans="2:104" ht="15" hidden="1" customHeight="1" x14ac:dyDescent="0.2">
      <c r="B67" s="122" t="str">
        <f>IF(AJ37&lt;CN44,(IF(J24="Italiano","AVETE SPESO TROPPO IN ABILITÀ E ATTRIBUTI!   ",IF(J24="Español","¡HAS GASTADO DEMASIADO EN HABILIDADES Y ATRIBUTOS!   ",(IF(J24="Deutsch","SIE HABEN ZU VIEL FÜR FÄHIGKEITEN UND EIGENSCHAFTEN AUSGEGEBEN!   ",(IF(J24="Français","VOUS AVEZ TROP DÉPENSÉ EN COMPÉTENCES ET ATTRIBUTS!   ","YOU HAVE SPENT TOO MUCH ON SKILLS AND ATTRIBUTES!   "))))))),"")</f>
        <v/>
      </c>
      <c r="C67" s="123"/>
      <c r="D67" s="123"/>
      <c r="E67" s="123"/>
      <c r="F67" s="123"/>
      <c r="G67" s="2"/>
      <c r="H67" s="2"/>
      <c r="I67" s="2"/>
      <c r="J67" s="2"/>
      <c r="K67" s="2">
        <f t="shared" si="56"/>
        <v>0</v>
      </c>
      <c r="L67" s="2">
        <f t="shared" si="57"/>
        <v>0</v>
      </c>
      <c r="M67" s="2">
        <f t="shared" si="58"/>
        <v>0</v>
      </c>
      <c r="N67" s="2">
        <f t="shared" si="58"/>
        <v>0</v>
      </c>
      <c r="O67" s="2">
        <f t="shared" si="59"/>
        <v>0</v>
      </c>
      <c r="P67" s="2"/>
      <c r="Q67" s="1">
        <f>IFERROR((VLOOKUP($BO$1&amp;C3,TeamsProtajer!D:M,2,0)+AK67+AC67),0)</f>
        <v>0</v>
      </c>
      <c r="R67" s="1">
        <f>IFERROR((VLOOKUP($BO$1&amp;C3,TeamsProtajer!D:M,3,0)+AL67+AD67),0)</f>
        <v>0</v>
      </c>
      <c r="S67" s="1">
        <f>IFERROR((VLOOKUP($BO$1&amp;C3,TeamsProtajer!D:M,4,0)+AM67-AE67),0)</f>
        <v>0</v>
      </c>
      <c r="T67" s="1">
        <f>IFERROR((VLOOKUP($BO$1&amp;C3,TeamsProtajer!D:M,5,0)+AN67-AF67),0)</f>
        <v>0</v>
      </c>
      <c r="U67" s="1">
        <f>IFERROR((VLOOKUP($BO$1&amp;C3,TeamsProtajer!D:M,6,0)+AO67+AG67),0)</f>
        <v>0</v>
      </c>
      <c r="V67" s="2"/>
      <c r="W67" s="2">
        <f>IFERROR((VLOOKUP($BO$1&amp;C3,TeamsProtajer!D:M,2,0)),0)</f>
        <v>0</v>
      </c>
      <c r="X67" s="2">
        <f>IFERROR((VLOOKUP($BO$1&amp;C3,TeamsProtajer!D:M,3,0)),0)</f>
        <v>0</v>
      </c>
      <c r="Y67" s="2">
        <f>IFERROR((VLOOKUP($BO$1&amp;C3,TeamsProtajer!D:M,4,0)),0)</f>
        <v>0</v>
      </c>
      <c r="Z67" s="2">
        <f>IFERROR((VLOOKUP($BO$1&amp;C3,TeamsProtajer!D:M,5,0)),0)</f>
        <v>0</v>
      </c>
      <c r="AA67" s="2">
        <f>IFERROR((VLOOKUP($BO$1&amp;C3,TeamsProtajer!D:M,6,0)),0)</f>
        <v>0</v>
      </c>
      <c r="AB67" s="2"/>
      <c r="AC67" s="2">
        <f t="shared" si="60"/>
        <v>0</v>
      </c>
      <c r="AD67" s="2">
        <f t="shared" si="61"/>
        <v>0</v>
      </c>
      <c r="AE67" s="2">
        <f t="shared" si="62"/>
        <v>0</v>
      </c>
      <c r="AF67" s="2">
        <f t="shared" si="63"/>
        <v>0</v>
      </c>
      <c r="AG67" s="2">
        <f t="shared" si="64"/>
        <v>0</v>
      </c>
      <c r="AH67" s="2"/>
      <c r="AI67" s="2">
        <v>0</v>
      </c>
      <c r="AJ67" s="2"/>
      <c r="AK67" s="1">
        <f t="shared" si="65"/>
        <v>0</v>
      </c>
      <c r="AL67" s="1">
        <f t="shared" si="66"/>
        <v>0</v>
      </c>
      <c r="AM67" s="1">
        <f t="shared" si="67"/>
        <v>0</v>
      </c>
      <c r="AN67" s="1">
        <f t="shared" si="68"/>
        <v>0</v>
      </c>
      <c r="AO67" s="1">
        <f t="shared" si="69"/>
        <v>0</v>
      </c>
      <c r="AP67" s="2"/>
      <c r="AQ67" s="13">
        <v>2</v>
      </c>
      <c r="AR67" s="12">
        <v>605000</v>
      </c>
      <c r="AS67" s="12">
        <v>20000</v>
      </c>
      <c r="AT67" s="76" t="str">
        <f>IF(J24="English","-2 MA",(IF(J24="Español","-2 MO",(IF(J24="Deutsch","-2 BE",(IF(J24="Français","-2 M")))))))</f>
        <v>-2 MO</v>
      </c>
      <c r="AU67" s="1"/>
      <c r="AV67" s="1"/>
      <c r="AW67" s="1"/>
      <c r="AX67" s="77" t="s">
        <v>165</v>
      </c>
      <c r="AY67" s="78">
        <v>0</v>
      </c>
      <c r="AZ67" s="2"/>
      <c r="BA67" s="2" t="s">
        <v>116</v>
      </c>
      <c r="BB67" s="2"/>
      <c r="BC67" s="2"/>
      <c r="BD67" s="72" t="s">
        <v>1048</v>
      </c>
      <c r="BE67" s="73">
        <f>IFERROR((IF(OR(COUNTIF($BU$2,"*Favouredof*"),COUNTIF($BU$2,"*UnderworldChallenge*")),80000,0)),0)</f>
        <v>0</v>
      </c>
      <c r="BH67" s="72" t="s">
        <v>1057</v>
      </c>
      <c r="BI67" s="73">
        <f>IFERROR((IF(OR(COUNTIF($BU$2,"*Favouredof*"),COUNTIF($BU$2,"*ElvenKingdomsLeague*")),150000,0)),0)</f>
        <v>0</v>
      </c>
      <c r="BK67" s="2"/>
      <c r="BL67" s="72" t="s">
        <v>1068</v>
      </c>
      <c r="BM67" s="73">
        <f>IFERROR((IF(OR(COUNTIF($BU$2,"*WorldsEdgeSuperleague*")),120000,0)),0)</f>
        <v>0</v>
      </c>
      <c r="BN67" s="2"/>
      <c r="BO67" s="72" t="s">
        <v>1073</v>
      </c>
      <c r="BP67" s="73">
        <f>IFERROR((IF(OR(COUNTIF($BU$2,"*OldWorldClassic*"),COUNTIF($BU$2,"*WorldsEdgeSuperleague*")),50000,0)),0)</f>
        <v>50000</v>
      </c>
      <c r="BR67" s="72" t="s">
        <v>1081</v>
      </c>
      <c r="BS67" s="2" t="str">
        <f>IF($J$24="Español","MO+",(IF($J$24="Deutsch","BE+",(IF($J$24="Français","M+","MA+")))))</f>
        <v>MO+</v>
      </c>
      <c r="BT67" s="2" t="s">
        <v>172</v>
      </c>
      <c r="BU67" s="2" t="str">
        <f>IF($J$24="Español","MO+",(IF($J$24="Deutsch","BE+",(IF($J$24="Français","M+","MA+")))))</f>
        <v>MO+</v>
      </c>
      <c r="BV67" s="2" t="s">
        <v>172</v>
      </c>
      <c r="BW67" s="2" t="str">
        <f>IF($J$24="Español","MO+",(IF($J$24="Deutsch","BE+",(IF($J$24="Français","M+","MA+")))))</f>
        <v>MO+</v>
      </c>
      <c r="BX67" s="2" t="s">
        <v>172</v>
      </c>
      <c r="BY67" s="2" t="str">
        <f>IF($J$24="Español","MO+",(IF($J$24="Deutsch","BE+",(IF($J$24="Français","M+","MA+")))))</f>
        <v>MO+</v>
      </c>
      <c r="BZ67" s="2" t="s">
        <v>172</v>
      </c>
      <c r="CA67" s="2"/>
      <c r="CB67" s="2"/>
      <c r="CC67" s="2" t="str">
        <f>IF($J$24="Deutsch","GE-","AG-")</f>
        <v>AG-</v>
      </c>
      <c r="CD67" s="2" t="s">
        <v>174</v>
      </c>
      <c r="CE67" s="2"/>
      <c r="CF67" s="2"/>
      <c r="CG67" s="2" t="str">
        <f t="shared" si="71"/>
        <v/>
      </c>
      <c r="CH67" s="2" t="str">
        <f t="shared" si="72"/>
        <v/>
      </c>
      <c r="CI67" s="2" t="str">
        <f t="shared" si="73"/>
        <v/>
      </c>
      <c r="CJ67" s="2" t="str">
        <f t="shared" si="74"/>
        <v/>
      </c>
      <c r="CK67" s="2" t="str">
        <f t="shared" si="75"/>
        <v/>
      </c>
      <c r="CL67" s="2" t="str">
        <f t="shared" si="76"/>
        <v/>
      </c>
      <c r="CM67" s="2" t="str">
        <f t="shared" si="77"/>
        <v/>
      </c>
      <c r="CN67" s="2" t="str">
        <f t="shared" si="78"/>
        <v/>
      </c>
      <c r="CO67" s="2" t="str">
        <f t="shared" si="79"/>
        <v/>
      </c>
      <c r="CP67" s="2" t="str">
        <f t="shared" si="80"/>
        <v/>
      </c>
      <c r="CQ67" s="2" t="str">
        <f t="shared" si="81"/>
        <v/>
      </c>
      <c r="CR67" s="2" t="str">
        <f t="shared" si="82"/>
        <v/>
      </c>
      <c r="CS67" s="2" t="str">
        <f t="shared" si="83"/>
        <v/>
      </c>
      <c r="CT67" s="2" t="str">
        <f t="shared" si="84"/>
        <v/>
      </c>
      <c r="CU67" s="2" t="str">
        <f t="shared" si="85"/>
        <v/>
      </c>
      <c r="CV67" s="2" t="str">
        <f t="shared" si="86"/>
        <v/>
      </c>
      <c r="CW67" s="2"/>
      <c r="CX67" s="2"/>
      <c r="CY67" s="2"/>
      <c r="CZ67" s="2"/>
    </row>
    <row r="68" spans="2:104" ht="15" hidden="1" customHeight="1" x14ac:dyDescent="0.2">
      <c r="B68" s="122" t="str">
        <f>IF(CM44&gt;0,(IF(J24="Italiano","AVETE SPESO TROPPO IN ABILITÀ E ATTRIBUTI PER UN SOLO GIOCATORE!   ",IF(J24="Español","¡HAS GASTADO DEMASIADO EN HABILIDADES Y ATRIBUTOS EN UN SOLO JUGADOR!   ",(IF(J24="Deutsch","SIE HABEN ZU VIEL FÜR FÄHIGKEITEN UND ATTRIBUTE EINES SPIELERS AUSGEGEBEN!   ",(IF(J24="Français","VOUS AVEZ TROP DÉPENSÉ POUR LES COMPÉTENCES ET LES ATTRIBUTS D'UN SEUL JOUEUR!   ","YOU HAVE SPENT TOO MUCH ON SKILLS AND ATTRIBUTES IN ONE PLAYER!   "))))))),"")</f>
        <v/>
      </c>
      <c r="C68" s="123"/>
      <c r="D68" s="123"/>
      <c r="E68" s="123"/>
      <c r="F68" s="123"/>
      <c r="G68" s="2"/>
      <c r="H68" s="2"/>
      <c r="I68" s="2"/>
      <c r="J68" s="2"/>
      <c r="K68" s="2">
        <f t="shared" si="56"/>
        <v>0</v>
      </c>
      <c r="L68" s="2">
        <f t="shared" si="57"/>
        <v>0</v>
      </c>
      <c r="M68" s="2">
        <f t="shared" si="58"/>
        <v>0</v>
      </c>
      <c r="N68" s="2">
        <f t="shared" si="58"/>
        <v>0</v>
      </c>
      <c r="O68" s="2">
        <f t="shared" si="59"/>
        <v>0</v>
      </c>
      <c r="P68" s="2"/>
      <c r="Q68" s="1">
        <f>IFERROR((VLOOKUP($BO$1&amp;C4,TeamsProtajer!D:M,2,0)+AK68+AC68),0)</f>
        <v>0</v>
      </c>
      <c r="R68" s="1">
        <f>IFERROR((VLOOKUP($BO$1&amp;C4,TeamsProtajer!D:M,3,0)+AL68+AD68),0)</f>
        <v>0</v>
      </c>
      <c r="S68" s="1">
        <f>IFERROR((VLOOKUP($BO$1&amp;C4,TeamsProtajer!D:M,4,0)+AM68-AE68),0)</f>
        <v>0</v>
      </c>
      <c r="T68" s="1">
        <f>IFERROR((VLOOKUP($BO$1&amp;C4,TeamsProtajer!D:M,5,0)+AN68-AF68),0)</f>
        <v>0</v>
      </c>
      <c r="U68" s="1">
        <f>IFERROR((VLOOKUP($BO$1&amp;C4,TeamsProtajer!D:M,6,0)+AO68+AG68),0)</f>
        <v>0</v>
      </c>
      <c r="V68" s="2"/>
      <c r="W68" s="2">
        <f>IFERROR((VLOOKUP($BO$1&amp;C4,TeamsProtajer!D:M,2,0)),0)</f>
        <v>0</v>
      </c>
      <c r="X68" s="2">
        <f>IFERROR((VLOOKUP($BO$1&amp;C4,TeamsProtajer!D:M,3,0)),0)</f>
        <v>0</v>
      </c>
      <c r="Y68" s="2">
        <f>IFERROR((VLOOKUP($BO$1&amp;C4,TeamsProtajer!D:M,4,0)),0)</f>
        <v>0</v>
      </c>
      <c r="Z68" s="2">
        <f>IFERROR((VLOOKUP($BO$1&amp;C4,TeamsProtajer!D:M,5,0)),0)</f>
        <v>0</v>
      </c>
      <c r="AA68" s="2">
        <f>IFERROR((VLOOKUP($BO$1&amp;C4,TeamsProtajer!D:M,6,0)),0)</f>
        <v>0</v>
      </c>
      <c r="AB68" s="2"/>
      <c r="AC68" s="2">
        <f t="shared" si="60"/>
        <v>0</v>
      </c>
      <c r="AD68" s="2">
        <f t="shared" si="61"/>
        <v>0</v>
      </c>
      <c r="AE68" s="2">
        <f t="shared" si="62"/>
        <v>0</v>
      </c>
      <c r="AF68" s="2">
        <f t="shared" si="63"/>
        <v>0</v>
      </c>
      <c r="AG68" s="2">
        <f t="shared" si="64"/>
        <v>0</v>
      </c>
      <c r="AH68" s="2"/>
      <c r="AI68" s="2">
        <v>-1</v>
      </c>
      <c r="AJ68" s="2"/>
      <c r="AK68" s="1">
        <f t="shared" si="65"/>
        <v>0</v>
      </c>
      <c r="AL68" s="1">
        <f t="shared" si="66"/>
        <v>0</v>
      </c>
      <c r="AM68" s="1">
        <f t="shared" si="67"/>
        <v>0</v>
      </c>
      <c r="AN68" s="1">
        <f t="shared" si="68"/>
        <v>0</v>
      </c>
      <c r="AO68" s="1">
        <f t="shared" si="69"/>
        <v>0</v>
      </c>
      <c r="AP68" s="2"/>
      <c r="AQ68" s="13">
        <v>3</v>
      </c>
      <c r="AR68" s="12">
        <v>610000</v>
      </c>
      <c r="AS68" s="12">
        <v>30000</v>
      </c>
      <c r="AT68" s="76" t="str">
        <f>IF(J24="English","-1 ST",(IF(J24="Español","-1 FU",(IF(J24="Deutsch","-1 ST",(IF(J24="Français","-1 F")))))))</f>
        <v>-1 FU</v>
      </c>
      <c r="AU68" s="1"/>
      <c r="AV68" s="1"/>
      <c r="AW68" s="1"/>
      <c r="AX68" s="78">
        <v>0</v>
      </c>
      <c r="AY68" s="78">
        <v>1</v>
      </c>
      <c r="AZ68" s="2"/>
      <c r="BA68" s="2" t="s">
        <v>215</v>
      </c>
      <c r="BB68" s="2"/>
      <c r="BC68" s="2"/>
      <c r="BD68" s="72" t="s">
        <v>1049</v>
      </c>
      <c r="BE68" s="73">
        <f>IFERROR((IF(COUNTIF($BU$2,"*ElvenKingdomsLeague*"),40000,0)),0)</f>
        <v>0</v>
      </c>
      <c r="BH68" s="72" t="s">
        <v>1058</v>
      </c>
      <c r="BI68" s="73">
        <f>IFERROR((IF(OR(COUNTIF($BU$2,"*ElvenKingdomsLeague*")),150000,0)),0)</f>
        <v>0</v>
      </c>
      <c r="BK68" s="73"/>
      <c r="BL68" s="72" t="s">
        <v>1069</v>
      </c>
      <c r="BM68" s="73">
        <f>IFERROR(IF($BV$2="Bribery and Corruption",80000,120000),0)</f>
        <v>120000</v>
      </c>
      <c r="BN68" s="73"/>
      <c r="BO68" s="72" t="s">
        <v>1074</v>
      </c>
      <c r="BP68" s="73">
        <f>IFERROR(IF(COUNTIF($BU$2,"*HalflingThimbleCup*"),60000,(IF(COUNTIF($BU$2,"*OldWorldClassic*"),80000,0))),0)</f>
        <v>80000</v>
      </c>
      <c r="BR68" s="72" t="s">
        <v>1082</v>
      </c>
      <c r="BS68" s="2" t="str">
        <f>IF($J$24="Español","AR+",(IF($J$24="Deutsch","RW+",(IF($J$24="Français","AR+","AV+")))))</f>
        <v>AR+</v>
      </c>
      <c r="BT68" s="2" t="s">
        <v>173</v>
      </c>
      <c r="BU68" s="2" t="str">
        <f>IF($J$24="Español","AR+",(IF($J$24="Deutsch","RW+",(IF($J$24="Français","AR+","AV+")))))</f>
        <v>AR+</v>
      </c>
      <c r="BV68" s="2" t="s">
        <v>173</v>
      </c>
      <c r="BW68" s="2" t="str">
        <f>IF($J$24="Español","AR+",(IF($J$24="Deutsch","RW+",(IF($J$24="Français","AR+","AV+")))))</f>
        <v>AR+</v>
      </c>
      <c r="BX68" s="2" t="s">
        <v>173</v>
      </c>
      <c r="BY68" s="2" t="str">
        <f>IF($J$24="Español","AR+",(IF($J$24="Deutsch","RW+",(IF($J$24="Français","AR+","AV+")))))</f>
        <v>AR+</v>
      </c>
      <c r="BZ68" s="2" t="s">
        <v>173</v>
      </c>
      <c r="CA68" s="46"/>
      <c r="CB68" s="1"/>
      <c r="CC68" s="2" t="str">
        <f>IF($J$24="Deutsch","WG-",(IF($J$24="Français","CP-","PA-")))</f>
        <v>PA-</v>
      </c>
      <c r="CD68" s="2" t="s">
        <v>175</v>
      </c>
      <c r="CE68" s="2"/>
      <c r="CF68" s="2"/>
      <c r="CG68" s="2" t="str">
        <f t="shared" si="71"/>
        <v/>
      </c>
      <c r="CH68" s="2" t="str">
        <f t="shared" si="72"/>
        <v/>
      </c>
      <c r="CI68" s="2" t="str">
        <f t="shared" si="73"/>
        <v/>
      </c>
      <c r="CJ68" s="2" t="str">
        <f t="shared" si="74"/>
        <v/>
      </c>
      <c r="CK68" s="2" t="str">
        <f t="shared" si="75"/>
        <v/>
      </c>
      <c r="CL68" s="2" t="str">
        <f t="shared" si="76"/>
        <v/>
      </c>
      <c r="CM68" s="2" t="str">
        <f t="shared" si="77"/>
        <v/>
      </c>
      <c r="CN68" s="2" t="str">
        <f t="shared" si="78"/>
        <v/>
      </c>
      <c r="CO68" s="2" t="str">
        <f t="shared" si="79"/>
        <v/>
      </c>
      <c r="CP68" s="2" t="str">
        <f t="shared" si="80"/>
        <v/>
      </c>
      <c r="CQ68" s="2" t="str">
        <f t="shared" si="81"/>
        <v/>
      </c>
      <c r="CR68" s="2" t="str">
        <f t="shared" si="82"/>
        <v/>
      </c>
      <c r="CS68" s="2" t="str">
        <f t="shared" si="83"/>
        <v/>
      </c>
      <c r="CT68" s="2" t="str">
        <f t="shared" si="84"/>
        <v/>
      </c>
      <c r="CU68" s="2" t="str">
        <f t="shared" si="85"/>
        <v/>
      </c>
      <c r="CV68" s="2" t="str">
        <f t="shared" si="86"/>
        <v/>
      </c>
      <c r="CW68" s="2"/>
      <c r="CX68" s="2"/>
      <c r="CY68" s="2"/>
      <c r="CZ68" s="2"/>
    </row>
    <row r="69" spans="2:104" ht="15" hidden="1" customHeight="1" x14ac:dyDescent="0.2">
      <c r="B69" s="122" t="str">
        <f>IF(AV62&gt;0,(IF(J24="Italiano","SI È SCELTA UN'ABILITÀ CHE IL GIOCATORE GIÀ POSSIEDE!   ",IF(J24="Español","¡HAS ELEGIDO UNA HABILIDAD QUE YA TIENE EL JUGADOR!   ",(IF(J24="Deutsch","SIE HABEN EINE FÄHIGKEIT GEWÄHLT, DIE DER SPIELER BEREITS BESITZT!   ",(IF(J24="Français","VOUS AVEZ CHOISI UNE COMPÉTENCE QUE LE JOUEUR POSSÈDE DÉJÀ!   ","YOU HAVE CHOSEN A SKILL THAT THE PLAYER ALREADY HAS!   "))))))),"")</f>
        <v/>
      </c>
      <c r="C69" s="123"/>
      <c r="D69" s="123"/>
      <c r="E69" s="123"/>
      <c r="F69" s="123"/>
      <c r="G69" s="2"/>
      <c r="H69" s="2"/>
      <c r="I69" s="2"/>
      <c r="J69" s="2"/>
      <c r="K69" s="2">
        <f t="shared" si="56"/>
        <v>0</v>
      </c>
      <c r="L69" s="2">
        <f t="shared" si="57"/>
        <v>0</v>
      </c>
      <c r="M69" s="2">
        <f t="shared" si="58"/>
        <v>0</v>
      </c>
      <c r="N69" s="2">
        <f t="shared" si="58"/>
        <v>0</v>
      </c>
      <c r="O69" s="2">
        <f t="shared" si="59"/>
        <v>0</v>
      </c>
      <c r="P69" s="2" t="s">
        <v>216</v>
      </c>
      <c r="Q69" s="1">
        <f>IFERROR((VLOOKUP($BO$1&amp;C5,TeamsProtajer!D:M,2,0)+AK69+AC69),0)</f>
        <v>0</v>
      </c>
      <c r="R69" s="1">
        <f>IFERROR((VLOOKUP($BO$1&amp;C5,TeamsProtajer!D:M,3,0)+AL69+AD69),0)</f>
        <v>0</v>
      </c>
      <c r="S69" s="1">
        <f>IFERROR((VLOOKUP($BO$1&amp;C5,TeamsProtajer!D:M,4,0)+AM69-AE69),0)</f>
        <v>0</v>
      </c>
      <c r="T69" s="1">
        <f>IFERROR((VLOOKUP($BO$1&amp;C5,TeamsProtajer!D:M,5,0)+AN69-AF69),0)</f>
        <v>0</v>
      </c>
      <c r="U69" s="1">
        <f>IFERROR((VLOOKUP($BO$1&amp;C5,TeamsProtajer!D:M,6,0)+AO69+AG69),0)</f>
        <v>0</v>
      </c>
      <c r="V69" s="2"/>
      <c r="W69" s="2">
        <f>IFERROR((VLOOKUP($BO$1&amp;C5,TeamsProtajer!D:M,2,0)),0)</f>
        <v>0</v>
      </c>
      <c r="X69" s="2">
        <f>IFERROR((VLOOKUP($BO$1&amp;C5,TeamsProtajer!D:M,3,0)),0)</f>
        <v>0</v>
      </c>
      <c r="Y69" s="2">
        <f>IFERROR((VLOOKUP($BO$1&amp;C5,TeamsProtajer!D:M,4,0)),0)</f>
        <v>0</v>
      </c>
      <c r="Z69" s="2">
        <f>IFERROR((VLOOKUP($BO$1&amp;C5,TeamsProtajer!D:M,5,0)),0)</f>
        <v>0</v>
      </c>
      <c r="AA69" s="2">
        <f>IFERROR((VLOOKUP($BO$1&amp;C5,TeamsProtajer!D:M,6,0)),0)</f>
        <v>0</v>
      </c>
      <c r="AB69" s="5"/>
      <c r="AC69" s="2">
        <f t="shared" si="60"/>
        <v>0</v>
      </c>
      <c r="AD69" s="2">
        <f t="shared" si="61"/>
        <v>0</v>
      </c>
      <c r="AE69" s="2">
        <f t="shared" si="62"/>
        <v>0</v>
      </c>
      <c r="AF69" s="2">
        <f t="shared" si="63"/>
        <v>0</v>
      </c>
      <c r="AG69" s="2">
        <f t="shared" si="64"/>
        <v>0</v>
      </c>
      <c r="AH69" s="5"/>
      <c r="AI69" s="2">
        <v>-2</v>
      </c>
      <c r="AJ69" s="2"/>
      <c r="AK69" s="1">
        <f t="shared" si="65"/>
        <v>0</v>
      </c>
      <c r="AL69" s="1">
        <f t="shared" si="66"/>
        <v>0</v>
      </c>
      <c r="AM69" s="1">
        <f t="shared" si="67"/>
        <v>0</v>
      </c>
      <c r="AN69" s="1">
        <f t="shared" si="68"/>
        <v>0</v>
      </c>
      <c r="AO69" s="1">
        <f t="shared" si="69"/>
        <v>0</v>
      </c>
      <c r="AP69" s="5"/>
      <c r="AQ69" s="12">
        <v>4</v>
      </c>
      <c r="AR69" s="12">
        <v>615000</v>
      </c>
      <c r="AS69" s="12">
        <v>40000</v>
      </c>
      <c r="AT69" s="76" t="str">
        <f>IF(J24="English","-2 ST",(IF(J24="Español","-2 FU",(IF(J24="Deutsch","-2 ST",(IF(J24="Français","-2 F")))))))</f>
        <v>-2 FU</v>
      </c>
      <c r="AU69" s="1"/>
      <c r="AV69" s="1"/>
      <c r="AW69" s="1"/>
      <c r="AX69" s="78">
        <v>1</v>
      </c>
      <c r="AY69" s="78">
        <v>2</v>
      </c>
      <c r="AZ69" s="2" t="s">
        <v>216</v>
      </c>
      <c r="BA69" s="2" t="s">
        <v>217</v>
      </c>
      <c r="BB69" s="2"/>
      <c r="BC69" s="2"/>
      <c r="BD69" s="72" t="s">
        <v>1050</v>
      </c>
      <c r="BE69" s="73">
        <f>IFERROR((IF(COUNTIF($BU$2,"*UnderworldChallenge*"),70000,0)),0)</f>
        <v>0</v>
      </c>
      <c r="BH69" s="72" t="s">
        <v>1059</v>
      </c>
      <c r="BI69" s="73">
        <f>IFERROR((IF(OR(COUNTIF($BU$2,"*LustrianSuperleague*")),200000,0)),0)</f>
        <v>0</v>
      </c>
      <c r="BK69" s="73"/>
      <c r="BL69" s="72" t="s">
        <v>1070</v>
      </c>
      <c r="BM69" s="73">
        <f>IFERROR((IF(OR(COUNTIF($BU$2,"*HalflingThimbleCup*")),40000,80000)),0)</f>
        <v>80000</v>
      </c>
      <c r="BN69" s="73"/>
      <c r="BO69" s="72" t="s">
        <v>1075</v>
      </c>
      <c r="BP69" s="73">
        <f>IFERROR(IF(COUNTIF($BU$2,"*HalflingThimbleCup*"),30000,(IF(COUNTIF($BU$2,"*OldWorldClassic*"),40000,0))),0)</f>
        <v>40000</v>
      </c>
      <c r="BR69" s="72"/>
      <c r="BS69" s="2" t="str">
        <f>IF($J$24="Deutsch","GE-","AG-")</f>
        <v>AG-</v>
      </c>
      <c r="BT69" s="2" t="s">
        <v>174</v>
      </c>
      <c r="BU69" s="2" t="str">
        <f>IF($J$24="Deutsch","GE-","AG-")</f>
        <v>AG-</v>
      </c>
      <c r="BV69" s="2" t="s">
        <v>174</v>
      </c>
      <c r="BW69" s="2" t="str">
        <f>IF($J$24="Deutsch","GE-","AG-")</f>
        <v>AG-</v>
      </c>
      <c r="BX69" s="2" t="s">
        <v>174</v>
      </c>
      <c r="BY69" s="2" t="str">
        <f>IF($J$24="Deutsch","GE-","AG-")</f>
        <v>AG-</v>
      </c>
      <c r="BZ69" s="2" t="s">
        <v>174</v>
      </c>
      <c r="CA69" s="124" t="s">
        <v>1474</v>
      </c>
      <c r="CB69" s="125"/>
      <c r="CC69" s="2" t="str">
        <f>IF($J$24="Español","FU+",(IF($J$24="Deutsch","ST+",(IF($J$24="Français","F+","ST+")))))</f>
        <v>FU+</v>
      </c>
      <c r="CD69" s="2" t="s">
        <v>176</v>
      </c>
      <c r="CE69" s="2"/>
      <c r="CF69" s="2"/>
      <c r="CG69" s="2" t="str">
        <f t="shared" si="71"/>
        <v/>
      </c>
      <c r="CH69" s="2" t="str">
        <f t="shared" si="72"/>
        <v/>
      </c>
      <c r="CI69" s="2" t="str">
        <f t="shared" si="73"/>
        <v/>
      </c>
      <c r="CJ69" s="2" t="str">
        <f t="shared" si="74"/>
        <v/>
      </c>
      <c r="CK69" s="2" t="str">
        <f t="shared" si="75"/>
        <v/>
      </c>
      <c r="CL69" s="2" t="str">
        <f t="shared" si="76"/>
        <v/>
      </c>
      <c r="CM69" s="2" t="str">
        <f t="shared" si="77"/>
        <v/>
      </c>
      <c r="CN69" s="2" t="str">
        <f t="shared" si="78"/>
        <v/>
      </c>
      <c r="CO69" s="2" t="str">
        <f t="shared" si="79"/>
        <v/>
      </c>
      <c r="CP69" s="2" t="str">
        <f t="shared" si="80"/>
        <v/>
      </c>
      <c r="CQ69" s="2" t="str">
        <f t="shared" si="81"/>
        <v/>
      </c>
      <c r="CR69" s="2" t="str">
        <f t="shared" si="82"/>
        <v/>
      </c>
      <c r="CS69" s="2" t="str">
        <f t="shared" si="83"/>
        <v/>
      </c>
      <c r="CT69" s="2" t="str">
        <f t="shared" si="84"/>
        <v/>
      </c>
      <c r="CU69" s="2" t="str">
        <f t="shared" si="85"/>
        <v/>
      </c>
      <c r="CV69" s="2" t="str">
        <f t="shared" si="86"/>
        <v/>
      </c>
      <c r="CW69" s="2"/>
      <c r="CX69" s="2"/>
      <c r="CY69" s="2"/>
      <c r="CZ69" s="2"/>
    </row>
    <row r="70" spans="2:104" ht="15" hidden="1" customHeight="1" x14ac:dyDescent="0.2">
      <c r="B70" s="122" t="str">
        <f>IF(AS44&lt;11,(IF(J24="Italiano","SERVONO 11 GIOCATORI!   ",IF(J24="Español","¡NECESITAS 11 JUGADORES!   ",(IF(J24="Deutsch","MAN BRAUCHT 11 SPIELER!   ",(IF(J24="Français","IL FAUT 11 JOUEURS!   ","YOU NEED 11 PLAYERS!   "))))))),"")</f>
        <v xml:space="preserve">¡NECESITAS 11 JUGADORES!   </v>
      </c>
      <c r="C70" s="123"/>
      <c r="D70" s="123"/>
      <c r="E70" s="123"/>
      <c r="F70" s="123"/>
      <c r="G70" s="2"/>
      <c r="H70" s="2"/>
      <c r="I70" s="2"/>
      <c r="J70" s="2"/>
      <c r="K70" s="2">
        <f t="shared" si="56"/>
        <v>0</v>
      </c>
      <c r="L70" s="2">
        <f t="shared" si="57"/>
        <v>0</v>
      </c>
      <c r="M70" s="2">
        <f t="shared" si="58"/>
        <v>0</v>
      </c>
      <c r="N70" s="2">
        <f t="shared" si="58"/>
        <v>0</v>
      </c>
      <c r="O70" s="2">
        <f t="shared" si="59"/>
        <v>0</v>
      </c>
      <c r="P70" s="2"/>
      <c r="Q70" s="1">
        <f>IFERROR((VLOOKUP($BO$1&amp;C6,TeamsProtajer!D:M,2,0)+AK70+AC70),0)</f>
        <v>0</v>
      </c>
      <c r="R70" s="1">
        <f>IFERROR((VLOOKUP($BO$1&amp;C6,TeamsProtajer!D:M,3,0)+AL70+AD70),0)</f>
        <v>0</v>
      </c>
      <c r="S70" s="1">
        <f>IFERROR((VLOOKUP($BO$1&amp;C6,TeamsProtajer!D:M,4,0)+AM70-AE70),0)</f>
        <v>0</v>
      </c>
      <c r="T70" s="1">
        <f>IFERROR((VLOOKUP($BO$1&amp;C6,TeamsProtajer!D:M,5,0)+AN70-AF70),0)</f>
        <v>0</v>
      </c>
      <c r="U70" s="1">
        <f>IFERROR((VLOOKUP($BO$1&amp;C6,TeamsProtajer!D:M,6,0)+AO70+AG70),0)</f>
        <v>0</v>
      </c>
      <c r="V70" s="2"/>
      <c r="W70" s="2">
        <f>IFERROR((VLOOKUP($BO$1&amp;C6,TeamsProtajer!D:M,2,0)),0)</f>
        <v>0</v>
      </c>
      <c r="X70" s="2">
        <f>IFERROR((VLOOKUP($BO$1&amp;C6,TeamsProtajer!D:M,3,0)),0)</f>
        <v>0</v>
      </c>
      <c r="Y70" s="2">
        <f>IFERROR((VLOOKUP($BO$1&amp;C6,TeamsProtajer!D:M,4,0)),0)</f>
        <v>0</v>
      </c>
      <c r="Z70" s="2">
        <f>IFERROR((VLOOKUP($BO$1&amp;C6,TeamsProtajer!D:M,5,0)),0)</f>
        <v>0</v>
      </c>
      <c r="AA70" s="2">
        <f>IFERROR((VLOOKUP($BO$1&amp;C6,TeamsProtajer!D:M,6,0)),0)</f>
        <v>0</v>
      </c>
      <c r="AB70" s="2"/>
      <c r="AC70" s="2">
        <f t="shared" si="60"/>
        <v>0</v>
      </c>
      <c r="AD70" s="2">
        <f t="shared" si="61"/>
        <v>0</v>
      </c>
      <c r="AE70" s="2">
        <f t="shared" si="62"/>
        <v>0</v>
      </c>
      <c r="AF70" s="2">
        <f t="shared" si="63"/>
        <v>0</v>
      </c>
      <c r="AG70" s="2">
        <f t="shared" si="64"/>
        <v>0</v>
      </c>
      <c r="AH70" s="2"/>
      <c r="AI70" s="79" t="s">
        <v>216</v>
      </c>
      <c r="AJ70" s="2"/>
      <c r="AK70" s="1">
        <f t="shared" si="65"/>
        <v>0</v>
      </c>
      <c r="AL70" s="1">
        <f t="shared" si="66"/>
        <v>0</v>
      </c>
      <c r="AM70" s="1">
        <f t="shared" si="67"/>
        <v>0</v>
      </c>
      <c r="AN70" s="1">
        <f t="shared" si="68"/>
        <v>0</v>
      </c>
      <c r="AO70" s="1">
        <f t="shared" si="69"/>
        <v>0</v>
      </c>
      <c r="AP70" s="2"/>
      <c r="AQ70" s="13">
        <v>5</v>
      </c>
      <c r="AR70" s="12">
        <v>620000</v>
      </c>
      <c r="AS70" s="12">
        <v>50000</v>
      </c>
      <c r="AT70" s="76" t="str">
        <f>IF(J24="English","1 PA",(IF(J24="Español","1 PA",(IF(J24="Deutsch","1 WG",(IF(J24="Français","1 CP")))))))</f>
        <v>1 PA</v>
      </c>
      <c r="AU70" s="1"/>
      <c r="AV70" s="1"/>
      <c r="AW70" s="1"/>
      <c r="AX70" s="78">
        <v>2</v>
      </c>
      <c r="AY70" s="78">
        <v>3</v>
      </c>
      <c r="AZ70" s="2"/>
      <c r="BA70" s="2" t="s">
        <v>218</v>
      </c>
      <c r="BB70" s="2"/>
      <c r="BC70" s="2"/>
      <c r="BD70" s="72" t="s">
        <v>1051</v>
      </c>
      <c r="BE70" s="73">
        <v>100000</v>
      </c>
      <c r="BH70" s="72" t="s">
        <v>1060</v>
      </c>
      <c r="BI70" s="73">
        <f>IFERROR((IF(OR(COUNTIF(BO2,"*Nurgle*"),COUNTIF($BU$2,"*UnderworldChallenge*")),150000,0)),0)</f>
        <v>0</v>
      </c>
      <c r="BK70" s="73"/>
      <c r="BL70" s="73"/>
      <c r="BM70" s="2"/>
      <c r="BN70" s="73"/>
      <c r="BO70" s="72" t="s">
        <v>1076</v>
      </c>
      <c r="BP70" s="73">
        <f>IFERROR((IF(OR(COUNTIF(BO2,"*Halfling*"),COUNTIF(J23,"*Goblin*"),COUNTIF(J23,"*Ogre*"),COUNTIF(J23,"*Snotling*")),30000,0)),0)</f>
        <v>0</v>
      </c>
      <c r="BR70" s="72"/>
      <c r="BS70" s="2" t="str">
        <f>IF($J$24="Deutsch","WG-",(IF($J$24="Français","CP-","PA-")))</f>
        <v>PA-</v>
      </c>
      <c r="BT70" s="2" t="s">
        <v>175</v>
      </c>
      <c r="BU70" s="2" t="str">
        <f>IF($J$24="Deutsch","WG-",(IF($J$24="Français","CP-","PA-")))</f>
        <v>PA-</v>
      </c>
      <c r="BV70" s="2" t="s">
        <v>175</v>
      </c>
      <c r="BW70" s="2" t="str">
        <f>IF($J$24="Deutsch","WG-",(IF($J$24="Français","CP-","PA-")))</f>
        <v>PA-</v>
      </c>
      <c r="BX70" s="2" t="s">
        <v>175</v>
      </c>
      <c r="BY70" s="2" t="str">
        <f>IF($J$24="Deutsch","WG-",(IF($J$24="Français","CP-","PA-")))</f>
        <v>PA-</v>
      </c>
      <c r="BZ70" s="2" t="s">
        <v>175</v>
      </c>
      <c r="CA70" s="21" t="str">
        <f t="shared" si="70"/>
        <v/>
      </c>
      <c r="CB70" s="21" t="str">
        <f t="shared" si="70"/>
        <v/>
      </c>
      <c r="CC70" s="21" t="str">
        <f>IF($J$24="Español","Agallas",(IF($J$24="Deutsch","Abwehren",(IF($J$24="Français","Arracher le ballon","Block")))))</f>
        <v>Agallas</v>
      </c>
      <c r="CD70" s="2" t="s">
        <v>167</v>
      </c>
      <c r="CE70" s="80"/>
      <c r="CF70" s="2"/>
      <c r="CG70" s="2" t="str">
        <f t="shared" si="71"/>
        <v/>
      </c>
      <c r="CH70" s="2" t="str">
        <f t="shared" si="72"/>
        <v/>
      </c>
      <c r="CI70" s="2" t="str">
        <f t="shared" si="73"/>
        <v/>
      </c>
      <c r="CJ70" s="2" t="str">
        <f t="shared" si="74"/>
        <v/>
      </c>
      <c r="CK70" s="2" t="str">
        <f t="shared" si="75"/>
        <v/>
      </c>
      <c r="CL70" s="2" t="str">
        <f t="shared" si="76"/>
        <v/>
      </c>
      <c r="CM70" s="2" t="str">
        <f t="shared" si="77"/>
        <v/>
      </c>
      <c r="CN70" s="2" t="str">
        <f t="shared" si="78"/>
        <v/>
      </c>
      <c r="CO70" s="2" t="str">
        <f t="shared" si="79"/>
        <v/>
      </c>
      <c r="CP70" s="2" t="str">
        <f t="shared" si="80"/>
        <v/>
      </c>
      <c r="CQ70" s="2" t="str">
        <f t="shared" si="81"/>
        <v/>
      </c>
      <c r="CR70" s="2" t="str">
        <f t="shared" si="82"/>
        <v/>
      </c>
      <c r="CS70" s="2" t="str">
        <f t="shared" si="83"/>
        <v/>
      </c>
      <c r="CT70" s="2" t="str">
        <f t="shared" si="84"/>
        <v/>
      </c>
      <c r="CU70" s="2" t="str">
        <f t="shared" si="85"/>
        <v/>
      </c>
      <c r="CV70" s="2" t="str">
        <f t="shared" si="86"/>
        <v/>
      </c>
      <c r="CW70" s="2"/>
      <c r="CX70" s="2"/>
      <c r="CY70" s="2"/>
      <c r="CZ70" s="2"/>
    </row>
    <row r="71" spans="2:104" ht="15" hidden="1" customHeight="1" x14ac:dyDescent="0.2">
      <c r="B71" s="122" t="str">
        <f>(IF(J21&lt;&gt;"","",(IF(J24="Italiano","È NECESSARIO INSERIRE IL NOME DELL'ALLENATORE!   ",IF(J24="Español","¡DEBES PONER EL NOMBRE DEL ENTRENADOR!   ",(IF(J24="Deutsch","SIE MÜSSEN DEN NAMEN DES AUSBILDERS ANGEBEN!   ",(IF(J24="Français","VOUS DEVEZ INDIQUER LE NOM DU FORMATEUR!   ","YOU MUST PUT THE NAME OF THE COACH!   ")))))))))&amp;(IF(J22&lt;&gt;"","",(IF(J24="Italiano","È NECESSARIO INSERIRE IL NUMERO NAF (se non lo avete mettete 0)!   ",IF(J24="Español","¡DEBES PONER EL NUMERO NAF (si no tienes pon 0)!   ",(IF(J24="Deutsch","SIE MÜSSEN DIE NAF-NUMMER EINGEBEN (wenn Sie sie nicht haben, geben Sie 0 ein)!   ",(IF(J24="Français","VOUS DEVEZ INSCRIRE LE NUMÉRO NAF (si vous ne l'avez pas, mettez 0)!   ","YOU MUST PUT IN THE NAF NUMBER (if you don't have it put 0)!   ")))))))))</f>
        <v xml:space="preserve">¡DEBES PONER EL NOMBRE DEL ENTRENADOR!   ¡DEBES PONER EL NUMERO NAF (si no tienes pon 0)!   </v>
      </c>
      <c r="C71" s="123"/>
      <c r="D71" s="123"/>
      <c r="E71" s="123"/>
      <c r="F71" s="123"/>
      <c r="G71" s="2"/>
      <c r="H71" s="2"/>
      <c r="I71" s="2"/>
      <c r="J71" s="2"/>
      <c r="K71" s="2">
        <f t="shared" si="56"/>
        <v>0</v>
      </c>
      <c r="L71" s="2">
        <f t="shared" si="57"/>
        <v>0</v>
      </c>
      <c r="M71" s="2">
        <f t="shared" si="58"/>
        <v>0</v>
      </c>
      <c r="N71" s="2">
        <f t="shared" si="58"/>
        <v>0</v>
      </c>
      <c r="O71" s="2">
        <f t="shared" si="59"/>
        <v>0</v>
      </c>
      <c r="P71" s="2"/>
      <c r="Q71" s="1">
        <f>IFERROR((VLOOKUP($BO$1&amp;C7,TeamsProtajer!D:M,2,0)+AK71+AC71),0)</f>
        <v>0</v>
      </c>
      <c r="R71" s="1">
        <f>IFERROR((VLOOKUP($BO$1&amp;C7,TeamsProtajer!D:M,3,0)+AL71+AD71),0)</f>
        <v>0</v>
      </c>
      <c r="S71" s="1">
        <f>IFERROR((VLOOKUP($BO$1&amp;C7,TeamsProtajer!D:M,4,0)+AM71-AE71),0)</f>
        <v>0</v>
      </c>
      <c r="T71" s="1">
        <f>IFERROR((VLOOKUP($BO$1&amp;C7,TeamsProtajer!D:M,5,0)+AN71-AF71),0)</f>
        <v>0</v>
      </c>
      <c r="U71" s="1">
        <f>IFERROR((VLOOKUP($BO$1&amp;C7,TeamsProtajer!D:M,6,0)+AO71+AG71),0)</f>
        <v>0</v>
      </c>
      <c r="V71" s="2"/>
      <c r="W71" s="2">
        <f>IFERROR((VLOOKUP($BO$1&amp;C7,TeamsProtajer!D:M,2,0)),0)</f>
        <v>0</v>
      </c>
      <c r="X71" s="2">
        <f>IFERROR((VLOOKUP($BO$1&amp;C7,TeamsProtajer!D:M,3,0)),0)</f>
        <v>0</v>
      </c>
      <c r="Y71" s="2">
        <f>IFERROR((VLOOKUP($BO$1&amp;C7,TeamsProtajer!D:M,4,0)),0)</f>
        <v>0</v>
      </c>
      <c r="Z71" s="2">
        <f>IFERROR((VLOOKUP($BO$1&amp;C7,TeamsProtajer!D:M,5,0)),0)</f>
        <v>0</v>
      </c>
      <c r="AA71" s="2">
        <f>IFERROR((VLOOKUP($BO$1&amp;C7,TeamsProtajer!D:M,6,0)),0)</f>
        <v>0</v>
      </c>
      <c r="AB71" s="2"/>
      <c r="AC71" s="2">
        <f t="shared" si="60"/>
        <v>0</v>
      </c>
      <c r="AD71" s="2">
        <f t="shared" si="61"/>
        <v>0</v>
      </c>
      <c r="AE71" s="2">
        <f t="shared" si="62"/>
        <v>0</v>
      </c>
      <c r="AF71" s="2">
        <f t="shared" si="63"/>
        <v>0</v>
      </c>
      <c r="AG71" s="2">
        <f t="shared" si="64"/>
        <v>0</v>
      </c>
      <c r="AH71" s="2"/>
      <c r="AI71" s="2">
        <v>0</v>
      </c>
      <c r="AJ71" s="2"/>
      <c r="AK71" s="1">
        <f t="shared" si="65"/>
        <v>0</v>
      </c>
      <c r="AL71" s="1">
        <f t="shared" si="66"/>
        <v>0</v>
      </c>
      <c r="AM71" s="1">
        <f t="shared" si="67"/>
        <v>0</v>
      </c>
      <c r="AN71" s="1">
        <f t="shared" si="68"/>
        <v>0</v>
      </c>
      <c r="AO71" s="1">
        <f t="shared" si="69"/>
        <v>0</v>
      </c>
      <c r="AP71" s="2"/>
      <c r="AQ71" s="13">
        <v>6</v>
      </c>
      <c r="AR71" s="12">
        <v>625000</v>
      </c>
      <c r="AS71" s="12">
        <v>60000</v>
      </c>
      <c r="AT71" s="76" t="str">
        <f>IF(J24="English","2 PA",(IF(J24="Español","2 PA",(IF(J24="Deutsch","2 WG",(IF(J24="Français","2 CP")))))))</f>
        <v>2 PA</v>
      </c>
      <c r="AU71" s="1"/>
      <c r="AV71" s="1"/>
      <c r="AW71" s="1"/>
      <c r="AX71" s="78">
        <v>3</v>
      </c>
      <c r="AY71" s="78">
        <v>4</v>
      </c>
      <c r="AZ71" s="2"/>
      <c r="BA71" s="21" t="s">
        <v>1040</v>
      </c>
      <c r="BB71" s="2"/>
      <c r="BC71" s="2"/>
      <c r="BD71" s="72" t="s">
        <v>1052</v>
      </c>
      <c r="BE71" s="73">
        <f>IFERROR((IF(COUNTIF($BU$2,"*SylvanianSpotlight*"),130000,0)),0)</f>
        <v>0</v>
      </c>
      <c r="BH71" s="72" t="s">
        <v>1061</v>
      </c>
      <c r="BI71" s="73">
        <f>IFERROR((IF(COUNTIF($BU$2,"*SylvanianSpotlight*"),150000,0)),0)</f>
        <v>0</v>
      </c>
      <c r="BK71" s="73"/>
      <c r="BL71" s="73"/>
      <c r="BM71" s="2"/>
      <c r="BN71" s="73"/>
      <c r="BO71" s="72" t="s">
        <v>1077</v>
      </c>
      <c r="BP71" s="73">
        <v>30000</v>
      </c>
      <c r="BR71" s="74"/>
      <c r="BS71" s="2" t="str">
        <f>IF($J$24="Español","FU+",(IF($J$24="Deutsch","ST+",(IF($J$24="Français","F+","ST+")))))</f>
        <v>FU+</v>
      </c>
      <c r="BT71" s="2" t="s">
        <v>176</v>
      </c>
      <c r="BU71" s="2" t="str">
        <f>IF($J$24="Español","FU+",(IF($J$24="Deutsch","ST+",(IF($J$24="Français","F+","ST+")))))</f>
        <v>FU+</v>
      </c>
      <c r="BV71" s="2" t="s">
        <v>176</v>
      </c>
      <c r="BW71" s="2" t="str">
        <f>IF($J$24="Español","FU+",(IF($J$24="Deutsch","ST+",(IF($J$24="Français","F+","ST+")))))</f>
        <v>FU+</v>
      </c>
      <c r="BX71" s="2" t="s">
        <v>176</v>
      </c>
      <c r="BY71" s="2" t="str">
        <f>IF($J$24="Español","FU+",(IF($J$24="Deutsch","ST+",(IF($J$24="Français","F+","ST+")))))</f>
        <v>FU+</v>
      </c>
      <c r="BZ71" s="2" t="s">
        <v>176</v>
      </c>
      <c r="CA71" s="2" t="str">
        <f>IF($J$24="Español","MO+",(IF($J$24="Deutsch","BE+",(IF($J$24="Français","M+","MA+")))))</f>
        <v>MO+</v>
      </c>
      <c r="CB71" s="2" t="s">
        <v>172</v>
      </c>
      <c r="CC71" s="75" t="str">
        <f>IF($J$24="Español","Forcejear",(IF($J$24="Deutsch","Ball entreißen",(IF($J$24="Français","Blocage","Dauntless")))))</f>
        <v>Forcejear</v>
      </c>
      <c r="CD71" s="2" t="s">
        <v>167</v>
      </c>
      <c r="CE71" s="80"/>
      <c r="CF71" s="2"/>
      <c r="CG71" s="2" t="str">
        <f t="shared" si="71"/>
        <v/>
      </c>
      <c r="CH71" s="2" t="str">
        <f t="shared" si="72"/>
        <v/>
      </c>
      <c r="CI71" s="2" t="str">
        <f t="shared" si="73"/>
        <v/>
      </c>
      <c r="CJ71" s="2" t="str">
        <f t="shared" si="74"/>
        <v/>
      </c>
      <c r="CK71" s="2" t="str">
        <f t="shared" si="75"/>
        <v/>
      </c>
      <c r="CL71" s="2" t="str">
        <f t="shared" si="76"/>
        <v/>
      </c>
      <c r="CM71" s="2" t="str">
        <f t="shared" si="77"/>
        <v/>
      </c>
      <c r="CN71" s="2" t="str">
        <f t="shared" si="78"/>
        <v/>
      </c>
      <c r="CO71" s="2" t="str">
        <f t="shared" si="79"/>
        <v/>
      </c>
      <c r="CP71" s="2" t="str">
        <f t="shared" si="80"/>
        <v/>
      </c>
      <c r="CQ71" s="2" t="str">
        <f t="shared" si="81"/>
        <v/>
      </c>
      <c r="CR71" s="2" t="str">
        <f t="shared" si="82"/>
        <v/>
      </c>
      <c r="CS71" s="2" t="str">
        <f t="shared" si="83"/>
        <v/>
      </c>
      <c r="CT71" s="2" t="str">
        <f t="shared" si="84"/>
        <v/>
      </c>
      <c r="CU71" s="2" t="str">
        <f t="shared" si="85"/>
        <v/>
      </c>
      <c r="CV71" s="2" t="str">
        <f t="shared" si="86"/>
        <v/>
      </c>
      <c r="CW71" s="2"/>
      <c r="CX71" s="2"/>
      <c r="CY71" s="2"/>
      <c r="CZ71" s="2"/>
    </row>
    <row r="72" spans="2:104" ht="15" hidden="1" customHeight="1" x14ac:dyDescent="0.2">
      <c r="B72" s="122" t="str">
        <f>IF(AR44&gt;16,(IF(J24="Italiano","NON SI POSSONO AVERE PIÙ DI 16 GIOCATORI!   ",IF(J24="Español","¡NO PUEDES TENER MÁS DE 16 JUGADORES!   ",(IF(J24="Deutsch","SIE KÖNNEN NICHT MEHR ALS 16 SPIELER HABEN!   ",(IF(J24="Français","VOUS NE POUVEZ PAS AVOIR PLUS DE 16 JOUEURS!   ","YOU CANNOT HAVE MORE THAN 16 PLAYERS!   "))))))),"")</f>
        <v/>
      </c>
      <c r="C72" s="123"/>
      <c r="D72" s="123"/>
      <c r="E72" s="123"/>
      <c r="F72" s="123"/>
      <c r="G72" s="2"/>
      <c r="H72" s="2"/>
      <c r="I72" s="2"/>
      <c r="J72" s="2"/>
      <c r="K72" s="2">
        <f t="shared" si="56"/>
        <v>0</v>
      </c>
      <c r="L72" s="2">
        <f t="shared" si="57"/>
        <v>0</v>
      </c>
      <c r="M72" s="2">
        <f t="shared" si="58"/>
        <v>0</v>
      </c>
      <c r="N72" s="2">
        <f t="shared" si="58"/>
        <v>0</v>
      </c>
      <c r="O72" s="2">
        <f t="shared" si="59"/>
        <v>0</v>
      </c>
      <c r="P72" s="2"/>
      <c r="Q72" s="1">
        <f>IFERROR((VLOOKUP($BO$1&amp;C8,TeamsProtajer!D:M,2,0)+AK72+AC72),0)</f>
        <v>0</v>
      </c>
      <c r="R72" s="1">
        <f>IFERROR((VLOOKUP($BO$1&amp;C8,TeamsProtajer!D:M,3,0)+AL72+AD72),0)</f>
        <v>0</v>
      </c>
      <c r="S72" s="1">
        <f>IFERROR((VLOOKUP($BO$1&amp;C8,TeamsProtajer!D:M,4,0)+AM72-AE72),0)</f>
        <v>0</v>
      </c>
      <c r="T72" s="1">
        <f>IFERROR((VLOOKUP($BO$1&amp;C8,TeamsProtajer!D:M,5,0)+AN72-AF72),0)</f>
        <v>0</v>
      </c>
      <c r="U72" s="1">
        <f>IFERROR((VLOOKUP($BO$1&amp;C8,TeamsProtajer!D:M,6,0)+AO72+AG72),0)</f>
        <v>0</v>
      </c>
      <c r="V72" s="2"/>
      <c r="W72" s="2">
        <f>IFERROR((VLOOKUP($BO$1&amp;C8,TeamsProtajer!D:M,2,0)),0)</f>
        <v>0</v>
      </c>
      <c r="X72" s="2">
        <f>IFERROR((VLOOKUP($BO$1&amp;C8,TeamsProtajer!D:M,3,0)),0)</f>
        <v>0</v>
      </c>
      <c r="Y72" s="2">
        <f>IFERROR((VLOOKUP($BO$1&amp;C8,TeamsProtajer!D:M,4,0)),0)</f>
        <v>0</v>
      </c>
      <c r="Z72" s="2">
        <f>IFERROR((VLOOKUP($BO$1&amp;C8,TeamsProtajer!D:M,5,0)),0)</f>
        <v>0</v>
      </c>
      <c r="AA72" s="2">
        <f>IFERROR((VLOOKUP($BO$1&amp;C8,TeamsProtajer!D:M,6,0)),0)</f>
        <v>0</v>
      </c>
      <c r="AB72" s="2"/>
      <c r="AC72" s="2">
        <f t="shared" si="60"/>
        <v>0</v>
      </c>
      <c r="AD72" s="2">
        <f t="shared" si="61"/>
        <v>0</v>
      </c>
      <c r="AE72" s="2">
        <f t="shared" si="62"/>
        <v>0</v>
      </c>
      <c r="AF72" s="2">
        <f t="shared" si="63"/>
        <v>0</v>
      </c>
      <c r="AG72" s="2">
        <f t="shared" si="64"/>
        <v>0</v>
      </c>
      <c r="AH72" s="2"/>
      <c r="AI72" s="2">
        <v>1</v>
      </c>
      <c r="AJ72" s="2"/>
      <c r="AK72" s="1">
        <f t="shared" si="65"/>
        <v>0</v>
      </c>
      <c r="AL72" s="1">
        <f t="shared" si="66"/>
        <v>0</v>
      </c>
      <c r="AM72" s="1">
        <f t="shared" si="67"/>
        <v>0</v>
      </c>
      <c r="AN72" s="1">
        <f t="shared" si="68"/>
        <v>0</v>
      </c>
      <c r="AO72" s="1">
        <f t="shared" si="69"/>
        <v>0</v>
      </c>
      <c r="AP72" s="2"/>
      <c r="AQ72" s="12">
        <v>7</v>
      </c>
      <c r="AR72" s="12">
        <v>630000</v>
      </c>
      <c r="AS72" s="12">
        <v>70000</v>
      </c>
      <c r="AT72" s="76" t="str">
        <f>IF(J24="English","1 AG",(IF(J24="Español","1 AG",(IF(J24="Deutsch","1 GE",(IF(J24="Français","1 AG")))))))</f>
        <v>1 AG</v>
      </c>
      <c r="AU72" s="1"/>
      <c r="AV72" s="1"/>
      <c r="AW72" s="1"/>
      <c r="AX72" s="78">
        <v>4</v>
      </c>
      <c r="AY72" s="78">
        <v>5</v>
      </c>
      <c r="AZ72" s="2"/>
      <c r="BA72" s="2"/>
      <c r="BB72" s="2"/>
      <c r="BC72" s="2"/>
      <c r="BD72" s="72" t="s">
        <v>1053</v>
      </c>
      <c r="BE72" s="73">
        <f>IFERROR((IF(OR(COUNTIF($BU$2,"*BadlandsBrawl*"),COUNTIF($BU$2,"*OldWorldClassic*"),COUNTIF($BU$2,"*UnderworldChallenge*")),80000,0)),0)</f>
        <v>80000</v>
      </c>
      <c r="BH72" s="74" t="str">
        <f>IF($J$24="Español","BRUJA MALVADA",(IF($J$24="Deutsch","VERRÜCKTE HEXE",(IF($J$24="Français","WICKED WITCH","WICKED WITCH")))))</f>
        <v>BRUJA MALVADA</v>
      </c>
      <c r="BI72" s="73">
        <f>IFERROR((IF(OR(COUNTIF($BU$2,"*OldWorldClassic*"),COUNTIF($BU$2,"*SylvanianSpotlight*"),COUNTIF($BU$2,"*UnderworldChallenge*")),150000,0)),0)</f>
        <v>150000</v>
      </c>
      <c r="BK72" s="73"/>
      <c r="BL72" s="73"/>
      <c r="BM72" s="2"/>
      <c r="BN72" s="73"/>
      <c r="BO72" s="72" t="s">
        <v>1078</v>
      </c>
      <c r="BP72" s="73">
        <v>60000</v>
      </c>
      <c r="BR72" s="74"/>
      <c r="BS72" s="21" t="str">
        <f>IF($J$24="Español","Agallas",(IF($J$24="Deutsch","Abwehren",(IF($J$24="Français","Arracher le ballon","Block")))))</f>
        <v>Agallas</v>
      </c>
      <c r="BT72" s="21" t="s">
        <v>167</v>
      </c>
      <c r="BU72" s="21" t="str">
        <f>IF($J$24="Español","Agallas",(IF($J$24="Deutsch","Abwehren",(IF($J$24="Français","Arracher le ballon","Block")))))</f>
        <v>Agallas</v>
      </c>
      <c r="BV72" s="21" t="s">
        <v>167</v>
      </c>
      <c r="BW72" s="21" t="str">
        <f>IF($J$24="Español","Agallas",(IF($J$24="Deutsch","Abwehren",(IF($J$24="Français","Arracher le ballon","Block")))))</f>
        <v>Agallas</v>
      </c>
      <c r="BX72" s="21" t="s">
        <v>167</v>
      </c>
      <c r="BY72" s="21" t="str">
        <f>IF($J$24="Español","Agallas",(IF($J$24="Deutsch","Abwehren",(IF($J$24="Français","Arracher le ballon","Block")))))</f>
        <v>Agallas</v>
      </c>
      <c r="BZ72" s="21" t="s">
        <v>167</v>
      </c>
      <c r="CA72" s="2" t="str">
        <f>IF($J$24="Español","AR+",(IF($J$24="Deutsch","RW+",(IF($J$24="Français","AR+","AV+")))))</f>
        <v>AR+</v>
      </c>
      <c r="CB72" s="2" t="s">
        <v>173</v>
      </c>
      <c r="CC72" s="75" t="str">
        <f>IF($J$24="Español","Furia",(IF($J$24="Deutsch","Ballgefühl",(IF($J$24="Français","Frappe précise","Dirty Player (+1)")))))</f>
        <v>Furia</v>
      </c>
      <c r="CD72" s="2" t="s">
        <v>167</v>
      </c>
      <c r="CE72" s="80"/>
      <c r="CF72" s="2"/>
      <c r="CG72" s="2" t="str">
        <f t="shared" si="71"/>
        <v/>
      </c>
      <c r="CH72" s="2" t="str">
        <f t="shared" si="72"/>
        <v/>
      </c>
      <c r="CI72" s="2" t="str">
        <f t="shared" si="73"/>
        <v/>
      </c>
      <c r="CJ72" s="2" t="str">
        <f t="shared" si="74"/>
        <v/>
      </c>
      <c r="CK72" s="2" t="str">
        <f t="shared" si="75"/>
        <v/>
      </c>
      <c r="CL72" s="2" t="str">
        <f t="shared" si="76"/>
        <v/>
      </c>
      <c r="CM72" s="2" t="str">
        <f t="shared" si="77"/>
        <v/>
      </c>
      <c r="CN72" s="2" t="str">
        <f t="shared" si="78"/>
        <v/>
      </c>
      <c r="CO72" s="2" t="str">
        <f t="shared" si="79"/>
        <v/>
      </c>
      <c r="CP72" s="2" t="str">
        <f t="shared" si="80"/>
        <v/>
      </c>
      <c r="CQ72" s="2" t="str">
        <f t="shared" si="81"/>
        <v/>
      </c>
      <c r="CR72" s="2" t="str">
        <f t="shared" si="82"/>
        <v/>
      </c>
      <c r="CS72" s="2" t="str">
        <f t="shared" si="83"/>
        <v/>
      </c>
      <c r="CT72" s="2" t="str">
        <f t="shared" si="84"/>
        <v/>
      </c>
      <c r="CU72" s="2" t="str">
        <f t="shared" si="85"/>
        <v/>
      </c>
      <c r="CV72" s="2" t="str">
        <f t="shared" si="86"/>
        <v/>
      </c>
      <c r="CW72" s="2"/>
      <c r="CX72" s="2"/>
      <c r="CY72" s="2"/>
      <c r="CZ72" s="2"/>
    </row>
    <row r="73" spans="2:104" ht="15" hidden="1" customHeight="1" x14ac:dyDescent="0.2">
      <c r="B73" s="122" t="str">
        <f>IF(J22="","",(IF(((IF((ISNUMBER(J22)),0,1))=1),(IF(J24="Italiano","IL NUMERO NAF NON PUÒ CONTENERE LETTERE!   ",IF(J24="Español","¡EL NUMERO NAF NO PUEDE CONTENER LETRAS!   ",(IF(J24="Deutsch","DIE NAF-NUMMER DARF KEINE BUCHSTABEN ENTHALTEN!   ",(IF(J24="Français","LE NUMÉRO NAF NE PEUT PAS CONTENIR DE LETTRES!   ","THE NAF NUMBER CANNOT CONTAIN LETTERS!   "))))))),"")))</f>
        <v/>
      </c>
      <c r="C73" s="123"/>
      <c r="D73" s="123"/>
      <c r="E73" s="123"/>
      <c r="F73" s="123"/>
      <c r="G73" s="2"/>
      <c r="H73" s="2"/>
      <c r="I73" s="2"/>
      <c r="J73" s="2"/>
      <c r="K73" s="2">
        <f t="shared" si="56"/>
        <v>0</v>
      </c>
      <c r="L73" s="2">
        <f t="shared" si="57"/>
        <v>0</v>
      </c>
      <c r="M73" s="2">
        <f t="shared" si="58"/>
        <v>0</v>
      </c>
      <c r="N73" s="2">
        <f t="shared" si="58"/>
        <v>0</v>
      </c>
      <c r="O73" s="2">
        <f t="shared" si="59"/>
        <v>0</v>
      </c>
      <c r="P73" s="2"/>
      <c r="Q73" s="1">
        <f>IFERROR((VLOOKUP($BO$1&amp;C9,TeamsProtajer!D:M,2,0)+AK73+AC73),0)</f>
        <v>0</v>
      </c>
      <c r="R73" s="1">
        <f>IFERROR((VLOOKUP($BO$1&amp;C9,TeamsProtajer!D:M,3,0)+AL73+AD73),0)</f>
        <v>0</v>
      </c>
      <c r="S73" s="1">
        <f>IFERROR((VLOOKUP($BO$1&amp;C9,TeamsProtajer!D:M,4,0)+AM73-AE73),0)</f>
        <v>0</v>
      </c>
      <c r="T73" s="1">
        <f>IFERROR((VLOOKUP($BO$1&amp;C9,TeamsProtajer!D:M,5,0)+AN73-AF73),0)</f>
        <v>0</v>
      </c>
      <c r="U73" s="1">
        <f>IFERROR((VLOOKUP($BO$1&amp;C9,TeamsProtajer!D:M,6,0)+AO73+AG73),0)</f>
        <v>0</v>
      </c>
      <c r="V73" s="2"/>
      <c r="W73" s="2">
        <f>IFERROR((VLOOKUP($BO$1&amp;C9,TeamsProtajer!D:M,2,0)),0)</f>
        <v>0</v>
      </c>
      <c r="X73" s="2">
        <f>IFERROR((VLOOKUP($BO$1&amp;C9,TeamsProtajer!D:M,3,0)),0)</f>
        <v>0</v>
      </c>
      <c r="Y73" s="2">
        <f>IFERROR((VLOOKUP($BO$1&amp;C9,TeamsProtajer!D:M,4,0)),0)</f>
        <v>0</v>
      </c>
      <c r="Z73" s="2">
        <f>IFERROR((VLOOKUP($BO$1&amp;C9,TeamsProtajer!D:M,5,0)),0)</f>
        <v>0</v>
      </c>
      <c r="AA73" s="2">
        <f>IFERROR((VLOOKUP($BO$1&amp;C9,TeamsProtajer!D:M,6,0)),0)</f>
        <v>0</v>
      </c>
      <c r="AB73" s="2"/>
      <c r="AC73" s="2">
        <f t="shared" si="60"/>
        <v>0</v>
      </c>
      <c r="AD73" s="2">
        <f t="shared" si="61"/>
        <v>0</v>
      </c>
      <c r="AE73" s="2">
        <f t="shared" si="62"/>
        <v>0</v>
      </c>
      <c r="AF73" s="2">
        <f t="shared" si="63"/>
        <v>0</v>
      </c>
      <c r="AG73" s="2">
        <f t="shared" si="64"/>
        <v>0</v>
      </c>
      <c r="AH73" s="2"/>
      <c r="AI73" s="2">
        <v>2</v>
      </c>
      <c r="AJ73" s="2"/>
      <c r="AK73" s="1">
        <f t="shared" si="65"/>
        <v>0</v>
      </c>
      <c r="AL73" s="1">
        <f t="shared" si="66"/>
        <v>0</v>
      </c>
      <c r="AM73" s="1">
        <f t="shared" si="67"/>
        <v>0</v>
      </c>
      <c r="AN73" s="1">
        <f t="shared" si="68"/>
        <v>0</v>
      </c>
      <c r="AO73" s="1">
        <f t="shared" si="69"/>
        <v>0</v>
      </c>
      <c r="AP73" s="2"/>
      <c r="AQ73" s="13">
        <v>8</v>
      </c>
      <c r="AR73" s="12">
        <v>635000</v>
      </c>
      <c r="AS73" s="12">
        <v>80000</v>
      </c>
      <c r="AT73" s="76" t="str">
        <f>IF(J24="English","2 AG",(IF(J24="Español","2 AG",(IF(J24="Deutsch","2 GE",(IF(J24="Français","2 AG")))))))</f>
        <v>2 AG</v>
      </c>
      <c r="AU73" s="1"/>
      <c r="AV73" s="1"/>
      <c r="AW73" s="1"/>
      <c r="AX73" s="78">
        <v>5</v>
      </c>
      <c r="AY73" s="78">
        <v>6</v>
      </c>
      <c r="AZ73" s="2" t="s">
        <v>165</v>
      </c>
      <c r="BA73" s="2" t="str">
        <f>IF(J24="Italiano","SI",(IF(J24="Español","SÍ",(IF(J24="Deutsch","JA",(IF(J24="Français","OUI","YES")))))))</f>
        <v>SÍ</v>
      </c>
      <c r="BB73" s="2" t="str">
        <f>IF(J24="Deutsch","NEIN",(IF(J24="Français","NON","NO")))</f>
        <v>NO</v>
      </c>
      <c r="BC73" s="1"/>
      <c r="BD73" s="72" t="s">
        <v>1054</v>
      </c>
      <c r="BE73" s="73">
        <f>IFERROR((IF(OR(COUNTIF($BU$2,"*BadlandsBrawl*"),COUNTIF($BU$2,"*UnderworldChallenge*")),90000,0)),0)</f>
        <v>0</v>
      </c>
      <c r="BH73" s="72" t="s">
        <v>1062</v>
      </c>
      <c r="BI73" s="73">
        <f>IFERROR((IF(OR(COUNTIF($BU$2,"*UnderworldChallenge*")),150000,0)),0)</f>
        <v>0</v>
      </c>
      <c r="BK73" s="2"/>
      <c r="BM73" s="2"/>
      <c r="BN73" s="2"/>
      <c r="BO73" s="72" t="str">
        <f>IF($J$24="Español","TOTEM DEL CAOS","CHAOS TOTEM")</f>
        <v>TOTEM DEL CAOS</v>
      </c>
      <c r="BP73" s="73">
        <v>50000</v>
      </c>
      <c r="BS73" s="81" t="str">
        <f>IF($J$24="Español","Forcejear",(IF($J$24="Deutsch","Ball entreißen",(IF($J$24="Français","Blocage","Dauntless")))))</f>
        <v>Forcejear</v>
      </c>
      <c r="BT73" s="21" t="s">
        <v>167</v>
      </c>
      <c r="BU73" s="81" t="str">
        <f>IF($J$24="Español","Forcejear",(IF($J$24="Deutsch","Ball entreißen",(IF($J$24="Français","Blocage","Dauntless")))))</f>
        <v>Forcejear</v>
      </c>
      <c r="BV73" s="21" t="s">
        <v>167</v>
      </c>
      <c r="BW73" s="81" t="str">
        <f>IF($J$24="Español","Forcejear",(IF($J$24="Deutsch","Ball entreißen",(IF($J$24="Français","Blocage","Dauntless")))))</f>
        <v>Forcejear</v>
      </c>
      <c r="BX73" s="21" t="s">
        <v>167</v>
      </c>
      <c r="BY73" s="75" t="str">
        <f>IF($J$24="Español","Forcejear",(IF($J$24="Deutsch","Ball entreißen",(IF($J$24="Français","Blocage","Dauntless")))))</f>
        <v>Forcejear</v>
      </c>
      <c r="BZ73" s="21" t="s">
        <v>167</v>
      </c>
      <c r="CA73" s="2" t="str">
        <f>IF($J$24="Deutsch","GE-","AG-")</f>
        <v>AG-</v>
      </c>
      <c r="CB73" s="2" t="s">
        <v>174</v>
      </c>
      <c r="CC73" s="75" t="str">
        <f>IF($J$24="Español","Juego Sucio (+1)",(IF($J$24="Deutsch","Block",(IF($J$24="Français","Frénésie ","Fend")))))</f>
        <v>Juego Sucio (+1)</v>
      </c>
      <c r="CD73" s="2" t="s">
        <v>167</v>
      </c>
      <c r="CE73" s="80"/>
      <c r="CF73" s="2"/>
      <c r="CG73" s="2" t="str">
        <f t="shared" si="71"/>
        <v/>
      </c>
      <c r="CH73" s="2" t="str">
        <f t="shared" si="72"/>
        <v/>
      </c>
      <c r="CI73" s="2" t="str">
        <f t="shared" si="73"/>
        <v/>
      </c>
      <c r="CJ73" s="2" t="str">
        <f t="shared" si="74"/>
        <v/>
      </c>
      <c r="CK73" s="2" t="str">
        <f t="shared" si="75"/>
        <v/>
      </c>
      <c r="CL73" s="2" t="str">
        <f t="shared" si="76"/>
        <v/>
      </c>
      <c r="CM73" s="2" t="str">
        <f t="shared" si="77"/>
        <v/>
      </c>
      <c r="CN73" s="2" t="str">
        <f t="shared" si="78"/>
        <v/>
      </c>
      <c r="CO73" s="2" t="str">
        <f t="shared" si="79"/>
        <v/>
      </c>
      <c r="CP73" s="2" t="str">
        <f t="shared" si="80"/>
        <v/>
      </c>
      <c r="CQ73" s="2" t="str">
        <f t="shared" si="81"/>
        <v/>
      </c>
      <c r="CR73" s="2" t="str">
        <f t="shared" si="82"/>
        <v/>
      </c>
      <c r="CS73" s="2" t="str">
        <f t="shared" si="83"/>
        <v/>
      </c>
      <c r="CT73" s="2" t="str">
        <f t="shared" si="84"/>
        <v/>
      </c>
      <c r="CU73" s="2" t="str">
        <f t="shared" si="85"/>
        <v/>
      </c>
      <c r="CV73" s="2" t="str">
        <f t="shared" si="86"/>
        <v/>
      </c>
      <c r="CW73" s="2"/>
      <c r="CX73" s="2"/>
      <c r="CY73" s="2"/>
      <c r="CZ73" s="2"/>
    </row>
    <row r="74" spans="2:104" ht="15" hidden="1" customHeight="1" x14ac:dyDescent="0.2">
      <c r="B74" s="122"/>
      <c r="C74" s="122"/>
      <c r="D74" s="122"/>
      <c r="E74" s="122"/>
      <c r="F74" s="122"/>
      <c r="G74" s="2"/>
      <c r="H74" s="2"/>
      <c r="I74" s="2"/>
      <c r="J74" s="2"/>
      <c r="K74" s="2">
        <f t="shared" si="56"/>
        <v>0</v>
      </c>
      <c r="L74" s="2">
        <f t="shared" si="57"/>
        <v>0</v>
      </c>
      <c r="M74" s="2">
        <f t="shared" si="58"/>
        <v>0</v>
      </c>
      <c r="N74" s="2">
        <f t="shared" si="58"/>
        <v>0</v>
      </c>
      <c r="O74" s="2">
        <f t="shared" si="59"/>
        <v>0</v>
      </c>
      <c r="P74" s="2"/>
      <c r="Q74" s="1">
        <f>IFERROR((VLOOKUP($BO$1&amp;C10,TeamsProtajer!D:M,2,0)+AK74+AC74),0)</f>
        <v>0</v>
      </c>
      <c r="R74" s="1">
        <f>IFERROR((VLOOKUP($BO$1&amp;C10,TeamsProtajer!D:M,3,0)+AL74+AD74),0)</f>
        <v>0</v>
      </c>
      <c r="S74" s="1">
        <f>IFERROR((VLOOKUP($BO$1&amp;C10,TeamsProtajer!D:M,4,0)+AM74-AE74),0)</f>
        <v>0</v>
      </c>
      <c r="T74" s="1">
        <f>IFERROR((VLOOKUP($BO$1&amp;C10,TeamsProtajer!D:M,5,0)+AN74-AF74),0)</f>
        <v>0</v>
      </c>
      <c r="U74" s="1">
        <f>IFERROR((VLOOKUP($BO$1&amp;C10,TeamsProtajer!D:M,6,0)+AO74+AG74),0)</f>
        <v>0</v>
      </c>
      <c r="V74" s="2"/>
      <c r="W74" s="2">
        <f>IFERROR((VLOOKUP($BO$1&amp;C10,TeamsProtajer!D:M,2,0)),0)</f>
        <v>0</v>
      </c>
      <c r="X74" s="2">
        <f>IFERROR((VLOOKUP($BO$1&amp;C10,TeamsProtajer!D:M,3,0)),0)</f>
        <v>0</v>
      </c>
      <c r="Y74" s="2">
        <f>IFERROR((VLOOKUP($BO$1&amp;C10,TeamsProtajer!D:M,4,0)),0)</f>
        <v>0</v>
      </c>
      <c r="Z74" s="2">
        <f>IFERROR((VLOOKUP($BO$1&amp;C10,TeamsProtajer!D:M,5,0)),0)</f>
        <v>0</v>
      </c>
      <c r="AA74" s="2">
        <f>IFERROR((VLOOKUP($BO$1&amp;C10,TeamsProtajer!D:M,6,0)),0)</f>
        <v>0</v>
      </c>
      <c r="AB74" s="2"/>
      <c r="AC74" s="2">
        <f t="shared" si="60"/>
        <v>0</v>
      </c>
      <c r="AD74" s="2">
        <f t="shared" si="61"/>
        <v>0</v>
      </c>
      <c r="AE74" s="2">
        <f t="shared" si="62"/>
        <v>0</v>
      </c>
      <c r="AF74" s="2">
        <f t="shared" si="63"/>
        <v>0</v>
      </c>
      <c r="AG74" s="2">
        <f t="shared" si="64"/>
        <v>0</v>
      </c>
      <c r="AH74" s="2"/>
      <c r="AI74" s="13">
        <v>3</v>
      </c>
      <c r="AJ74" s="2"/>
      <c r="AK74" s="1">
        <f t="shared" si="65"/>
        <v>0</v>
      </c>
      <c r="AL74" s="1">
        <f t="shared" si="66"/>
        <v>0</v>
      </c>
      <c r="AM74" s="1">
        <f t="shared" si="67"/>
        <v>0</v>
      </c>
      <c r="AN74" s="1">
        <f t="shared" si="68"/>
        <v>0</v>
      </c>
      <c r="AO74" s="1">
        <f t="shared" si="69"/>
        <v>0</v>
      </c>
      <c r="AP74" s="2"/>
      <c r="AQ74" s="13">
        <v>9</v>
      </c>
      <c r="AR74" s="12">
        <v>640000</v>
      </c>
      <c r="AS74" s="12">
        <v>90000</v>
      </c>
      <c r="AT74" s="76" t="str">
        <f>IF(J24="English","-1 AV",(IF(J24="Español","-1 AR",(IF(J24="Deutsch","-1 RW",(IF(J24="Français","-1 AR")))))))</f>
        <v>-1 AR</v>
      </c>
      <c r="AU74" s="1"/>
      <c r="AV74" s="1"/>
      <c r="AW74" s="1"/>
      <c r="AX74" s="78">
        <v>6</v>
      </c>
      <c r="AY74" s="78">
        <v>7</v>
      </c>
      <c r="AZ74" s="2" t="s">
        <v>219</v>
      </c>
      <c r="BA74" s="2" t="str">
        <f>IF(J24="Deutsch","NEIN",(IF(J24="Français","NON","NO")))</f>
        <v>NO</v>
      </c>
      <c r="BB74" s="2" t="str">
        <f>IF(J24="Italiano","SI",(IF(J24="Español","SÍ",(IF(J24="Deutsch","JA",(IF(J24="Français","OUI","YES")))))))</f>
        <v>SÍ</v>
      </c>
      <c r="BC74" s="2"/>
      <c r="BD74" s="72" t="s">
        <v>1055</v>
      </c>
      <c r="BE74" s="73">
        <v>90000</v>
      </c>
      <c r="BH74" s="72" t="s">
        <v>1063</v>
      </c>
      <c r="BI74" s="73">
        <f>IFERROR((IF(OR(COUNTIF($BU$2,"*BadlandsBrawl*")),150000,0)),0)</f>
        <v>0</v>
      </c>
      <c r="BK74" s="2"/>
      <c r="BM74" s="2"/>
      <c r="BN74" s="2"/>
      <c r="BO74" s="72" t="s">
        <v>1183</v>
      </c>
      <c r="BP74" s="73">
        <v>50000</v>
      </c>
      <c r="BS74" s="81" t="str">
        <f>IF($J$24="Español","Furia",(IF($J$24="Deutsch","Ballgefühl",(IF($J$24="Français","Frappe précise","Dirty Player (+1)")))))</f>
        <v>Furia</v>
      </c>
      <c r="BT74" s="21" t="s">
        <v>167</v>
      </c>
      <c r="BU74" s="81" t="str">
        <f>IF($J$24="Español","Furia",(IF($J$24="Deutsch","Ballgefühl",(IF($J$24="Français","Frappe précise","Dirty Player (+1)")))))</f>
        <v>Furia</v>
      </c>
      <c r="BV74" s="21" t="s">
        <v>167</v>
      </c>
      <c r="BW74" s="81" t="str">
        <f>IF($J$24="Español","Furia",(IF($J$24="Deutsch","Ballgefühl",(IF($J$24="Français","Frappe précise","Dirty Player (+1)")))))</f>
        <v>Furia</v>
      </c>
      <c r="BX74" s="21" t="s">
        <v>167</v>
      </c>
      <c r="BY74" s="75" t="str">
        <f>IF($J$24="Español","Furia",(IF($J$24="Deutsch","Ballgefühl",(IF($J$24="Français","Frappe précise","Dirty Player (+1)")))))</f>
        <v>Furia</v>
      </c>
      <c r="BZ74" s="21" t="s">
        <v>167</v>
      </c>
      <c r="CA74" s="2" t="str">
        <f>IF($J$24="Deutsch","WG-",(IF($J$24="Français","CP-","PA-")))</f>
        <v>PA-</v>
      </c>
      <c r="CB74" s="2" t="s">
        <v>175</v>
      </c>
      <c r="CC74" s="75" t="str">
        <f>IF($J$24="Español","Manos Seguras",(IF($J$24="Deutsch","Brutal (+1)",(IF($J$24="Français","Intrépide","Frenzy")))))</f>
        <v>Manos Seguras</v>
      </c>
      <c r="CD74" s="2" t="s">
        <v>167</v>
      </c>
      <c r="CE74" s="80"/>
      <c r="CF74" s="2"/>
      <c r="CG74" s="2" t="str">
        <f t="shared" si="71"/>
        <v/>
      </c>
      <c r="CH74" s="2" t="str">
        <f t="shared" si="72"/>
        <v/>
      </c>
      <c r="CI74" s="2" t="str">
        <f t="shared" si="73"/>
        <v/>
      </c>
      <c r="CJ74" s="2" t="str">
        <f t="shared" si="74"/>
        <v/>
      </c>
      <c r="CK74" s="2" t="str">
        <f t="shared" si="75"/>
        <v/>
      </c>
      <c r="CL74" s="2" t="str">
        <f t="shared" si="76"/>
        <v/>
      </c>
      <c r="CM74" s="2" t="str">
        <f t="shared" si="77"/>
        <v/>
      </c>
      <c r="CN74" s="2" t="str">
        <f t="shared" si="78"/>
        <v/>
      </c>
      <c r="CO74" s="2" t="str">
        <f t="shared" si="79"/>
        <v/>
      </c>
      <c r="CP74" s="2" t="str">
        <f t="shared" si="80"/>
        <v/>
      </c>
      <c r="CQ74" s="2" t="str">
        <f t="shared" si="81"/>
        <v/>
      </c>
      <c r="CR74" s="2" t="str">
        <f t="shared" si="82"/>
        <v/>
      </c>
      <c r="CS74" s="2" t="str">
        <f t="shared" si="83"/>
        <v/>
      </c>
      <c r="CT74" s="2" t="str">
        <f t="shared" si="84"/>
        <v/>
      </c>
      <c r="CU74" s="2" t="str">
        <f t="shared" si="85"/>
        <v/>
      </c>
      <c r="CV74" s="2" t="str">
        <f t="shared" si="86"/>
        <v/>
      </c>
      <c r="CW74" s="2"/>
      <c r="CX74" s="2"/>
      <c r="CY74" s="2"/>
      <c r="CZ74" s="2"/>
    </row>
    <row r="75" spans="2:104" ht="15" hidden="1" customHeight="1" x14ac:dyDescent="0.2">
      <c r="B75" s="122" t="str">
        <f>IF((SUM(AT36:AU41))=2,(IF(J24="Italiano","NON SI POSSONO AVERE DUE SUPERSTAR!   ",IF(J24="Español","¡NO PUEDES TENER DOS SUPERESTRELLAS!   ",(IF(J24="Deutsch","MAN KANN NICHT ZWEI SUPERSTARS HABEN!   ",(IF(J24="Français","ON NE PEUT PAS AVOIR DEUX SUPERSTARS!   ","YOU CAN'T HAVE TWO SUPERSTARS!   "))))))),"")</f>
        <v/>
      </c>
      <c r="C75" s="122"/>
      <c r="D75" s="122"/>
      <c r="E75" s="122"/>
      <c r="F75" s="122"/>
      <c r="G75" s="2"/>
      <c r="H75" s="2"/>
      <c r="I75" s="2"/>
      <c r="J75" s="2"/>
      <c r="K75" s="2">
        <f t="shared" si="56"/>
        <v>0</v>
      </c>
      <c r="L75" s="2">
        <f t="shared" si="57"/>
        <v>0</v>
      </c>
      <c r="M75" s="2">
        <f t="shared" si="58"/>
        <v>0</v>
      </c>
      <c r="N75" s="2">
        <f t="shared" si="58"/>
        <v>0</v>
      </c>
      <c r="O75" s="2">
        <f t="shared" si="59"/>
        <v>0</v>
      </c>
      <c r="P75" s="2"/>
      <c r="Q75" s="1">
        <f>IFERROR((VLOOKUP($BO$1&amp;C11,TeamsProtajer!D:M,2,0)+AK75+AC75),0)</f>
        <v>0</v>
      </c>
      <c r="R75" s="1">
        <f>IFERROR((VLOOKUP($BO$1&amp;C11,TeamsProtajer!D:M,3,0)+AL75+AD75),0)</f>
        <v>0</v>
      </c>
      <c r="S75" s="1">
        <f>IFERROR((VLOOKUP($BO$1&amp;C11,TeamsProtajer!D:M,4,0)+AM75-AE75),0)</f>
        <v>0</v>
      </c>
      <c r="T75" s="1">
        <f>IFERROR((VLOOKUP($BO$1&amp;C11,TeamsProtajer!D:M,5,0)+AN75-AF75),0)</f>
        <v>0</v>
      </c>
      <c r="U75" s="1">
        <f>IFERROR((VLOOKUP($BO$1&amp;C11,TeamsProtajer!D:M,6,0)+AO75+AG75),0)</f>
        <v>0</v>
      </c>
      <c r="V75" s="2"/>
      <c r="W75" s="2">
        <f>IFERROR((VLOOKUP($BO$1&amp;C11,TeamsProtajer!D:M,2,0)),0)</f>
        <v>0</v>
      </c>
      <c r="X75" s="2">
        <f>IFERROR((VLOOKUP($BO$1&amp;C11,TeamsProtajer!D:M,3,0)),0)</f>
        <v>0</v>
      </c>
      <c r="Y75" s="2">
        <f>IFERROR((VLOOKUP($BO$1&amp;C11,TeamsProtajer!D:M,4,0)),0)</f>
        <v>0</v>
      </c>
      <c r="Z75" s="2">
        <f>IFERROR((VLOOKUP($BO$1&amp;C11,TeamsProtajer!D:M,5,0)),0)</f>
        <v>0</v>
      </c>
      <c r="AA75" s="2">
        <f>IFERROR((VLOOKUP($BO$1&amp;C11,TeamsProtajer!D:M,6,0)),0)</f>
        <v>0</v>
      </c>
      <c r="AB75" s="2"/>
      <c r="AC75" s="2">
        <f t="shared" si="60"/>
        <v>0</v>
      </c>
      <c r="AD75" s="2">
        <f t="shared" si="61"/>
        <v>0</v>
      </c>
      <c r="AE75" s="2">
        <f t="shared" si="62"/>
        <v>0</v>
      </c>
      <c r="AF75" s="2">
        <f t="shared" si="63"/>
        <v>0</v>
      </c>
      <c r="AG75" s="2">
        <f t="shared" si="64"/>
        <v>0</v>
      </c>
      <c r="AH75" s="2"/>
      <c r="AI75" s="13">
        <v>4</v>
      </c>
      <c r="AJ75" s="2"/>
      <c r="AK75" s="1">
        <f t="shared" si="65"/>
        <v>0</v>
      </c>
      <c r="AL75" s="1">
        <f t="shared" si="66"/>
        <v>0</v>
      </c>
      <c r="AM75" s="1">
        <f t="shared" si="67"/>
        <v>0</v>
      </c>
      <c r="AN75" s="1">
        <f t="shared" si="68"/>
        <v>0</v>
      </c>
      <c r="AO75" s="1">
        <f t="shared" si="69"/>
        <v>0</v>
      </c>
      <c r="AP75" s="2"/>
      <c r="AQ75" s="12">
        <v>10</v>
      </c>
      <c r="AR75" s="12">
        <v>645000</v>
      </c>
      <c r="AS75" s="12">
        <v>100000</v>
      </c>
      <c r="AT75" s="76" t="str">
        <f>IF(J24="English","-2 AV",(IF(J24="Español","-2 AR",(IF(J24="Deutsch","-2 RW",(IF(J24="Français","-2 AR")))))))</f>
        <v>-2 AR</v>
      </c>
      <c r="AU75" s="1"/>
      <c r="AV75" s="1"/>
      <c r="AW75" s="1"/>
      <c r="AX75" s="78">
        <v>7</v>
      </c>
      <c r="AY75" s="78">
        <v>8</v>
      </c>
      <c r="AZ75" s="1">
        <v>20000</v>
      </c>
      <c r="BA75" s="2"/>
      <c r="BB75" s="2"/>
      <c r="BC75" s="2"/>
      <c r="BD75" s="73"/>
      <c r="BE75" s="73"/>
      <c r="BH75" s="72" t="s">
        <v>1064</v>
      </c>
      <c r="BI75" s="73">
        <f>IFERROR((IF(OR(COUNTIF($BU$2,"*BadlandsBrawl*"),COUNTIF($BU$2,"*UnderworldChallenge*")),150000,0)),0)</f>
        <v>0</v>
      </c>
      <c r="BK75" s="2"/>
      <c r="BM75" s="2"/>
      <c r="BN75" s="2"/>
      <c r="BO75" s="72" t="s">
        <v>1233</v>
      </c>
      <c r="BP75" s="73">
        <v>50000</v>
      </c>
      <c r="BS75" s="81" t="str">
        <f>IF($J$24="Español","Juego Sucio (+1)",(IF($J$24="Deutsch","Block",(IF($J$24="Français","Frénésie ","Fend")))))</f>
        <v>Juego Sucio (+1)</v>
      </c>
      <c r="BT75" s="21" t="s">
        <v>167</v>
      </c>
      <c r="BU75" s="81" t="str">
        <f>IF($J$24="Español","Juego Sucio (+1)",(IF($J$24="Deutsch","Block",(IF($J$24="Français","Frénésie ","Fend")))))</f>
        <v>Juego Sucio (+1)</v>
      </c>
      <c r="BV75" s="21" t="s">
        <v>167</v>
      </c>
      <c r="BW75" s="81" t="str">
        <f>IF($J$24="Español","Juego Sucio (+1)",(IF($J$24="Deutsch","Block",(IF($J$24="Français","Frénésie ","Fend")))))</f>
        <v>Juego Sucio (+1)</v>
      </c>
      <c r="BX75" s="21" t="s">
        <v>167</v>
      </c>
      <c r="BY75" s="75" t="str">
        <f>IF($J$24="Español","Juego Sucio (+1)",(IF($J$24="Deutsch","Block",(IF($J$24="Français","Frénésie ","Fend")))))</f>
        <v>Juego Sucio (+1)</v>
      </c>
      <c r="BZ75" s="21" t="s">
        <v>167</v>
      </c>
      <c r="CA75" s="2" t="str">
        <f>IF($J$24="Español","FU+",(IF($J$24="Deutsch","ST+",(IF($J$24="Français","F+","ST+")))))</f>
        <v>FU+</v>
      </c>
      <c r="CB75" s="2" t="s">
        <v>176</v>
      </c>
      <c r="CC75" s="75" t="str">
        <f>IF($J$24="Español","Patada",(IF($J$24="Deutsch","Kicken",(IF($J$24="Français","Joueur Déloyal (+1)","Kick")))))</f>
        <v>Patada</v>
      </c>
      <c r="CD75" s="2" t="s">
        <v>167</v>
      </c>
      <c r="CE75" s="80"/>
      <c r="CF75" s="2"/>
      <c r="CG75" s="2" t="str">
        <f t="shared" si="71"/>
        <v/>
      </c>
      <c r="CH75" s="2" t="str">
        <f t="shared" si="72"/>
        <v/>
      </c>
      <c r="CI75" s="2" t="str">
        <f t="shared" si="73"/>
        <v/>
      </c>
      <c r="CJ75" s="2" t="str">
        <f t="shared" si="74"/>
        <v/>
      </c>
      <c r="CK75" s="2" t="str">
        <f t="shared" si="75"/>
        <v/>
      </c>
      <c r="CL75" s="2" t="str">
        <f t="shared" si="76"/>
        <v/>
      </c>
      <c r="CM75" s="2" t="str">
        <f t="shared" si="77"/>
        <v/>
      </c>
      <c r="CN75" s="2" t="str">
        <f t="shared" si="78"/>
        <v/>
      </c>
      <c r="CO75" s="2" t="str">
        <f t="shared" si="79"/>
        <v/>
      </c>
      <c r="CP75" s="2" t="str">
        <f t="shared" si="80"/>
        <v/>
      </c>
      <c r="CQ75" s="2" t="str">
        <f t="shared" si="81"/>
        <v/>
      </c>
      <c r="CR75" s="2" t="str">
        <f t="shared" si="82"/>
        <v/>
      </c>
      <c r="CS75" s="2" t="str">
        <f t="shared" si="83"/>
        <v/>
      </c>
      <c r="CT75" s="2" t="str">
        <f t="shared" si="84"/>
        <v/>
      </c>
      <c r="CU75" s="2" t="str">
        <f t="shared" si="85"/>
        <v/>
      </c>
      <c r="CV75" s="2" t="str">
        <f t="shared" si="86"/>
        <v/>
      </c>
      <c r="CW75" s="2"/>
      <c r="CX75" s="2"/>
      <c r="CY75" s="2"/>
      <c r="CZ75" s="2"/>
    </row>
    <row r="76" spans="2:104" ht="15" hidden="1" customHeight="1" x14ac:dyDescent="0.2">
      <c r="B76" s="2"/>
      <c r="C76" s="10"/>
      <c r="D76" s="10"/>
      <c r="E76" s="10"/>
      <c r="F76" s="10"/>
      <c r="G76" s="2"/>
      <c r="H76" s="2"/>
      <c r="I76" s="2"/>
      <c r="J76" s="2"/>
      <c r="K76" s="2">
        <f t="shared" si="56"/>
        <v>0</v>
      </c>
      <c r="L76" s="2">
        <f t="shared" si="57"/>
        <v>0</v>
      </c>
      <c r="M76" s="2">
        <f t="shared" si="58"/>
        <v>0</v>
      </c>
      <c r="N76" s="2">
        <f t="shared" si="58"/>
        <v>0</v>
      </c>
      <c r="O76" s="2">
        <f t="shared" si="59"/>
        <v>0</v>
      </c>
      <c r="P76" s="2"/>
      <c r="Q76" s="1">
        <f>IFERROR((VLOOKUP($BO$1&amp;C12,TeamsProtajer!D:M,2,0)+AK76+AC76),0)</f>
        <v>0</v>
      </c>
      <c r="R76" s="1">
        <f>IFERROR((VLOOKUP($BO$1&amp;C12,TeamsProtajer!D:M,3,0)+AL76+AD76),0)</f>
        <v>0</v>
      </c>
      <c r="S76" s="1">
        <f>IFERROR((VLOOKUP($BO$1&amp;C12,TeamsProtajer!D:M,4,0)+AM76-AE76),0)</f>
        <v>0</v>
      </c>
      <c r="T76" s="1">
        <f>IFERROR((VLOOKUP($BO$1&amp;C12,TeamsProtajer!D:M,5,0)+AN76-AF76),0)</f>
        <v>0</v>
      </c>
      <c r="U76" s="1">
        <f>IFERROR((VLOOKUP($BO$1&amp;C12,TeamsProtajer!D:M,6,0)+AO76+AG76),0)</f>
        <v>0</v>
      </c>
      <c r="V76" s="2"/>
      <c r="W76" s="2">
        <f>IFERROR((VLOOKUP($BO$1&amp;C12,TeamsProtajer!D:M,2,0)),0)</f>
        <v>0</v>
      </c>
      <c r="X76" s="2">
        <f>IFERROR((VLOOKUP($BO$1&amp;C12,TeamsProtajer!D:M,3,0)),0)</f>
        <v>0</v>
      </c>
      <c r="Y76" s="2">
        <f>IFERROR((VLOOKUP($BO$1&amp;C12,TeamsProtajer!D:M,4,0)),0)</f>
        <v>0</v>
      </c>
      <c r="Z76" s="2">
        <f>IFERROR((VLOOKUP($BO$1&amp;C12,TeamsProtajer!D:M,5,0)),0)</f>
        <v>0</v>
      </c>
      <c r="AA76" s="2">
        <f>IFERROR((VLOOKUP($BO$1&amp;C12,TeamsProtajer!D:M,6,0)),0)</f>
        <v>0</v>
      </c>
      <c r="AB76" s="2"/>
      <c r="AC76" s="2">
        <f t="shared" si="60"/>
        <v>0</v>
      </c>
      <c r="AD76" s="2">
        <f t="shared" si="61"/>
        <v>0</v>
      </c>
      <c r="AE76" s="2">
        <f t="shared" si="62"/>
        <v>0</v>
      </c>
      <c r="AF76" s="2">
        <f t="shared" si="63"/>
        <v>0</v>
      </c>
      <c r="AG76" s="2">
        <f t="shared" si="64"/>
        <v>0</v>
      </c>
      <c r="AH76" s="2"/>
      <c r="AI76" s="2" t="str">
        <f>""</f>
        <v/>
      </c>
      <c r="AJ76" s="2"/>
      <c r="AK76" s="1">
        <f t="shared" si="65"/>
        <v>0</v>
      </c>
      <c r="AL76" s="1">
        <f t="shared" si="66"/>
        <v>0</v>
      </c>
      <c r="AM76" s="1">
        <f t="shared" si="67"/>
        <v>0</v>
      </c>
      <c r="AN76" s="1">
        <f t="shared" si="68"/>
        <v>0</v>
      </c>
      <c r="AO76" s="1">
        <f t="shared" si="69"/>
        <v>0</v>
      </c>
      <c r="AP76" s="2"/>
      <c r="AQ76" s="13">
        <v>11</v>
      </c>
      <c r="AR76" s="12">
        <v>650000</v>
      </c>
      <c r="AS76" s="12">
        <v>110000</v>
      </c>
      <c r="AT76" s="1"/>
      <c r="AU76" s="1"/>
      <c r="AV76" s="1"/>
      <c r="AW76" s="1"/>
      <c r="AX76" s="78">
        <v>8</v>
      </c>
      <c r="AY76" s="78">
        <v>9</v>
      </c>
      <c r="AZ76" s="1">
        <v>30000</v>
      </c>
      <c r="BA76" s="5" t="s">
        <v>220</v>
      </c>
      <c r="BB76" s="2"/>
      <c r="BC76" s="2"/>
      <c r="BD76" s="73"/>
      <c r="BE76" s="73"/>
      <c r="BH76" s="72" t="s">
        <v>1065</v>
      </c>
      <c r="BI76" s="73">
        <v>80000</v>
      </c>
      <c r="BK76" s="2"/>
      <c r="BM76" s="2"/>
      <c r="BN76" s="2"/>
      <c r="BO76" s="72" t="s">
        <v>1405</v>
      </c>
      <c r="BP76" s="73">
        <v>150000</v>
      </c>
      <c r="BS76" s="81" t="str">
        <f>IF($J$24="Español","Manos Seguras",(IF($J$24="Deutsch","Brutal (+1)",(IF($J$24="Français","Intrépide","Frenzy")))))</f>
        <v>Manos Seguras</v>
      </c>
      <c r="BT76" s="21" t="s">
        <v>167</v>
      </c>
      <c r="BU76" s="81" t="str">
        <f>IF($J$24="Español","Manos Seguras",(IF($J$24="Deutsch","Brutal (+1)",(IF($J$24="Français","Intrépide","Frenzy")))))</f>
        <v>Manos Seguras</v>
      </c>
      <c r="BV76" s="21" t="s">
        <v>167</v>
      </c>
      <c r="BW76" s="81" t="str">
        <f>IF($J$24="Español","Manos Seguras",(IF($J$24="Deutsch","Brutal (+1)",(IF($J$24="Français","Intrépide","Frenzy")))))</f>
        <v>Manos Seguras</v>
      </c>
      <c r="BX76" s="21" t="s">
        <v>167</v>
      </c>
      <c r="BY76" s="75" t="str">
        <f>IF($J$24="Español","Manos Seguras",(IF($J$24="Deutsch","Brutal (+1)",(IF($J$24="Français","Intrépide","Frenzy")))))</f>
        <v>Manos Seguras</v>
      </c>
      <c r="BZ76" s="21" t="s">
        <v>167</v>
      </c>
      <c r="CA76" s="75" t="str">
        <f>IF($J$24="Español","Echarse a un Lado",(IF($J$24="Deutsch","Ausweichen",(IF($J$24="Français","Équilibre","Diving Catch")))))</f>
        <v>Echarse a un Lado</v>
      </c>
      <c r="CB76" s="21" t="s">
        <v>168</v>
      </c>
      <c r="CC76" s="75" t="str">
        <f>IF($J$24="Español","Perseguir",(IF($J$24="Deutsch","Manndeckung",(IF($J$24="Français","Lutte","Pro")))))</f>
        <v>Perseguir</v>
      </c>
      <c r="CD76" s="2" t="s">
        <v>167</v>
      </c>
      <c r="CE76" s="80"/>
      <c r="CF76" s="2"/>
      <c r="CG76" s="2" t="str">
        <f t="shared" si="71"/>
        <v/>
      </c>
      <c r="CH76" s="2" t="str">
        <f t="shared" si="72"/>
        <v/>
      </c>
      <c r="CI76" s="2" t="str">
        <f t="shared" si="73"/>
        <v/>
      </c>
      <c r="CJ76" s="2" t="str">
        <f t="shared" si="74"/>
        <v/>
      </c>
      <c r="CK76" s="2" t="str">
        <f t="shared" si="75"/>
        <v/>
      </c>
      <c r="CL76" s="2" t="str">
        <f t="shared" si="76"/>
        <v/>
      </c>
      <c r="CM76" s="2" t="str">
        <f t="shared" si="77"/>
        <v/>
      </c>
      <c r="CN76" s="2" t="str">
        <f t="shared" si="78"/>
        <v/>
      </c>
      <c r="CO76" s="2" t="str">
        <f t="shared" si="79"/>
        <v/>
      </c>
      <c r="CP76" s="2" t="str">
        <f t="shared" si="80"/>
        <v/>
      </c>
      <c r="CQ76" s="2" t="str">
        <f t="shared" si="81"/>
        <v/>
      </c>
      <c r="CR76" s="2" t="str">
        <f t="shared" si="82"/>
        <v/>
      </c>
      <c r="CS76" s="2" t="str">
        <f t="shared" si="83"/>
        <v/>
      </c>
      <c r="CT76" s="2" t="str">
        <f t="shared" si="84"/>
        <v/>
      </c>
      <c r="CU76" s="2" t="str">
        <f t="shared" si="85"/>
        <v/>
      </c>
      <c r="CV76" s="2" t="str">
        <f t="shared" si="86"/>
        <v/>
      </c>
      <c r="CW76" s="2"/>
      <c r="CX76" s="2"/>
      <c r="CY76" s="2"/>
      <c r="CZ76" s="2"/>
    </row>
    <row r="77" spans="2:104" ht="15" hidden="1" customHeight="1" x14ac:dyDescent="0.2">
      <c r="B77" s="2"/>
      <c r="C77" s="82"/>
      <c r="D77" s="82"/>
      <c r="E77" s="82"/>
      <c r="F77" s="82"/>
      <c r="G77" s="2"/>
      <c r="H77" s="2"/>
      <c r="I77" s="2"/>
      <c r="J77" s="2"/>
      <c r="K77" s="2">
        <f t="shared" si="56"/>
        <v>0</v>
      </c>
      <c r="L77" s="2">
        <f t="shared" si="57"/>
        <v>0</v>
      </c>
      <c r="M77" s="2">
        <f t="shared" si="58"/>
        <v>0</v>
      </c>
      <c r="N77" s="2">
        <f t="shared" si="58"/>
        <v>0</v>
      </c>
      <c r="O77" s="2">
        <f t="shared" si="59"/>
        <v>0</v>
      </c>
      <c r="P77" s="2"/>
      <c r="Q77" s="1">
        <f>IFERROR((VLOOKUP($BO$1&amp;C13,TeamsProtajer!D:M,2,0)+AK77+AC77),0)</f>
        <v>0</v>
      </c>
      <c r="R77" s="1">
        <f>IFERROR((VLOOKUP($BO$1&amp;C13,TeamsProtajer!D:M,3,0)+AL77+AD77),0)</f>
        <v>0</v>
      </c>
      <c r="S77" s="1">
        <f>IFERROR((VLOOKUP($BO$1&amp;C13,TeamsProtajer!D:M,4,0)+AM77-AE77),0)</f>
        <v>0</v>
      </c>
      <c r="T77" s="1">
        <f>IFERROR((VLOOKUP($BO$1&amp;C13,TeamsProtajer!D:M,5,0)+AN77-AF77),0)</f>
        <v>0</v>
      </c>
      <c r="U77" s="1">
        <f>IFERROR((VLOOKUP($BO$1&amp;C13,TeamsProtajer!D:M,6,0)+AO77+AG77),0)</f>
        <v>0</v>
      </c>
      <c r="V77" s="2"/>
      <c r="W77" s="2">
        <f>IFERROR((VLOOKUP($BO$1&amp;C13,TeamsProtajer!D:M,2,0)),0)</f>
        <v>0</v>
      </c>
      <c r="X77" s="2">
        <f>IFERROR((VLOOKUP($BO$1&amp;C13,TeamsProtajer!D:M,3,0)),0)</f>
        <v>0</v>
      </c>
      <c r="Y77" s="2">
        <f>IFERROR((VLOOKUP($BO$1&amp;C13,TeamsProtajer!D:M,4,0)),0)</f>
        <v>0</v>
      </c>
      <c r="Z77" s="2">
        <f>IFERROR((VLOOKUP($BO$1&amp;C13,TeamsProtajer!D:M,5,0)),0)</f>
        <v>0</v>
      </c>
      <c r="AA77" s="2">
        <f>IFERROR((VLOOKUP($BO$1&amp;C13,TeamsProtajer!D:M,6,0)),0)</f>
        <v>0</v>
      </c>
      <c r="AB77" s="2"/>
      <c r="AC77" s="2">
        <f t="shared" si="60"/>
        <v>0</v>
      </c>
      <c r="AD77" s="2">
        <f t="shared" si="61"/>
        <v>0</v>
      </c>
      <c r="AE77" s="2">
        <f t="shared" si="62"/>
        <v>0</v>
      </c>
      <c r="AF77" s="2">
        <f t="shared" si="63"/>
        <v>0</v>
      </c>
      <c r="AG77" s="2">
        <f t="shared" si="64"/>
        <v>0</v>
      </c>
      <c r="AH77" s="2"/>
      <c r="AI77" s="2">
        <v>1</v>
      </c>
      <c r="AJ77" s="2"/>
      <c r="AK77" s="1">
        <f t="shared" si="65"/>
        <v>0</v>
      </c>
      <c r="AL77" s="1">
        <f t="shared" si="66"/>
        <v>0</v>
      </c>
      <c r="AM77" s="1">
        <f t="shared" si="67"/>
        <v>0</v>
      </c>
      <c r="AN77" s="1">
        <f t="shared" si="68"/>
        <v>0</v>
      </c>
      <c r="AO77" s="1">
        <f t="shared" si="69"/>
        <v>0</v>
      </c>
      <c r="AP77" s="2"/>
      <c r="AQ77" s="13">
        <v>12</v>
      </c>
      <c r="AR77" s="12">
        <v>655000</v>
      </c>
      <c r="AS77" s="12">
        <v>120000</v>
      </c>
      <c r="AT77" s="1"/>
      <c r="AU77" s="1"/>
      <c r="AV77" s="1"/>
      <c r="AW77" s="1"/>
      <c r="AX77" s="78">
        <v>9</v>
      </c>
      <c r="AY77" s="78">
        <v>10</v>
      </c>
      <c r="AZ77" s="1">
        <v>40000</v>
      </c>
      <c r="BA77" s="2">
        <f>SUM(AR2:AR17)</f>
        <v>0</v>
      </c>
      <c r="BB77" s="2"/>
      <c r="BC77" s="2"/>
      <c r="BD77" s="2"/>
      <c r="BE77" s="2"/>
      <c r="BI77" s="2"/>
      <c r="BK77" s="2"/>
      <c r="BM77" s="2"/>
      <c r="BN77" s="2"/>
      <c r="BO77" s="72" t="s">
        <v>1489</v>
      </c>
      <c r="BP77" s="73">
        <v>50000</v>
      </c>
      <c r="BS77" s="81" t="str">
        <f>IF($J$24="Español","Patada",(IF($J$24="Deutsch","Kicken",(IF($J$24="Français","Joueur Déloyal (+1)","Kick")))))</f>
        <v>Patada</v>
      </c>
      <c r="BT77" s="21" t="s">
        <v>167</v>
      </c>
      <c r="BU77" s="81" t="str">
        <f>IF($J$24="Español","Patada",(IF($J$24="Deutsch","Kicken",(IF($J$24="Français","Joueur Déloyal (+1)","Kick")))))</f>
        <v>Patada</v>
      </c>
      <c r="BV77" s="21" t="s">
        <v>167</v>
      </c>
      <c r="BW77" s="81" t="str">
        <f>IF($J$24="Español","Patada",(IF($J$24="Deutsch","Kicken",(IF($J$24="Français","Joueur Déloyal (+1)","Kick")))))</f>
        <v>Patada</v>
      </c>
      <c r="BX77" s="21" t="s">
        <v>167</v>
      </c>
      <c r="BY77" s="75" t="str">
        <f>IF($J$24="Español","Patada",(IF($J$24="Deutsch","Kicken",(IF($J$24="Français","Joueur Déloyal (+1)","Kick")))))</f>
        <v>Patada</v>
      </c>
      <c r="BZ77" s="21" t="s">
        <v>167</v>
      </c>
      <c r="CA77" s="75" t="str">
        <f>IF($J$24="Español","En Pie de un Salto",(IF($J$24="Deutsch","Fangsicher",(IF($J$24="Français","Esquive","Diving Tackle")))))</f>
        <v>En Pie de un Salto</v>
      </c>
      <c r="CB77" s="21" t="s">
        <v>168</v>
      </c>
      <c r="CC77" s="75" t="str">
        <f>IF($J$24="Español","Placaje Defensivo",(IF($J$24="Deutsch","Profi",(IF($J$24="Français","Parade","Shadowing")))))</f>
        <v>Placaje Defensivo</v>
      </c>
      <c r="CD77" s="2" t="s">
        <v>167</v>
      </c>
      <c r="CE77" s="80"/>
      <c r="CF77" s="2"/>
      <c r="CG77" s="2" t="str">
        <f t="shared" si="71"/>
        <v/>
      </c>
      <c r="CH77" s="2" t="str">
        <f t="shared" si="72"/>
        <v/>
      </c>
      <c r="CI77" s="2" t="str">
        <f t="shared" si="73"/>
        <v/>
      </c>
      <c r="CJ77" s="2" t="str">
        <f t="shared" si="74"/>
        <v/>
      </c>
      <c r="CK77" s="2" t="str">
        <f t="shared" si="75"/>
        <v/>
      </c>
      <c r="CL77" s="2" t="str">
        <f t="shared" si="76"/>
        <v/>
      </c>
      <c r="CM77" s="2" t="str">
        <f t="shared" si="77"/>
        <v/>
      </c>
      <c r="CN77" s="2" t="str">
        <f t="shared" si="78"/>
        <v/>
      </c>
      <c r="CO77" s="2" t="str">
        <f t="shared" si="79"/>
        <v/>
      </c>
      <c r="CP77" s="2" t="str">
        <f t="shared" si="80"/>
        <v/>
      </c>
      <c r="CQ77" s="2" t="str">
        <f t="shared" si="81"/>
        <v/>
      </c>
      <c r="CR77" s="2" t="str">
        <f t="shared" si="82"/>
        <v/>
      </c>
      <c r="CS77" s="2" t="str">
        <f t="shared" si="83"/>
        <v/>
      </c>
      <c r="CT77" s="2" t="str">
        <f t="shared" si="84"/>
        <v/>
      </c>
      <c r="CU77" s="2" t="str">
        <f t="shared" si="85"/>
        <v/>
      </c>
      <c r="CV77" s="2" t="str">
        <f t="shared" si="86"/>
        <v/>
      </c>
      <c r="CW77" s="2"/>
      <c r="CX77" s="2"/>
      <c r="CY77" s="2"/>
      <c r="CZ77" s="2"/>
    </row>
    <row r="78" spans="2:104" ht="15" hidden="1" customHeight="1" x14ac:dyDescent="0.2">
      <c r="B78" s="2"/>
      <c r="C78" s="10"/>
      <c r="D78" s="10"/>
      <c r="E78" s="10"/>
      <c r="F78" s="10"/>
      <c r="G78" s="2"/>
      <c r="H78" s="2"/>
      <c r="I78" s="2"/>
      <c r="J78" s="2"/>
      <c r="K78" s="2">
        <f t="shared" si="56"/>
        <v>0</v>
      </c>
      <c r="L78" s="2">
        <f t="shared" si="57"/>
        <v>0</v>
      </c>
      <c r="M78" s="2">
        <f t="shared" si="58"/>
        <v>0</v>
      </c>
      <c r="N78" s="2">
        <f t="shared" si="58"/>
        <v>0</v>
      </c>
      <c r="O78" s="2">
        <f t="shared" si="59"/>
        <v>0</v>
      </c>
      <c r="P78" s="2"/>
      <c r="Q78" s="1">
        <f>IFERROR((VLOOKUP($BO$1&amp;C14,TeamsProtajer!D:M,2,0)+AK78+AC78),0)</f>
        <v>0</v>
      </c>
      <c r="R78" s="1">
        <f>IFERROR((VLOOKUP($BO$1&amp;C14,TeamsProtajer!D:M,3,0)+AL78+AD78),0)</f>
        <v>0</v>
      </c>
      <c r="S78" s="1">
        <f>IFERROR((VLOOKUP($BO$1&amp;C14,TeamsProtajer!D:M,4,0)+AM78-AE78),0)</f>
        <v>0</v>
      </c>
      <c r="T78" s="1">
        <f>IFERROR((VLOOKUP($BO$1&amp;C14,TeamsProtajer!D:M,5,0)+AN78-AF78),0)</f>
        <v>0</v>
      </c>
      <c r="U78" s="1">
        <f>IFERROR((VLOOKUP($BO$1&amp;C14,TeamsProtajer!D:M,6,0)+AO78+AG78),0)</f>
        <v>0</v>
      </c>
      <c r="V78" s="2"/>
      <c r="W78" s="2">
        <f>IFERROR((VLOOKUP($BO$1&amp;C14,TeamsProtajer!D:M,2,0)),0)</f>
        <v>0</v>
      </c>
      <c r="X78" s="2">
        <f>IFERROR((VLOOKUP($BO$1&amp;C14,TeamsProtajer!D:M,3,0)),0)</f>
        <v>0</v>
      </c>
      <c r="Y78" s="2">
        <f>IFERROR((VLOOKUP($BO$1&amp;C14,TeamsProtajer!D:M,4,0)),0)</f>
        <v>0</v>
      </c>
      <c r="Z78" s="2">
        <f>IFERROR((VLOOKUP($BO$1&amp;C14,TeamsProtajer!D:M,5,0)),0)</f>
        <v>0</v>
      </c>
      <c r="AA78" s="2">
        <f>IFERROR((VLOOKUP($BO$1&amp;C14,TeamsProtajer!D:M,6,0)),0)</f>
        <v>0</v>
      </c>
      <c r="AB78" s="2"/>
      <c r="AC78" s="2">
        <f t="shared" si="60"/>
        <v>0</v>
      </c>
      <c r="AD78" s="2">
        <f t="shared" si="61"/>
        <v>0</v>
      </c>
      <c r="AE78" s="2">
        <f t="shared" si="62"/>
        <v>0</v>
      </c>
      <c r="AF78" s="2">
        <f t="shared" si="63"/>
        <v>0</v>
      </c>
      <c r="AG78" s="2">
        <f t="shared" si="64"/>
        <v>0</v>
      </c>
      <c r="AH78" s="2"/>
      <c r="AI78" s="2">
        <v>-1</v>
      </c>
      <c r="AJ78" s="2"/>
      <c r="AK78" s="1">
        <f t="shared" si="65"/>
        <v>0</v>
      </c>
      <c r="AL78" s="1">
        <f t="shared" si="66"/>
        <v>0</v>
      </c>
      <c r="AM78" s="1">
        <f t="shared" si="67"/>
        <v>0</v>
      </c>
      <c r="AN78" s="1">
        <f t="shared" si="68"/>
        <v>0</v>
      </c>
      <c r="AO78" s="1">
        <f t="shared" si="69"/>
        <v>0</v>
      </c>
      <c r="AP78" s="2"/>
      <c r="AQ78" s="12">
        <v>13</v>
      </c>
      <c r="AR78" s="12">
        <v>660000</v>
      </c>
      <c r="AS78" s="12">
        <v>130000</v>
      </c>
      <c r="AT78" s="1"/>
      <c r="AU78" s="1"/>
      <c r="AV78" s="1"/>
      <c r="AW78" s="1"/>
      <c r="AX78" s="78">
        <v>10</v>
      </c>
      <c r="AY78" s="78">
        <v>11</v>
      </c>
      <c r="AZ78" s="1">
        <v>50000</v>
      </c>
      <c r="BA78" s="5" t="s">
        <v>221</v>
      </c>
      <c r="BB78" s="2"/>
      <c r="BC78" s="2"/>
      <c r="BD78" s="2"/>
      <c r="BE78" s="2"/>
      <c r="BI78" s="2"/>
      <c r="BK78" s="2"/>
      <c r="BM78" s="2"/>
      <c r="BN78" s="2"/>
      <c r="BO78" s="74" t="s">
        <v>1521</v>
      </c>
      <c r="BP78" s="73">
        <v>150000</v>
      </c>
      <c r="BS78" s="81" t="str">
        <f>IF($J$24="Español","Perseguir",(IF($J$24="Deutsch","Manndeckung",(IF($J$24="Français","Lutte","Pro")))))</f>
        <v>Perseguir</v>
      </c>
      <c r="BT78" s="21" t="s">
        <v>167</v>
      </c>
      <c r="BU78" s="81" t="str">
        <f>IF($J$24="Español","Perseguir",(IF($J$24="Deutsch","Manndeckung",(IF($J$24="Français","Lutte","Pro")))))</f>
        <v>Perseguir</v>
      </c>
      <c r="BV78" s="21" t="s">
        <v>167</v>
      </c>
      <c r="BW78" s="81" t="str">
        <f>IF($J$24="Español","Perseguir",(IF($J$24="Deutsch","Manndeckung",(IF($J$24="Français","Lutte","Pro")))))</f>
        <v>Perseguir</v>
      </c>
      <c r="BX78" s="21" t="s">
        <v>167</v>
      </c>
      <c r="BY78" s="75" t="str">
        <f>IF($J$24="Español","Perseguir",(IF($J$24="Deutsch","Manndeckung",(IF($J$24="Français","Lutte","Pro")))))</f>
        <v>Perseguir</v>
      </c>
      <c r="BZ78" s="21" t="s">
        <v>167</v>
      </c>
      <c r="CA78" s="75" t="str">
        <f>IF($J$24="Español","Esprintar",(IF($J$24="Deutsch","Fliegender Tackle",(IF($J$24="Français","Glissade contrôlée","Dodge")))))</f>
        <v>Esprintar</v>
      </c>
      <c r="CB78" s="21" t="s">
        <v>168</v>
      </c>
      <c r="CC78" s="75" t="str">
        <f>IF($J$24="Español","Placar",(IF($J$24="Deutsch","Rasend",(IF($J$24="Français","Poursuite","Strip Ball")))))</f>
        <v>Placar</v>
      </c>
      <c r="CD78" s="2" t="s">
        <v>167</v>
      </c>
      <c r="CE78" s="80"/>
      <c r="CF78" s="2"/>
      <c r="CG78" s="2" t="str">
        <f t="shared" si="71"/>
        <v/>
      </c>
      <c r="CH78" s="2" t="str">
        <f t="shared" si="72"/>
        <v/>
      </c>
      <c r="CI78" s="2" t="str">
        <f t="shared" si="73"/>
        <v/>
      </c>
      <c r="CJ78" s="2" t="str">
        <f t="shared" si="74"/>
        <v/>
      </c>
      <c r="CK78" s="2" t="str">
        <f t="shared" si="75"/>
        <v/>
      </c>
      <c r="CL78" s="2" t="str">
        <f t="shared" si="76"/>
        <v/>
      </c>
      <c r="CM78" s="2" t="str">
        <f t="shared" si="77"/>
        <v/>
      </c>
      <c r="CN78" s="2" t="str">
        <f t="shared" si="78"/>
        <v/>
      </c>
      <c r="CO78" s="2" t="str">
        <f t="shared" si="79"/>
        <v/>
      </c>
      <c r="CP78" s="2" t="str">
        <f t="shared" si="80"/>
        <v/>
      </c>
      <c r="CQ78" s="2" t="str">
        <f t="shared" si="81"/>
        <v/>
      </c>
      <c r="CR78" s="2" t="str">
        <f t="shared" si="82"/>
        <v/>
      </c>
      <c r="CS78" s="2" t="str">
        <f t="shared" si="83"/>
        <v/>
      </c>
      <c r="CT78" s="2" t="str">
        <f t="shared" si="84"/>
        <v/>
      </c>
      <c r="CU78" s="2" t="str">
        <f t="shared" si="85"/>
        <v/>
      </c>
      <c r="CV78" s="2" t="str">
        <f t="shared" si="86"/>
        <v/>
      </c>
      <c r="CW78" s="2"/>
      <c r="CX78" s="2"/>
      <c r="CY78" s="2"/>
      <c r="CZ78" s="2"/>
    </row>
    <row r="79" spans="2:104" ht="15" hidden="1" customHeight="1" x14ac:dyDescent="0.2">
      <c r="B79" s="2"/>
      <c r="C79" s="2"/>
      <c r="D79" s="2"/>
      <c r="E79" s="2"/>
      <c r="F79" s="2"/>
      <c r="G79" s="2"/>
      <c r="H79" s="2"/>
      <c r="I79" s="2"/>
      <c r="J79" s="2"/>
      <c r="K79" s="2">
        <f t="shared" si="56"/>
        <v>0</v>
      </c>
      <c r="L79" s="2">
        <f t="shared" si="57"/>
        <v>0</v>
      </c>
      <c r="M79" s="2">
        <f t="shared" si="58"/>
        <v>0</v>
      </c>
      <c r="N79" s="2">
        <f t="shared" si="58"/>
        <v>0</v>
      </c>
      <c r="O79" s="2">
        <f t="shared" si="59"/>
        <v>0</v>
      </c>
      <c r="P79" s="2"/>
      <c r="Q79" s="1">
        <f>IFERROR((VLOOKUP($BO$1&amp;C15,TeamsProtajer!D:M,2,0)+AK79+AC79),0)</f>
        <v>0</v>
      </c>
      <c r="R79" s="1">
        <f>IFERROR((VLOOKUP($BO$1&amp;C15,TeamsProtajer!D:M,3,0)+AL79+AD79),0)</f>
        <v>0</v>
      </c>
      <c r="S79" s="1">
        <f>IFERROR((VLOOKUP($BO$1&amp;C15,TeamsProtajer!D:M,4,0)+AM79-AE79),0)</f>
        <v>0</v>
      </c>
      <c r="T79" s="1">
        <f>IFERROR((VLOOKUP($BO$1&amp;C15,TeamsProtajer!D:M,5,0)+AN79-AF79),0)</f>
        <v>0</v>
      </c>
      <c r="U79" s="1">
        <f>IFERROR((VLOOKUP($BO$1&amp;C15,TeamsProtajer!D:M,6,0)+AO79+AG79),0)</f>
        <v>0</v>
      </c>
      <c r="V79" s="2"/>
      <c r="W79" s="2">
        <f>IFERROR((VLOOKUP($BO$1&amp;C15,TeamsProtajer!D:M,2,0)),0)</f>
        <v>0</v>
      </c>
      <c r="X79" s="2">
        <f>IFERROR((VLOOKUP($BO$1&amp;C15,TeamsProtajer!D:M,3,0)),0)</f>
        <v>0</v>
      </c>
      <c r="Y79" s="2">
        <f>IFERROR((VLOOKUP($BO$1&amp;C15,TeamsProtajer!D:M,4,0)),0)</f>
        <v>0</v>
      </c>
      <c r="Z79" s="2">
        <f>IFERROR((VLOOKUP($BO$1&amp;C15,TeamsProtajer!D:M,5,0)),0)</f>
        <v>0</v>
      </c>
      <c r="AA79" s="2">
        <f>IFERROR((VLOOKUP($BO$1&amp;C15,TeamsProtajer!D:M,6,0)),0)</f>
        <v>0</v>
      </c>
      <c r="AB79" s="2"/>
      <c r="AC79" s="2">
        <f t="shared" si="60"/>
        <v>0</v>
      </c>
      <c r="AD79" s="2">
        <f t="shared" si="61"/>
        <v>0</v>
      </c>
      <c r="AE79" s="2">
        <f t="shared" si="62"/>
        <v>0</v>
      </c>
      <c r="AF79" s="2">
        <f t="shared" si="63"/>
        <v>0</v>
      </c>
      <c r="AG79" s="2">
        <f t="shared" si="64"/>
        <v>0</v>
      </c>
      <c r="AH79" s="2"/>
      <c r="AI79" s="2"/>
      <c r="AJ79" s="2"/>
      <c r="AK79" s="1">
        <f t="shared" si="65"/>
        <v>0</v>
      </c>
      <c r="AL79" s="1">
        <f t="shared" si="66"/>
        <v>0</v>
      </c>
      <c r="AM79" s="1">
        <f t="shared" si="67"/>
        <v>0</v>
      </c>
      <c r="AN79" s="1">
        <f t="shared" si="68"/>
        <v>0</v>
      </c>
      <c r="AO79" s="1">
        <f t="shared" si="69"/>
        <v>0</v>
      </c>
      <c r="AP79" s="2"/>
      <c r="AQ79" s="13">
        <v>14</v>
      </c>
      <c r="AR79" s="12">
        <v>665000</v>
      </c>
      <c r="AS79" s="12">
        <v>140000</v>
      </c>
      <c r="AT79" s="1"/>
      <c r="AU79" s="1"/>
      <c r="AV79" s="1"/>
      <c r="AW79" s="1"/>
      <c r="AX79" s="78">
        <v>11</v>
      </c>
      <c r="AY79" s="78">
        <v>12</v>
      </c>
      <c r="AZ79" s="1">
        <v>60000</v>
      </c>
      <c r="BA79" s="2">
        <f>VLOOKUP(BO1,BL:BR,7,FALSE)</f>
        <v>1</v>
      </c>
      <c r="BB79" s="2"/>
      <c r="BC79" s="2"/>
      <c r="BD79" s="2"/>
      <c r="BE79" s="2"/>
      <c r="BI79" s="2"/>
      <c r="BK79" s="2"/>
      <c r="BM79" s="2"/>
      <c r="BN79" s="2"/>
      <c r="BO79" s="2"/>
      <c r="BS79" s="81" t="str">
        <f>IF($J$24="Español","Placaje Defensivo",(IF($J$24="Deutsch","Profi",(IF($J$24="Français","Parade","Shadowing")))))</f>
        <v>Placaje Defensivo</v>
      </c>
      <c r="BT79" s="21" t="s">
        <v>167</v>
      </c>
      <c r="BU79" s="81" t="str">
        <f>IF($J$24="Español","Placaje Defensivo",(IF($J$24="Deutsch","Profi",(IF($J$24="Français","Parade","Shadowing")))))</f>
        <v>Placaje Defensivo</v>
      </c>
      <c r="BV79" s="21" t="s">
        <v>167</v>
      </c>
      <c r="BW79" s="81" t="str">
        <f>IF($J$24="Español","Placaje Defensivo",(IF($J$24="Deutsch","Profi",(IF($J$24="Français","Parade","Shadowing")))))</f>
        <v>Placaje Defensivo</v>
      </c>
      <c r="BX79" s="21" t="s">
        <v>167</v>
      </c>
      <c r="BY79" s="75" t="str">
        <f>IF($J$24="Español","Placaje Defensivo",(IF($J$24="Deutsch","Profi",(IF($J$24="Français","Parade","Shadowing")))))</f>
        <v>Placaje Defensivo</v>
      </c>
      <c r="BZ79" s="21" t="s">
        <v>167</v>
      </c>
      <c r="CA79" s="75" t="str">
        <f>IF($J$24="Español","Esquivar",(IF($J$24="Deutsch","Gewandt",(IF($J$24="Français","Libération contrôlée","Defensive")))))</f>
        <v>Esquivar</v>
      </c>
      <c r="CB79" s="21" t="s">
        <v>168</v>
      </c>
      <c r="CC79" s="75" t="str">
        <f>IF($J$24="Español","Profesional",(IF($J$24="Deutsch","Tackle",(IF($J$24="Français","Prise sûre","Sure Hands")))))</f>
        <v>Profesional</v>
      </c>
      <c r="CD79" s="2" t="s">
        <v>167</v>
      </c>
      <c r="CE79" s="80"/>
      <c r="CF79" s="2"/>
      <c r="CG79" s="2" t="str">
        <f t="shared" si="71"/>
        <v/>
      </c>
      <c r="CH79" s="2" t="str">
        <f t="shared" si="72"/>
        <v/>
      </c>
      <c r="CI79" s="2" t="str">
        <f t="shared" si="73"/>
        <v/>
      </c>
      <c r="CJ79" s="2" t="str">
        <f t="shared" si="74"/>
        <v/>
      </c>
      <c r="CK79" s="2" t="str">
        <f t="shared" si="75"/>
        <v/>
      </c>
      <c r="CL79" s="2" t="str">
        <f t="shared" si="76"/>
        <v/>
      </c>
      <c r="CM79" s="2" t="str">
        <f t="shared" si="77"/>
        <v/>
      </c>
      <c r="CN79" s="2" t="str">
        <f t="shared" si="78"/>
        <v/>
      </c>
      <c r="CO79" s="2" t="str">
        <f t="shared" si="79"/>
        <v/>
      </c>
      <c r="CP79" s="2" t="str">
        <f t="shared" si="80"/>
        <v/>
      </c>
      <c r="CQ79" s="2" t="str">
        <f t="shared" si="81"/>
        <v/>
      </c>
      <c r="CR79" s="2" t="str">
        <f t="shared" si="82"/>
        <v/>
      </c>
      <c r="CS79" s="2" t="str">
        <f t="shared" si="83"/>
        <v/>
      </c>
      <c r="CT79" s="2" t="str">
        <f t="shared" si="84"/>
        <v/>
      </c>
      <c r="CU79" s="2" t="str">
        <f t="shared" si="85"/>
        <v/>
      </c>
      <c r="CV79" s="2" t="str">
        <f t="shared" si="86"/>
        <v/>
      </c>
      <c r="CW79" s="2"/>
      <c r="CX79" s="2"/>
      <c r="CY79" s="2"/>
      <c r="CZ79" s="2"/>
    </row>
    <row r="80" spans="2:104" ht="15" hidden="1" customHeight="1" x14ac:dyDescent="0.2">
      <c r="B80" s="2"/>
      <c r="C80" s="2"/>
      <c r="D80" s="2"/>
      <c r="E80" s="2"/>
      <c r="F80" s="2"/>
      <c r="G80" s="2"/>
      <c r="H80" s="2"/>
      <c r="I80" s="2"/>
      <c r="J80" s="2"/>
      <c r="K80" s="2">
        <f t="shared" si="56"/>
        <v>0</v>
      </c>
      <c r="L80" s="2">
        <f t="shared" si="57"/>
        <v>0</v>
      </c>
      <c r="M80" s="2">
        <f t="shared" si="58"/>
        <v>0</v>
      </c>
      <c r="N80" s="2">
        <f t="shared" si="58"/>
        <v>0</v>
      </c>
      <c r="O80" s="2">
        <f t="shared" si="59"/>
        <v>0</v>
      </c>
      <c r="P80" s="2"/>
      <c r="Q80" s="1">
        <f>IFERROR((VLOOKUP($BO$1&amp;C16,TeamsProtajer!D:M,2,0)+AK80+AC80),0)</f>
        <v>0</v>
      </c>
      <c r="R80" s="1">
        <f>IFERROR((VLOOKUP($BO$1&amp;C16,TeamsProtajer!D:M,3,0)+AL80+AD80),0)</f>
        <v>0</v>
      </c>
      <c r="S80" s="1">
        <f>IFERROR((VLOOKUP($BO$1&amp;C16,TeamsProtajer!D:M,4,0)+AM80-AE80),0)</f>
        <v>0</v>
      </c>
      <c r="T80" s="1">
        <f>IFERROR((VLOOKUP($BO$1&amp;C16,TeamsProtajer!D:M,5,0)+AN80-AF80),0)</f>
        <v>0</v>
      </c>
      <c r="U80" s="1">
        <f>IFERROR((VLOOKUP($BO$1&amp;C16,TeamsProtajer!D:M,6,0)+AO80+AG80),0)</f>
        <v>0</v>
      </c>
      <c r="V80" s="2"/>
      <c r="W80" s="2">
        <f>IFERROR((VLOOKUP($BO$1&amp;C16,TeamsProtajer!D:M,2,0)),0)</f>
        <v>0</v>
      </c>
      <c r="X80" s="2">
        <f>IFERROR((VLOOKUP($BO$1&amp;C16,TeamsProtajer!D:M,3,0)),0)</f>
        <v>0</v>
      </c>
      <c r="Y80" s="2">
        <f>IFERROR((VLOOKUP($BO$1&amp;C16,TeamsProtajer!D:M,4,0)),0)</f>
        <v>0</v>
      </c>
      <c r="Z80" s="2">
        <f>IFERROR((VLOOKUP($BO$1&amp;C16,TeamsProtajer!D:M,5,0)),0)</f>
        <v>0</v>
      </c>
      <c r="AA80" s="2">
        <f>IFERROR((VLOOKUP($BO$1&amp;C16,TeamsProtajer!D:M,6,0)),0)</f>
        <v>0</v>
      </c>
      <c r="AB80" s="2"/>
      <c r="AC80" s="2">
        <f t="shared" si="60"/>
        <v>0</v>
      </c>
      <c r="AD80" s="2">
        <f t="shared" si="61"/>
        <v>0</v>
      </c>
      <c r="AE80" s="2">
        <f t="shared" si="62"/>
        <v>0</v>
      </c>
      <c r="AF80" s="2">
        <f t="shared" si="63"/>
        <v>0</v>
      </c>
      <c r="AG80" s="2">
        <f t="shared" si="64"/>
        <v>0</v>
      </c>
      <c r="AH80" s="2"/>
      <c r="AI80" s="2"/>
      <c r="AJ80" s="2"/>
      <c r="AK80" s="1">
        <f t="shared" si="65"/>
        <v>0</v>
      </c>
      <c r="AL80" s="1">
        <f t="shared" si="66"/>
        <v>0</v>
      </c>
      <c r="AM80" s="1">
        <f t="shared" si="67"/>
        <v>0</v>
      </c>
      <c r="AN80" s="1">
        <f t="shared" si="68"/>
        <v>0</v>
      </c>
      <c r="AO80" s="1">
        <f t="shared" si="69"/>
        <v>0</v>
      </c>
      <c r="AP80" s="2"/>
      <c r="AQ80" s="13">
        <v>15</v>
      </c>
      <c r="AR80" s="12">
        <v>670000</v>
      </c>
      <c r="AS80" s="12">
        <v>150000</v>
      </c>
      <c r="AT80" s="1"/>
      <c r="AU80" s="1"/>
      <c r="AV80" s="1"/>
      <c r="AW80" s="1"/>
      <c r="AX80" s="78">
        <v>12</v>
      </c>
      <c r="AY80" s="78">
        <v>13</v>
      </c>
      <c r="AZ80" s="1">
        <v>70000</v>
      </c>
      <c r="BA80" s="5" t="s">
        <v>222</v>
      </c>
      <c r="BB80" s="2"/>
      <c r="BC80" s="2"/>
      <c r="BD80" s="2"/>
      <c r="BE80" s="2"/>
      <c r="BI80" s="2"/>
      <c r="BK80" s="2"/>
      <c r="BM80" s="2"/>
      <c r="BN80" s="2"/>
      <c r="BO80" s="2"/>
      <c r="BS80" s="81" t="str">
        <f>IF($J$24="Español","Placar",(IF($J$24="Deutsch","Rasend",(IF($J$24="Français","Poursuite","Strip Ball")))))</f>
        <v>Placar</v>
      </c>
      <c r="BT80" s="21" t="s">
        <v>167</v>
      </c>
      <c r="BU80" s="81" t="str">
        <f>IF($J$24="Español","Placar",(IF($J$24="Deutsch","Rasend",(IF($J$24="Français","Poursuite","Strip Ball")))))</f>
        <v>Placar</v>
      </c>
      <c r="BV80" s="21" t="s">
        <v>167</v>
      </c>
      <c r="BW80" s="81" t="str">
        <f>IF($J$24="Español","Placar",(IF($J$24="Deutsch","Rasend",(IF($J$24="Français","Poursuite","Strip Ball")))))</f>
        <v>Placar</v>
      </c>
      <c r="BX80" s="21" t="s">
        <v>167</v>
      </c>
      <c r="BY80" s="75" t="str">
        <f>IF($J$24="Español","Placar",(IF($J$24="Deutsch","Rasend",(IF($J$24="Français","Poursuite","Strip Ball")))))</f>
        <v>Placar</v>
      </c>
      <c r="BZ80" s="21" t="s">
        <v>167</v>
      </c>
      <c r="CA80" s="75" t="str">
        <f>IF($J$24="Español","Furtivo",(IF($J$24="Deutsch","Hechtsprung",(IF($J$24="Français","Réception ","Jump Up")))))</f>
        <v>Furtivo</v>
      </c>
      <c r="CB80" s="21" t="s">
        <v>168</v>
      </c>
      <c r="CC80" s="75" t="str">
        <f>IF($J$24="Español","Robar Balón",(IF($J$24="Deutsch","Unerschrocken",(IF($J$24="Français","Pro","Tackle")))))</f>
        <v>Robar Balón</v>
      </c>
      <c r="CD80" s="2" t="s">
        <v>167</v>
      </c>
      <c r="CE80" s="80"/>
      <c r="CF80" s="2"/>
      <c r="CG80" s="2" t="str">
        <f t="shared" si="71"/>
        <v/>
      </c>
      <c r="CH80" s="2" t="str">
        <f t="shared" si="72"/>
        <v/>
      </c>
      <c r="CI80" s="2" t="str">
        <f t="shared" si="73"/>
        <v/>
      </c>
      <c r="CJ80" s="2" t="str">
        <f t="shared" si="74"/>
        <v/>
      </c>
      <c r="CK80" s="2" t="str">
        <f t="shared" si="75"/>
        <v/>
      </c>
      <c r="CL80" s="2" t="str">
        <f t="shared" si="76"/>
        <v/>
      </c>
      <c r="CM80" s="2" t="str">
        <f t="shared" si="77"/>
        <v/>
      </c>
      <c r="CN80" s="2" t="str">
        <f t="shared" si="78"/>
        <v/>
      </c>
      <c r="CO80" s="2" t="str">
        <f t="shared" si="79"/>
        <v/>
      </c>
      <c r="CP80" s="2" t="str">
        <f t="shared" si="80"/>
        <v/>
      </c>
      <c r="CQ80" s="2" t="str">
        <f t="shared" si="81"/>
        <v/>
      </c>
      <c r="CR80" s="2" t="str">
        <f t="shared" si="82"/>
        <v/>
      </c>
      <c r="CS80" s="2" t="str">
        <f t="shared" si="83"/>
        <v/>
      </c>
      <c r="CT80" s="2" t="str">
        <f t="shared" si="84"/>
        <v/>
      </c>
      <c r="CU80" s="2" t="str">
        <f t="shared" si="85"/>
        <v/>
      </c>
      <c r="CV80" s="2" t="str">
        <f t="shared" si="86"/>
        <v/>
      </c>
      <c r="CW80" s="2"/>
      <c r="CX80" s="2"/>
      <c r="CY80" s="2"/>
      <c r="CZ80" s="2"/>
    </row>
    <row r="81" spans="2:104" ht="15" hidden="1" customHeight="1" x14ac:dyDescent="0.2">
      <c r="B81" s="2"/>
      <c r="C81" s="2"/>
      <c r="D81" s="2"/>
      <c r="E81" s="2"/>
      <c r="F81" s="2"/>
      <c r="G81" s="2"/>
      <c r="H81" s="2"/>
      <c r="I81" s="2"/>
      <c r="J81" s="2"/>
      <c r="K81" s="2">
        <f t="shared" si="56"/>
        <v>0</v>
      </c>
      <c r="L81" s="2">
        <f t="shared" si="57"/>
        <v>0</v>
      </c>
      <c r="M81" s="2">
        <f t="shared" si="58"/>
        <v>0</v>
      </c>
      <c r="N81" s="2">
        <f t="shared" si="58"/>
        <v>0</v>
      </c>
      <c r="O81" s="2">
        <f t="shared" si="59"/>
        <v>0</v>
      </c>
      <c r="P81" s="2"/>
      <c r="Q81" s="1">
        <f>IFERROR((VLOOKUP($BO$1&amp;C17,TeamsProtajer!D:M,2,0)+AK81+AC81),0)</f>
        <v>0</v>
      </c>
      <c r="R81" s="1">
        <f>IFERROR((VLOOKUP($BO$1&amp;C17,TeamsProtajer!D:M,3,0)+AL81+AD81),0)</f>
        <v>0</v>
      </c>
      <c r="S81" s="1">
        <f>IFERROR((VLOOKUP($BO$1&amp;C17,TeamsProtajer!D:M,4,0)+AM81-AE81),0)</f>
        <v>0</v>
      </c>
      <c r="T81" s="1">
        <f>IFERROR((VLOOKUP($BO$1&amp;C17,TeamsProtajer!D:M,5,0)+AN81-AF81),0)</f>
        <v>0</v>
      </c>
      <c r="U81" s="1">
        <f>IFERROR((VLOOKUP($BO$1&amp;C17,TeamsProtajer!D:M,6,0)+AO81+AG81),0)</f>
        <v>0</v>
      </c>
      <c r="V81" s="2"/>
      <c r="W81" s="2">
        <f>IFERROR((VLOOKUP($BO$1&amp;C17,TeamsProtajer!D:M,2,0)),0)</f>
        <v>0</v>
      </c>
      <c r="X81" s="2">
        <f>IFERROR((VLOOKUP($BO$1&amp;C17,TeamsProtajer!D:M,3,0)),0)</f>
        <v>0</v>
      </c>
      <c r="Y81" s="2">
        <f>IFERROR((VLOOKUP($BO$1&amp;C17,TeamsProtajer!D:M,4,0)),0)</f>
        <v>0</v>
      </c>
      <c r="Z81" s="2">
        <f>IFERROR((VLOOKUP($BO$1&amp;C17,TeamsProtajer!D:M,5,0)),0)</f>
        <v>0</v>
      </c>
      <c r="AA81" s="2">
        <f>IFERROR((VLOOKUP($BO$1&amp;C17,TeamsProtajer!D:M,6,0)),0)</f>
        <v>0</v>
      </c>
      <c r="AB81" s="2"/>
      <c r="AC81" s="2">
        <f t="shared" si="60"/>
        <v>0</v>
      </c>
      <c r="AD81" s="2">
        <f t="shared" si="61"/>
        <v>0</v>
      </c>
      <c r="AE81" s="2">
        <f t="shared" si="62"/>
        <v>0</v>
      </c>
      <c r="AF81" s="2">
        <f t="shared" si="63"/>
        <v>0</v>
      </c>
      <c r="AG81" s="2">
        <f t="shared" si="64"/>
        <v>0</v>
      </c>
      <c r="AH81" s="2"/>
      <c r="AI81" s="2"/>
      <c r="AJ81" s="2"/>
      <c r="AK81" s="1">
        <f t="shared" si="65"/>
        <v>0</v>
      </c>
      <c r="AL81" s="1">
        <f t="shared" si="66"/>
        <v>0</v>
      </c>
      <c r="AM81" s="1">
        <f t="shared" si="67"/>
        <v>0</v>
      </c>
      <c r="AN81" s="1">
        <f t="shared" si="68"/>
        <v>0</v>
      </c>
      <c r="AO81" s="1">
        <f t="shared" si="69"/>
        <v>0</v>
      </c>
      <c r="AP81" s="2"/>
      <c r="AQ81" s="12">
        <v>16</v>
      </c>
      <c r="AR81" s="12">
        <v>675000</v>
      </c>
      <c r="AS81" s="12">
        <v>160000</v>
      </c>
      <c r="AT81" s="1"/>
      <c r="AU81" s="1"/>
      <c r="AV81" s="1"/>
      <c r="AW81" s="1"/>
      <c r="AX81" s="78">
        <v>13</v>
      </c>
      <c r="AY81" s="78">
        <v>14</v>
      </c>
      <c r="AZ81" s="1">
        <v>80000</v>
      </c>
      <c r="BA81" s="2" t="str">
        <f>IFERROR((IF(BU2="Favouredof",(IF($J$24="Italiano","(sceglierne uno)",(IF($J$24="Español","(elegir uno)",(IF($J$24="Deutsch","(wähle)",(IF(J25="Français","(choisir soit)","(choose either)")))))))),(IF(BU2="OldWorldClassicFavouredof",(IF($J$24="Español","(elegir uno)",(IF($J$24="Deutsch","(wähle)",(IF(J25="Français","(choisir soit)","(choose either)")))))),"")))),"")</f>
        <v/>
      </c>
      <c r="BB81" s="2"/>
      <c r="BC81" s="2"/>
      <c r="BD81" s="2"/>
      <c r="BE81" s="2"/>
      <c r="BI81" s="2"/>
      <c r="BJ81" s="2"/>
      <c r="BL81" s="13"/>
      <c r="BN81" s="2"/>
      <c r="BO81" s="2"/>
      <c r="BP81" s="13"/>
      <c r="BS81" s="81" t="str">
        <f>IF($J$24="Español","Profesional",(IF($J$24="Deutsch","Tackle",(IF($J$24="Français","Prise sûre","Sure Hands")))))</f>
        <v>Profesional</v>
      </c>
      <c r="BT81" s="21" t="s">
        <v>167</v>
      </c>
      <c r="BU81" s="81" t="str">
        <f>IF($J$24="Español","Profesional",(IF($J$24="Deutsch","Tackle",(IF($J$24="Français","Prise sûre","Sure Hands")))))</f>
        <v>Profesional</v>
      </c>
      <c r="BV81" s="21" t="s">
        <v>167</v>
      </c>
      <c r="BW81" s="81" t="str">
        <f>IF($J$24="Español","Profesional",(IF($J$24="Deutsch","Tackle",(IF($J$24="Français","Prise sûre","Sure Hands")))))</f>
        <v>Profesional</v>
      </c>
      <c r="BX81" s="21" t="s">
        <v>167</v>
      </c>
      <c r="BY81" s="75" t="str">
        <f>IF($J$24="Español","Profesional",(IF($J$24="Deutsch","Tackle",(IF($J$24="Français","Prise sûre","Sure Hands")))))</f>
        <v>Profesional</v>
      </c>
      <c r="BZ81" s="21" t="s">
        <v>167</v>
      </c>
      <c r="CA81" s="75" t="str">
        <f>IF($J$24="Español","Pies Firmes",(IF($J$24="Deutsch","Heimtückisch",(IF($J$24="Français","Réception plongeante ","Leap")))))</f>
        <v>Pies Firmes</v>
      </c>
      <c r="CB81" s="21" t="s">
        <v>168</v>
      </c>
      <c r="CC81" s="75" t="str">
        <f>IF($J$24="Español","Zafarse",(IF($J$24="Deutsch","Wrestling",(IF($J$24="Français","Tacle","Wrestle")))))</f>
        <v>Zafarse</v>
      </c>
      <c r="CD81" s="2" t="s">
        <v>167</v>
      </c>
      <c r="CE81" s="2"/>
      <c r="CF81" s="2"/>
      <c r="CG81" s="2" t="str">
        <f t="shared" si="71"/>
        <v/>
      </c>
      <c r="CH81" s="2" t="str">
        <f t="shared" si="72"/>
        <v/>
      </c>
      <c r="CI81" s="2" t="str">
        <f t="shared" si="73"/>
        <v/>
      </c>
      <c r="CJ81" s="2" t="str">
        <f t="shared" si="74"/>
        <v/>
      </c>
      <c r="CK81" s="2" t="str">
        <f t="shared" si="75"/>
        <v/>
      </c>
      <c r="CL81" s="2" t="str">
        <f t="shared" si="76"/>
        <v/>
      </c>
      <c r="CM81" s="2" t="str">
        <f t="shared" si="77"/>
        <v/>
      </c>
      <c r="CN81" s="2" t="str">
        <f t="shared" si="78"/>
        <v/>
      </c>
      <c r="CO81" s="2" t="str">
        <f t="shared" si="79"/>
        <v/>
      </c>
      <c r="CP81" s="2" t="str">
        <f t="shared" si="80"/>
        <v/>
      </c>
      <c r="CQ81" s="2" t="str">
        <f t="shared" si="81"/>
        <v/>
      </c>
      <c r="CR81" s="2" t="str">
        <f t="shared" si="82"/>
        <v/>
      </c>
      <c r="CS81" s="2" t="str">
        <f t="shared" si="83"/>
        <v/>
      </c>
      <c r="CT81" s="2" t="str">
        <f t="shared" si="84"/>
        <v/>
      </c>
      <c r="CU81" s="2" t="str">
        <f t="shared" si="85"/>
        <v/>
      </c>
      <c r="CV81" s="2" t="str">
        <f t="shared" si="86"/>
        <v/>
      </c>
      <c r="CW81" s="2"/>
      <c r="CX81" s="2"/>
      <c r="CY81" s="2"/>
      <c r="CZ81" s="2"/>
    </row>
    <row r="82" spans="2:104" ht="15" hidden="1" customHeight="1" x14ac:dyDescent="0.2">
      <c r="B82" s="1"/>
      <c r="C82" s="1"/>
      <c r="D82" s="1"/>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13">
        <v>17</v>
      </c>
      <c r="AR82" s="12">
        <v>680000</v>
      </c>
      <c r="AS82" s="12">
        <v>170000</v>
      </c>
      <c r="AT82" s="1"/>
      <c r="AU82" s="1"/>
      <c r="AV82" s="1"/>
      <c r="AW82" s="1"/>
      <c r="AX82" s="78">
        <v>14</v>
      </c>
      <c r="AY82" s="78">
        <v>15</v>
      </c>
      <c r="AZ82" s="1">
        <v>90000</v>
      </c>
      <c r="BA82" s="2" t="str">
        <f>IF(OR(BU2="Favouredof",BU2="FavouredofWorldsEdgeSuperleagueBadlandsBrawl"),(IF(BO2="Nurgle","",(IF(BO2="DaemonsofKhorne","","Chaos Undivided")))),"")</f>
        <v/>
      </c>
      <c r="BB82" s="2"/>
      <c r="BC82" s="2"/>
      <c r="BD82" s="2"/>
      <c r="BE82" s="2"/>
      <c r="BI82" s="2"/>
      <c r="BJ82" s="13"/>
      <c r="BL82" s="13"/>
      <c r="BN82" s="13"/>
      <c r="BO82" s="2"/>
      <c r="BP82" s="13"/>
      <c r="BS82" s="81" t="str">
        <f>IF($J$24="Español","Robar Balón",(IF($J$24="Deutsch","Unerschrocken",(IF($J$24="Français","Pro","Tackle")))))</f>
        <v>Robar Balón</v>
      </c>
      <c r="BT82" s="21" t="s">
        <v>167</v>
      </c>
      <c r="BU82" s="81" t="str">
        <f>IF($J$24="Español","Robar Balón",(IF($J$24="Deutsch","Unerschrocken",(IF($J$24="Français","Pro","Tackle")))))</f>
        <v>Robar Balón</v>
      </c>
      <c r="BV82" s="21" t="s">
        <v>167</v>
      </c>
      <c r="BW82" s="81" t="str">
        <f>IF($J$24="Español","Robar Balón",(IF($J$24="Deutsch","Unerschrocken",(IF($J$24="Français","Pro","Tackle")))))</f>
        <v>Robar Balón</v>
      </c>
      <c r="BX82" s="21" t="s">
        <v>167</v>
      </c>
      <c r="BY82" s="75" t="str">
        <f>IF($J$24="Español","Robar Balón",(IF($J$24="Deutsch","Unerschrocken",(IF($J$24="Français","Pro","Tackle")))))</f>
        <v>Robar Balón</v>
      </c>
      <c r="BZ82" s="21" t="s">
        <v>167</v>
      </c>
      <c r="CA82" s="75" t="str">
        <f>IF($J$24="Español","Placaje Heroico",(IF($J$24="Deutsch","Sichere Hände",(IF($J$24="Français","Rétablissement","Safe Pair of Hands")))))</f>
        <v>Placaje Heroico</v>
      </c>
      <c r="CB82" s="21" t="s">
        <v>168</v>
      </c>
      <c r="CC82" s="75" t="str">
        <f>IF($J$24="Español","Atrapar",(IF($J$24="Deutsch","Aufspringen",(IF($J$24="Français","Défenseur ","Catch")))))</f>
        <v>Atrapar</v>
      </c>
      <c r="CD82" s="2" t="s">
        <v>168</v>
      </c>
      <c r="CE82" s="80"/>
      <c r="CF82" s="2"/>
      <c r="CG82" s="2" t="str">
        <f t="shared" si="71"/>
        <v/>
      </c>
      <c r="CH82" s="2" t="str">
        <f t="shared" si="72"/>
        <v/>
      </c>
      <c r="CI82" s="2" t="str">
        <f t="shared" si="73"/>
        <v/>
      </c>
      <c r="CJ82" s="2" t="str">
        <f t="shared" si="74"/>
        <v/>
      </c>
      <c r="CK82" s="2" t="str">
        <f t="shared" si="75"/>
        <v/>
      </c>
      <c r="CL82" s="2" t="str">
        <f t="shared" si="76"/>
        <v/>
      </c>
      <c r="CM82" s="2" t="str">
        <f t="shared" si="77"/>
        <v/>
      </c>
      <c r="CN82" s="2" t="str">
        <f t="shared" si="78"/>
        <v/>
      </c>
      <c r="CO82" s="2" t="str">
        <f t="shared" si="79"/>
        <v/>
      </c>
      <c r="CP82" s="2" t="str">
        <f t="shared" si="80"/>
        <v/>
      </c>
      <c r="CQ82" s="2" t="str">
        <f t="shared" si="81"/>
        <v/>
      </c>
      <c r="CR82" s="2" t="str">
        <f t="shared" si="82"/>
        <v/>
      </c>
      <c r="CS82" s="2" t="str">
        <f t="shared" si="83"/>
        <v/>
      </c>
      <c r="CT82" s="2" t="str">
        <f t="shared" si="84"/>
        <v/>
      </c>
      <c r="CU82" s="2" t="str">
        <f t="shared" si="85"/>
        <v/>
      </c>
      <c r="CV82" s="2" t="str">
        <f t="shared" si="86"/>
        <v/>
      </c>
      <c r="CW82" s="2"/>
      <c r="CX82" s="2"/>
      <c r="CY82" s="2"/>
      <c r="CZ82" s="2"/>
    </row>
    <row r="83" spans="2:104" ht="14.25" hidden="1" customHeight="1" x14ac:dyDescent="0.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83">
        <f>SUM(AM2:AM17)</f>
        <v>0</v>
      </c>
      <c r="AJ83" s="2"/>
      <c r="AK83" s="2"/>
      <c r="AL83" s="2"/>
      <c r="AM83" s="2"/>
      <c r="AN83" s="2"/>
      <c r="AO83" s="2"/>
      <c r="AP83" s="2"/>
      <c r="AQ83" s="13">
        <v>18</v>
      </c>
      <c r="AR83" s="12">
        <v>685000</v>
      </c>
      <c r="AS83" s="12">
        <v>180000</v>
      </c>
      <c r="AT83" s="1"/>
      <c r="AU83" s="1"/>
      <c r="AV83" s="1"/>
      <c r="AW83" s="1"/>
      <c r="AX83" s="78">
        <v>15</v>
      </c>
      <c r="AY83" s="78">
        <v>16</v>
      </c>
      <c r="AZ83" s="1">
        <v>100000</v>
      </c>
      <c r="BA83" s="2" t="str">
        <f>IF(OR(BU2="Favouredof",BU2="FavouredofWorldsEdgeSuperleagueBadlandsBrawl"),(IF(BO2="Nurgle","",(IF(BO2="DaemonsofKhorne","","Khorne")))),"")</f>
        <v/>
      </c>
      <c r="BB83" s="2"/>
      <c r="BC83" s="2"/>
      <c r="BD83" s="2"/>
      <c r="BE83" s="2"/>
      <c r="BI83" s="2"/>
      <c r="BJ83" s="13"/>
      <c r="BL83" s="13"/>
      <c r="BN83" s="13"/>
      <c r="BO83" s="2"/>
      <c r="BP83" s="13"/>
      <c r="BS83" s="81" t="str">
        <f>IF($J$24="Español","Zafarse",(IF($J$24="Deutsch","Wrestling",(IF($J$24="Français","Tacle","Wrestle")))))</f>
        <v>Zafarse</v>
      </c>
      <c r="BT83" s="21" t="s">
        <v>167</v>
      </c>
      <c r="BU83" s="81" t="str">
        <f>IF($J$24="Español","Zafarse",(IF($J$24="Deutsch","Wrestling",(IF($J$24="Français","Tacle","Wrestle")))))</f>
        <v>Zafarse</v>
      </c>
      <c r="BV83" s="21" t="s">
        <v>167</v>
      </c>
      <c r="BW83" s="81" t="str">
        <f>IF($J$24="Español","Zafarse",(IF($J$24="Deutsch","Wrestling",(IF($J$24="Français","Tacle","Wrestle")))))</f>
        <v>Zafarse</v>
      </c>
      <c r="BX83" s="21" t="s">
        <v>167</v>
      </c>
      <c r="BY83" s="75" t="str">
        <f>IF($J$24="Español","Zafarse",(IF($J$24="Deutsch","Wrestling",(IF($J$24="Français","Tacle","Wrestle")))))</f>
        <v>Zafarse</v>
      </c>
      <c r="BZ83" s="21" t="s">
        <v>167</v>
      </c>
      <c r="CA83" s="75" t="str">
        <f>IF($J$24="Español","Proteger el Cuero",(IF($J$24="Deutsch","Springen",(IF($J$24="Français","Saut","Sidestep")))))</f>
        <v>Proteger el Cuero</v>
      </c>
      <c r="CB83" s="21" t="s">
        <v>168</v>
      </c>
      <c r="CC83" s="75" t="str">
        <f>IF($J$24="Español","Echarse a un Lado",(IF($J$24="Deutsch","Ausweichen",(IF($J$24="Français","Équilibre","Diving Catch")))))</f>
        <v>Echarse a un Lado</v>
      </c>
      <c r="CD83" s="2" t="s">
        <v>168</v>
      </c>
      <c r="CE83" s="80"/>
      <c r="CF83" s="2"/>
      <c r="CG83" s="2" t="str">
        <f t="shared" si="71"/>
        <v/>
      </c>
      <c r="CH83" s="2" t="str">
        <f t="shared" si="72"/>
        <v/>
      </c>
      <c r="CI83" s="2" t="str">
        <f t="shared" si="73"/>
        <v/>
      </c>
      <c r="CJ83" s="2" t="str">
        <f t="shared" si="74"/>
        <v/>
      </c>
      <c r="CK83" s="2" t="str">
        <f t="shared" si="75"/>
        <v/>
      </c>
      <c r="CL83" s="2" t="str">
        <f t="shared" si="76"/>
        <v/>
      </c>
      <c r="CM83" s="2" t="str">
        <f t="shared" si="77"/>
        <v/>
      </c>
      <c r="CN83" s="2" t="str">
        <f t="shared" si="78"/>
        <v/>
      </c>
      <c r="CO83" s="2" t="str">
        <f t="shared" si="79"/>
        <v/>
      </c>
      <c r="CP83" s="2" t="str">
        <f t="shared" si="80"/>
        <v/>
      </c>
      <c r="CQ83" s="2" t="str">
        <f t="shared" si="81"/>
        <v/>
      </c>
      <c r="CR83" s="2" t="str">
        <f t="shared" si="82"/>
        <v/>
      </c>
      <c r="CS83" s="2" t="str">
        <f t="shared" si="83"/>
        <v/>
      </c>
      <c r="CT83" s="2" t="str">
        <f t="shared" si="84"/>
        <v/>
      </c>
      <c r="CU83" s="2" t="str">
        <f t="shared" si="85"/>
        <v/>
      </c>
      <c r="CV83" s="2" t="str">
        <f t="shared" si="86"/>
        <v/>
      </c>
      <c r="CW83" s="2"/>
      <c r="CX83" s="2"/>
      <c r="CY83" s="2"/>
      <c r="CZ83" s="2"/>
    </row>
    <row r="84" spans="2:104" ht="15" hidden="1" customHeight="1" x14ac:dyDescent="0.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12">
        <v>19</v>
      </c>
      <c r="AR84" s="12">
        <v>690000</v>
      </c>
      <c r="AS84" s="12">
        <v>190000</v>
      </c>
      <c r="AT84" s="1"/>
      <c r="AU84" s="1"/>
      <c r="AV84" s="1"/>
      <c r="AW84" s="1"/>
      <c r="AX84" s="78">
        <v>16</v>
      </c>
      <c r="AY84" s="78">
        <v>17</v>
      </c>
      <c r="AZ84" s="1">
        <v>110000</v>
      </c>
      <c r="BA84" s="2" t="str">
        <f>IF(OR(BU2="Favouredof",BU2="FavouredofWorldsEdgeSuperleagueBadlandsBrawl"),(IF(BO2="Nurgle","",(IF(BO2="DaemonsofKhorne","","Nurgle")))),"")</f>
        <v/>
      </c>
      <c r="BB84" s="2"/>
      <c r="BC84" s="2"/>
      <c r="BD84" s="2"/>
      <c r="BE84" s="2"/>
      <c r="BJ84" s="13"/>
      <c r="BL84" s="13"/>
      <c r="BN84" s="13"/>
      <c r="BO84" s="2"/>
      <c r="BP84" s="13"/>
      <c r="BS84" s="81" t="str">
        <f>IF($J$24="Español","Atrapar",(IF($J$24="Deutsch","Aufspringen",(IF($J$24="Français","Défenseur ","Catch")))))</f>
        <v>Atrapar</v>
      </c>
      <c r="BT84" s="21" t="s">
        <v>168</v>
      </c>
      <c r="BU84" s="81" t="str">
        <f>IF($J$24="Español","Atrapar",(IF($J$24="Deutsch","Aufspringen",(IF($J$24="Français","Défenseur ","Catch")))))</f>
        <v>Atrapar</v>
      </c>
      <c r="BV84" s="21" t="s">
        <v>168</v>
      </c>
      <c r="BW84" s="81" t="str">
        <f>IF($J$24="Español","Atrapar",(IF($J$24="Deutsch","Aufspringen",(IF($J$24="Français","Défenseur ","Catch")))))</f>
        <v>Atrapar</v>
      </c>
      <c r="BX84" s="21" t="s">
        <v>168</v>
      </c>
      <c r="BY84" s="75" t="str">
        <f>IF($J$24="Español","Atrapar",(IF($J$24="Deutsch","Aufspringen",(IF($J$24="Français","Défenseur ","Catch")))))</f>
        <v>Atrapar</v>
      </c>
      <c r="BZ84" s="21" t="s">
        <v>168</v>
      </c>
      <c r="CA84" s="75" t="str">
        <f>IF($J$24="Español","Recepción Heroica",(IF($J$24="Deutsch","Sprinten",(IF($J$24="Français","Sprint","Sneaky Git")))))</f>
        <v>Recepción Heroica</v>
      </c>
      <c r="CB84" s="21" t="s">
        <v>168</v>
      </c>
      <c r="CC84" s="75" t="str">
        <f>IF($J$24="Español","En Pie de un Salto",(IF($J$24="Deutsch","Fangsicher",(IF($J$24="Français","Esquive","Diving Tackle")))))</f>
        <v>En Pie de un Salto</v>
      </c>
      <c r="CD84" s="2" t="s">
        <v>168</v>
      </c>
      <c r="CE84" s="80"/>
      <c r="CF84" s="2"/>
      <c r="CG84" s="2" t="str">
        <f t="shared" si="71"/>
        <v/>
      </c>
      <c r="CH84" s="2" t="str">
        <f t="shared" si="72"/>
        <v/>
      </c>
      <c r="CI84" s="2" t="str">
        <f t="shared" si="73"/>
        <v/>
      </c>
      <c r="CJ84" s="2" t="str">
        <f t="shared" si="74"/>
        <v/>
      </c>
      <c r="CK84" s="2" t="str">
        <f t="shared" si="75"/>
        <v/>
      </c>
      <c r="CL84" s="2" t="str">
        <f t="shared" si="76"/>
        <v/>
      </c>
      <c r="CM84" s="2" t="str">
        <f t="shared" si="77"/>
        <v/>
      </c>
      <c r="CN84" s="2" t="str">
        <f t="shared" si="78"/>
        <v/>
      </c>
      <c r="CO84" s="2" t="str">
        <f t="shared" si="79"/>
        <v/>
      </c>
      <c r="CP84" s="2" t="str">
        <f t="shared" si="80"/>
        <v/>
      </c>
      <c r="CQ84" s="2" t="str">
        <f t="shared" si="81"/>
        <v/>
      </c>
      <c r="CR84" s="2" t="str">
        <f t="shared" si="82"/>
        <v/>
      </c>
      <c r="CS84" s="2" t="str">
        <f t="shared" si="83"/>
        <v/>
      </c>
      <c r="CT84" s="2" t="str">
        <f t="shared" si="84"/>
        <v/>
      </c>
      <c r="CU84" s="2" t="str">
        <f t="shared" si="85"/>
        <v/>
      </c>
      <c r="CV84" s="2" t="str">
        <f t="shared" si="86"/>
        <v/>
      </c>
      <c r="CW84" s="2"/>
      <c r="CX84" s="2"/>
      <c r="CY84" s="2"/>
      <c r="CZ84" s="2"/>
    </row>
    <row r="85" spans="2:104" ht="15" hidden="1" customHeight="1" x14ac:dyDescent="0.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13">
        <v>20</v>
      </c>
      <c r="AR85" s="12">
        <v>695000</v>
      </c>
      <c r="AS85" s="12">
        <v>200000</v>
      </c>
      <c r="AT85" s="1"/>
      <c r="AU85" s="1"/>
      <c r="AV85" s="1"/>
      <c r="AW85" s="1"/>
      <c r="AX85" s="78">
        <v>17</v>
      </c>
      <c r="AY85" s="78">
        <v>18</v>
      </c>
      <c r="AZ85" s="1">
        <v>120000</v>
      </c>
      <c r="BA85" s="2" t="str">
        <f>IF(OR(BU2="Favouredof",BU2="FavouredofWorldsEdgeSuperleagueBadlandsBrawl"),(IF(BO2="Nurgle","",(IF(BO2="DaemonsofKhorne","","Slaanesh")))),"")</f>
        <v/>
      </c>
      <c r="BB85" s="2"/>
      <c r="BC85" s="2"/>
      <c r="BD85" s="2"/>
      <c r="BE85" s="2"/>
      <c r="BJ85" s="13"/>
      <c r="BL85" s="13"/>
      <c r="BN85" s="13"/>
      <c r="BO85" s="2"/>
      <c r="BP85" s="13"/>
      <c r="BS85" s="81" t="str">
        <f>IF($J$24="Español","Echarse a un Lado",(IF($J$24="Deutsch","Ausweichen",(IF($J$24="Français","Équilibre","Diving Catch")))))</f>
        <v>Echarse a un Lado</v>
      </c>
      <c r="BT85" s="21" t="s">
        <v>168</v>
      </c>
      <c r="BU85" s="81" t="str">
        <f>IF($J$24="Español","Echarse a un Lado",(IF($J$24="Deutsch","Ausweichen",(IF($J$24="Français","Équilibre","Diving Catch")))))</f>
        <v>Echarse a un Lado</v>
      </c>
      <c r="BV85" s="21" t="s">
        <v>168</v>
      </c>
      <c r="BW85" s="81" t="str">
        <f>IF($J$24="Español","Echarse a un Lado",(IF($J$24="Deutsch","Ausweichen",(IF($J$24="Français","Équilibre","Diving Catch")))))</f>
        <v>Echarse a un Lado</v>
      </c>
      <c r="BX85" s="21" t="s">
        <v>168</v>
      </c>
      <c r="BY85" s="75" t="str">
        <f>IF($J$24="Español","Echarse a un Lado",(IF($J$24="Deutsch","Ausweichen",(IF($J$24="Français","Équilibre","Diving Catch")))))</f>
        <v>Echarse a un Lado</v>
      </c>
      <c r="BZ85" s="21" t="s">
        <v>168</v>
      </c>
      <c r="CA85" s="75" t="str">
        <f>IF($J$24="Español","Romper Defensas",(IF($J$24="Deutsch","Sprintensicher",(IF($J$24="Français","Sournois","Sprint")))))</f>
        <v>Romper Defensas</v>
      </c>
      <c r="CB85" s="21" t="s">
        <v>168</v>
      </c>
      <c r="CC85" s="75" t="str">
        <f>IF($J$24="Español","Esprintar",(IF($J$24="Deutsch","Fliegender Tackle",(IF($J$24="Français","Glissade contrôlée","Dodge")))))</f>
        <v>Esprintar</v>
      </c>
      <c r="CD85" s="2" t="s">
        <v>168</v>
      </c>
      <c r="CE85" s="80"/>
      <c r="CF85" s="2"/>
      <c r="CG85" s="2" t="str">
        <f t="shared" si="71"/>
        <v/>
      </c>
      <c r="CH85" s="2" t="str">
        <f t="shared" si="72"/>
        <v/>
      </c>
      <c r="CI85" s="2" t="str">
        <f t="shared" si="73"/>
        <v/>
      </c>
      <c r="CJ85" s="2" t="str">
        <f t="shared" si="74"/>
        <v/>
      </c>
      <c r="CK85" s="2" t="str">
        <f t="shared" si="75"/>
        <v/>
      </c>
      <c r="CL85" s="2" t="str">
        <f t="shared" si="76"/>
        <v/>
      </c>
      <c r="CM85" s="2" t="str">
        <f t="shared" si="77"/>
        <v/>
      </c>
      <c r="CN85" s="2" t="str">
        <f t="shared" si="78"/>
        <v/>
      </c>
      <c r="CO85" s="2" t="str">
        <f t="shared" si="79"/>
        <v/>
      </c>
      <c r="CP85" s="2" t="str">
        <f t="shared" si="80"/>
        <v/>
      </c>
      <c r="CQ85" s="2" t="str">
        <f t="shared" si="81"/>
        <v/>
      </c>
      <c r="CR85" s="2" t="str">
        <f t="shared" si="82"/>
        <v/>
      </c>
      <c r="CS85" s="2" t="str">
        <f t="shared" si="83"/>
        <v/>
      </c>
      <c r="CT85" s="2" t="str">
        <f t="shared" si="84"/>
        <v/>
      </c>
      <c r="CU85" s="2" t="str">
        <f t="shared" si="85"/>
        <v/>
      </c>
      <c r="CV85" s="2" t="str">
        <f t="shared" si="86"/>
        <v/>
      </c>
      <c r="CW85" s="2"/>
      <c r="CX85" s="2"/>
      <c r="CY85" s="2"/>
      <c r="CZ85" s="2"/>
    </row>
    <row r="86" spans="2:104" ht="15" hidden="1" customHeight="1" x14ac:dyDescent="0.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13">
        <v>21</v>
      </c>
      <c r="AR86" s="12">
        <v>700000</v>
      </c>
      <c r="AS86" s="12">
        <v>210000</v>
      </c>
      <c r="AT86" s="1"/>
      <c r="AU86" s="1"/>
      <c r="AV86" s="1"/>
      <c r="AW86" s="1"/>
      <c r="AX86" s="78">
        <v>18</v>
      </c>
      <c r="AY86" s="78">
        <v>19</v>
      </c>
      <c r="AZ86" s="1">
        <v>130000</v>
      </c>
      <c r="BA86" s="2" t="str">
        <f>IF(OR(BU2="Favouredof",BU2="FavouredofWorldsEdgeSuperleagueBadlandsBrawl"),(IF(BO2="Nurgle","",(IF(BO2="DaemonsofKhorne","","Tzeentch")))),"")</f>
        <v/>
      </c>
      <c r="BB86" s="2"/>
      <c r="BC86" s="2"/>
      <c r="BD86" s="2"/>
      <c r="BE86" s="2"/>
      <c r="BJ86" s="13"/>
      <c r="BL86" s="13"/>
      <c r="BN86" s="13"/>
      <c r="BO86" s="2"/>
      <c r="BP86" s="13"/>
      <c r="BS86" s="81" t="str">
        <f>IF($J$24="Español","En Pie de un Salto",(IF($J$24="Deutsch","Fangsicher",(IF($J$24="Français","Esquive","Diving Tackle")))))</f>
        <v>En Pie de un Salto</v>
      </c>
      <c r="BT86" s="21" t="s">
        <v>168</v>
      </c>
      <c r="BU86" s="81" t="str">
        <f>IF($J$24="Español","En Pie de un Salto",(IF($J$24="Deutsch","Fangsicher",(IF($J$24="Français","Esquive","Diving Tackle")))))</f>
        <v>En Pie de un Salto</v>
      </c>
      <c r="BV86" s="21" t="s">
        <v>168</v>
      </c>
      <c r="BW86" s="81" t="str">
        <f>IF($J$24="Español","En Pie de un Salto",(IF($J$24="Deutsch","Fangsicher",(IF($J$24="Français","Esquive","Diving Tackle")))))</f>
        <v>En Pie de un Salto</v>
      </c>
      <c r="BX86" s="21" t="s">
        <v>168</v>
      </c>
      <c r="BY86" s="75" t="str">
        <f>IF($J$24="Español","En Pie de un Salto",(IF($J$24="Deutsch","Fangsicher",(IF($J$24="Français","Esquive","Diving Tackle")))))</f>
        <v>En Pie de un Salto</v>
      </c>
      <c r="BZ86" s="21" t="s">
        <v>168</v>
      </c>
      <c r="CA86" s="75" t="str">
        <f>IF($J$24="Español","Saltar",(IF($J$24="Deutsch","Wehrhaft",(IF($J$24="Français","Tacle plongeant ","Sure Feet")))))</f>
        <v>Saltar</v>
      </c>
      <c r="CB86" s="21" t="s">
        <v>168</v>
      </c>
      <c r="CC86" s="75" t="str">
        <f>IF($J$24="Español","Esquivar",(IF($J$24="Deutsch","Gewandt",(IF($J$24="Français","Libération contrôlée","Defensive")))))</f>
        <v>Esquivar</v>
      </c>
      <c r="CD86" s="2" t="s">
        <v>168</v>
      </c>
      <c r="CE86" s="80"/>
      <c r="CF86" s="2"/>
      <c r="CG86" s="2" t="str">
        <f t="shared" si="71"/>
        <v/>
      </c>
      <c r="CH86" s="2" t="str">
        <f t="shared" si="72"/>
        <v/>
      </c>
      <c r="CI86" s="2" t="str">
        <f t="shared" si="73"/>
        <v/>
      </c>
      <c r="CJ86" s="2" t="str">
        <f t="shared" si="74"/>
        <v/>
      </c>
      <c r="CK86" s="2" t="str">
        <f t="shared" si="75"/>
        <v/>
      </c>
      <c r="CL86" s="2" t="str">
        <f t="shared" si="76"/>
        <v/>
      </c>
      <c r="CM86" s="2" t="str">
        <f t="shared" si="77"/>
        <v/>
      </c>
      <c r="CN86" s="2" t="str">
        <f t="shared" si="78"/>
        <v/>
      </c>
      <c r="CO86" s="2" t="str">
        <f t="shared" si="79"/>
        <v/>
      </c>
      <c r="CP86" s="2" t="str">
        <f t="shared" si="80"/>
        <v/>
      </c>
      <c r="CQ86" s="2" t="str">
        <f t="shared" si="81"/>
        <v/>
      </c>
      <c r="CR86" s="2" t="str">
        <f t="shared" si="82"/>
        <v/>
      </c>
      <c r="CS86" s="2" t="str">
        <f t="shared" si="83"/>
        <v/>
      </c>
      <c r="CT86" s="2" t="str">
        <f t="shared" si="84"/>
        <v/>
      </c>
      <c r="CU86" s="2" t="str">
        <f t="shared" si="85"/>
        <v/>
      </c>
      <c r="CV86" s="2" t="str">
        <f t="shared" si="86"/>
        <v/>
      </c>
      <c r="CW86" s="2"/>
      <c r="CX86" s="2"/>
      <c r="CY86" s="2"/>
      <c r="CZ86" s="2"/>
    </row>
    <row r="87" spans="2:104" ht="15" hidden="1" customHeight="1" x14ac:dyDescent="0.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12">
        <v>22</v>
      </c>
      <c r="AR87" s="12">
        <v>705000</v>
      </c>
      <c r="AS87" s="12">
        <v>220000</v>
      </c>
      <c r="AT87" s="1"/>
      <c r="AU87" s="1"/>
      <c r="AV87" s="1"/>
      <c r="AW87" s="1"/>
      <c r="AX87" s="78">
        <v>19</v>
      </c>
      <c r="AY87" s="78">
        <v>20</v>
      </c>
      <c r="AZ87" s="1">
        <v>140000</v>
      </c>
      <c r="BA87" s="2" t="str">
        <f>IF(BU2="OldWorldClassicFavouredof","Old World Classic","")</f>
        <v/>
      </c>
      <c r="BB87" s="2"/>
      <c r="BC87" s="2"/>
      <c r="BD87" s="2"/>
      <c r="BE87" s="2"/>
      <c r="BJ87" s="13"/>
      <c r="BL87" s="13"/>
      <c r="BN87" s="13"/>
      <c r="BO87" s="2"/>
      <c r="BP87" s="13"/>
      <c r="BS87" s="81" t="str">
        <f>IF($J$24="Español","Esprintar",(IF($J$24="Deutsch","Fliegender Tackle",(IF($J$24="Français","Glissade contrôlée","Dodge")))))</f>
        <v>Esprintar</v>
      </c>
      <c r="BT87" s="21" t="s">
        <v>168</v>
      </c>
      <c r="BU87" s="81" t="str">
        <f>IF($J$24="Español","Esprintar",(IF($J$24="Deutsch","Fliegender Tackle",(IF($J$24="Français","Glissade contrôlée","Dodge")))))</f>
        <v>Esprintar</v>
      </c>
      <c r="BV87" s="21" t="s">
        <v>168</v>
      </c>
      <c r="BW87" s="81" t="str">
        <f>IF($J$24="Español","Esprintar",(IF($J$24="Deutsch","Fliegender Tackle",(IF($J$24="Français","Glissade contrôlée","Dodge")))))</f>
        <v>Esprintar</v>
      </c>
      <c r="BX87" s="21" t="s">
        <v>168</v>
      </c>
      <c r="BY87" s="75" t="str">
        <f>IF($J$24="Español","Esprintar",(IF($J$24="Deutsch","Fliegender Tackle",(IF($J$24="Français","Glissade contrôlée","Dodge")))))</f>
        <v>Esprintar</v>
      </c>
      <c r="BZ87" s="21" t="s">
        <v>168</v>
      </c>
      <c r="CA87" s="21" t="str">
        <f t="shared" ref="CA87:CB144" si="87">""</f>
        <v/>
      </c>
      <c r="CB87" s="21" t="str">
        <f t="shared" si="87"/>
        <v/>
      </c>
      <c r="CC87" s="75" t="str">
        <f>IF($J$24="Español","Furtivo",(IF($J$24="Deutsch","Hechtsprung",(IF($J$24="Français","Réception ","Jump Up")))))</f>
        <v>Furtivo</v>
      </c>
      <c r="CD87" s="2" t="s">
        <v>168</v>
      </c>
      <c r="CE87" s="80"/>
      <c r="CF87" s="2"/>
      <c r="CG87" s="2" t="str">
        <f t="shared" si="71"/>
        <v/>
      </c>
      <c r="CH87" s="2" t="str">
        <f t="shared" si="72"/>
        <v/>
      </c>
      <c r="CI87" s="2" t="str">
        <f t="shared" si="73"/>
        <v/>
      </c>
      <c r="CJ87" s="2" t="str">
        <f t="shared" si="74"/>
        <v/>
      </c>
      <c r="CK87" s="2" t="str">
        <f t="shared" si="75"/>
        <v/>
      </c>
      <c r="CL87" s="2" t="str">
        <f t="shared" si="76"/>
        <v/>
      </c>
      <c r="CM87" s="2" t="str">
        <f t="shared" si="77"/>
        <v/>
      </c>
      <c r="CN87" s="2" t="str">
        <f t="shared" si="78"/>
        <v/>
      </c>
      <c r="CO87" s="2" t="str">
        <f t="shared" si="79"/>
        <v/>
      </c>
      <c r="CP87" s="2" t="str">
        <f t="shared" si="80"/>
        <v/>
      </c>
      <c r="CQ87" s="2" t="str">
        <f t="shared" si="81"/>
        <v/>
      </c>
      <c r="CR87" s="2" t="str">
        <f t="shared" si="82"/>
        <v/>
      </c>
      <c r="CS87" s="2" t="str">
        <f t="shared" si="83"/>
        <v/>
      </c>
      <c r="CT87" s="2" t="str">
        <f t="shared" si="84"/>
        <v/>
      </c>
      <c r="CU87" s="2" t="str">
        <f t="shared" si="85"/>
        <v/>
      </c>
      <c r="CV87" s="2" t="str">
        <f t="shared" si="86"/>
        <v/>
      </c>
      <c r="CW87" s="2"/>
      <c r="CX87" s="2"/>
      <c r="CY87" s="2"/>
      <c r="CZ87" s="2"/>
    </row>
    <row r="88" spans="2:104" ht="15" hidden="1" customHeight="1" x14ac:dyDescent="0.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13">
        <v>23</v>
      </c>
      <c r="AR88" s="12">
        <v>710000</v>
      </c>
      <c r="AS88" s="12">
        <v>230000</v>
      </c>
      <c r="AT88" s="1"/>
      <c r="AU88" s="1"/>
      <c r="AV88" s="1"/>
      <c r="AW88" s="1"/>
      <c r="AX88" s="78">
        <v>20</v>
      </c>
      <c r="AY88" s="2"/>
      <c r="AZ88" s="1">
        <v>150000</v>
      </c>
      <c r="BA88" s="2" t="str">
        <f>IF(BU2="OldWorldClassicFavouredof","Favoured of","")</f>
        <v/>
      </c>
      <c r="BB88" s="2"/>
      <c r="BC88" s="2"/>
      <c r="BD88" s="2"/>
      <c r="BE88" s="2"/>
      <c r="BJ88" s="2"/>
      <c r="BL88" s="2"/>
      <c r="BN88" s="2"/>
      <c r="BO88" s="2"/>
      <c r="BP88" s="2"/>
      <c r="BS88" s="81" t="str">
        <f>IF($J$24="Español","Esquivar",(IF($J$24="Deutsch","Gewandt",(IF($J$24="Français","Libération contrôlée","Defensive")))))</f>
        <v>Esquivar</v>
      </c>
      <c r="BT88" s="21" t="s">
        <v>168</v>
      </c>
      <c r="BU88" s="81" t="str">
        <f>IF($J$24="Español","Esquivar",(IF($J$24="Deutsch","Gewandt",(IF($J$24="Français","Libération contrôlée","Defensive")))))</f>
        <v>Esquivar</v>
      </c>
      <c r="BV88" s="21" t="s">
        <v>168</v>
      </c>
      <c r="BW88" s="81" t="str">
        <f>IF($J$24="Español","Esquivar",(IF($J$24="Deutsch","Gewandt",(IF($J$24="Français","Libération contrôlée","Defensive")))))</f>
        <v>Esquivar</v>
      </c>
      <c r="BX88" s="21" t="s">
        <v>168</v>
      </c>
      <c r="BY88" s="75" t="str">
        <f>IF($J$24="Español","Esquivar",(IF($J$24="Deutsch","Gewandt",(IF($J$24="Français","Libération contrôlée","Defensive")))))</f>
        <v>Esquivar</v>
      </c>
      <c r="BZ88" s="21" t="s">
        <v>168</v>
      </c>
      <c r="CA88" s="21" t="str">
        <f t="shared" si="87"/>
        <v/>
      </c>
      <c r="CB88" s="21" t="str">
        <f t="shared" si="87"/>
        <v/>
      </c>
      <c r="CC88" s="75" t="str">
        <f>IF($J$24="Español","Pies Firmes",(IF($J$24="Deutsch","Heimtückisch",(IF($J$24="Français","Réception plongeante ","Leap")))))</f>
        <v>Pies Firmes</v>
      </c>
      <c r="CD88" s="2" t="s">
        <v>168</v>
      </c>
      <c r="CE88" s="80"/>
      <c r="CF88" s="2"/>
      <c r="CG88" s="2" t="str">
        <f t="shared" si="71"/>
        <v/>
      </c>
      <c r="CH88" s="2" t="str">
        <f t="shared" si="72"/>
        <v/>
      </c>
      <c r="CI88" s="2" t="str">
        <f t="shared" si="73"/>
        <v/>
      </c>
      <c r="CJ88" s="2" t="str">
        <f t="shared" si="74"/>
        <v/>
      </c>
      <c r="CK88" s="2" t="str">
        <f t="shared" si="75"/>
        <v/>
      </c>
      <c r="CL88" s="2" t="str">
        <f t="shared" si="76"/>
        <v/>
      </c>
      <c r="CM88" s="2" t="str">
        <f t="shared" si="77"/>
        <v/>
      </c>
      <c r="CN88" s="2" t="str">
        <f t="shared" si="78"/>
        <v/>
      </c>
      <c r="CO88" s="2" t="str">
        <f t="shared" si="79"/>
        <v/>
      </c>
      <c r="CP88" s="2" t="str">
        <f t="shared" si="80"/>
        <v/>
      </c>
      <c r="CQ88" s="2" t="str">
        <f t="shared" si="81"/>
        <v/>
      </c>
      <c r="CR88" s="2" t="str">
        <f t="shared" si="82"/>
        <v/>
      </c>
      <c r="CS88" s="2" t="str">
        <f t="shared" si="83"/>
        <v/>
      </c>
      <c r="CT88" s="2" t="str">
        <f t="shared" si="84"/>
        <v/>
      </c>
      <c r="CU88" s="2" t="str">
        <f t="shared" si="85"/>
        <v/>
      </c>
      <c r="CV88" s="2" t="str">
        <f t="shared" si="86"/>
        <v/>
      </c>
      <c r="CW88" s="2"/>
      <c r="CX88" s="2"/>
      <c r="CY88" s="2"/>
      <c r="CZ88" s="2"/>
    </row>
    <row r="89" spans="2:104" ht="15" hidden="1" customHeight="1" x14ac:dyDescent="0.2">
      <c r="B89" s="122"/>
      <c r="C89" s="123"/>
      <c r="D89" s="123"/>
      <c r="E89" s="123"/>
      <c r="F89" s="123"/>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13">
        <v>24</v>
      </c>
      <c r="AR89" s="12">
        <v>715000</v>
      </c>
      <c r="AS89" s="12">
        <v>240000</v>
      </c>
      <c r="AT89" s="1"/>
      <c r="AU89" s="1"/>
      <c r="AV89" s="1"/>
      <c r="AW89" s="1"/>
      <c r="AX89" s="2"/>
      <c r="AY89" s="2"/>
      <c r="AZ89" s="1">
        <v>160000</v>
      </c>
      <c r="BA89" s="2"/>
      <c r="BB89" s="2"/>
      <c r="BC89" s="2"/>
      <c r="BD89" s="2"/>
      <c r="BE89" s="2"/>
      <c r="BJ89" s="13"/>
      <c r="BL89" s="13"/>
      <c r="BN89" s="13"/>
      <c r="BO89" s="2"/>
      <c r="BP89" s="13"/>
      <c r="BS89" s="81" t="str">
        <f>IF($J$24="Español","Furtivo",(IF($J$24="Deutsch","Hechtsprung",(IF($J$24="Français","Réception ","Jump Up")))))</f>
        <v>Furtivo</v>
      </c>
      <c r="BT89" s="21" t="s">
        <v>168</v>
      </c>
      <c r="BU89" s="81" t="str">
        <f>IF($J$24="Español","Furtivo",(IF($J$24="Deutsch","Hechtsprung",(IF($J$24="Français","Réception ","Jump Up")))))</f>
        <v>Furtivo</v>
      </c>
      <c r="BV89" s="21" t="s">
        <v>168</v>
      </c>
      <c r="BW89" s="81" t="str">
        <f>IF($J$24="Español","Furtivo",(IF($J$24="Deutsch","Hechtsprung",(IF($J$24="Français","Réception ","Jump Up")))))</f>
        <v>Furtivo</v>
      </c>
      <c r="BX89" s="21" t="s">
        <v>168</v>
      </c>
      <c r="BY89" s="75" t="str">
        <f>IF($J$24="Español","Furtivo",(IF($J$24="Deutsch","Hechtsprung",(IF($J$24="Français","Réception ","Jump Up")))))</f>
        <v>Furtivo</v>
      </c>
      <c r="BZ89" s="21" t="s">
        <v>168</v>
      </c>
      <c r="CA89" s="21" t="str">
        <f t="shared" si="87"/>
        <v/>
      </c>
      <c r="CB89" s="21" t="str">
        <f t="shared" si="87"/>
        <v/>
      </c>
      <c r="CC89" s="75" t="str">
        <f>IF($J$24="Español","Placaje Heroico",(IF($J$24="Deutsch","Sichere Hände",(IF($J$24="Français","Rétablissement","Safe Pair of Hands")))))</f>
        <v>Placaje Heroico</v>
      </c>
      <c r="CD89" s="2" t="s">
        <v>168</v>
      </c>
      <c r="CE89" s="80" t="s">
        <v>216</v>
      </c>
      <c r="CF89" s="2"/>
      <c r="CG89" s="2" t="str">
        <f t="shared" si="71"/>
        <v/>
      </c>
      <c r="CH89" s="2" t="str">
        <f t="shared" si="72"/>
        <v/>
      </c>
      <c r="CI89" s="2" t="str">
        <f t="shared" si="73"/>
        <v/>
      </c>
      <c r="CJ89" s="2" t="str">
        <f t="shared" si="74"/>
        <v/>
      </c>
      <c r="CK89" s="2" t="str">
        <f t="shared" si="75"/>
        <v/>
      </c>
      <c r="CL89" s="2" t="str">
        <f t="shared" si="76"/>
        <v/>
      </c>
      <c r="CM89" s="2" t="str">
        <f t="shared" si="77"/>
        <v/>
      </c>
      <c r="CN89" s="2" t="str">
        <f t="shared" si="78"/>
        <v/>
      </c>
      <c r="CO89" s="2" t="str">
        <f t="shared" si="79"/>
        <v/>
      </c>
      <c r="CP89" s="2" t="str">
        <f t="shared" si="80"/>
        <v/>
      </c>
      <c r="CQ89" s="2" t="str">
        <f t="shared" si="81"/>
        <v/>
      </c>
      <c r="CR89" s="2" t="str">
        <f t="shared" si="82"/>
        <v/>
      </c>
      <c r="CS89" s="2" t="str">
        <f t="shared" si="83"/>
        <v/>
      </c>
      <c r="CT89" s="2" t="str">
        <f t="shared" si="84"/>
        <v/>
      </c>
      <c r="CU89" s="2" t="str">
        <f t="shared" si="85"/>
        <v/>
      </c>
      <c r="CV89" s="2" t="str">
        <f t="shared" si="86"/>
        <v/>
      </c>
      <c r="CW89" s="2"/>
      <c r="CX89" s="2"/>
      <c r="CY89" s="2"/>
      <c r="CZ89" s="2"/>
    </row>
    <row r="90" spans="2:104" ht="15" hidden="1" customHeight="1" x14ac:dyDescent="0.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12">
        <v>25</v>
      </c>
      <c r="AR90" s="12">
        <v>720000</v>
      </c>
      <c r="AS90" s="12">
        <v>250000</v>
      </c>
      <c r="AT90" s="1"/>
      <c r="AU90" s="1"/>
      <c r="AV90" s="1"/>
      <c r="AW90" s="1"/>
      <c r="AX90" s="2"/>
      <c r="AY90" s="2"/>
      <c r="AZ90" s="1">
        <v>170000</v>
      </c>
      <c r="BA90" s="2"/>
      <c r="BB90" s="2"/>
      <c r="BC90" s="2"/>
      <c r="BD90" s="2"/>
      <c r="BE90" s="2"/>
      <c r="BJ90" s="13"/>
      <c r="BL90" s="13"/>
      <c r="BN90" s="13"/>
      <c r="BO90" s="2"/>
      <c r="BP90" s="13"/>
      <c r="BS90" s="81" t="str">
        <f>IF($J$24="Español","Pies Firmes",(IF($J$24="Deutsch","Heimtückisch",(IF($J$24="Français","Réception plongeante ","Leap")))))</f>
        <v>Pies Firmes</v>
      </c>
      <c r="BT90" s="21" t="s">
        <v>168</v>
      </c>
      <c r="BU90" s="81" t="str">
        <f>IF($J$24="Español","Pies Firmes",(IF($J$24="Deutsch","Heimtückisch",(IF($J$24="Français","Réception plongeante ","Leap")))))</f>
        <v>Pies Firmes</v>
      </c>
      <c r="BV90" s="21" t="s">
        <v>168</v>
      </c>
      <c r="BW90" s="81" t="str">
        <f>IF($J$24="Español","Pies Firmes",(IF($J$24="Deutsch","Heimtückisch",(IF($J$24="Français","Réception plongeante ","Leap")))))</f>
        <v>Pies Firmes</v>
      </c>
      <c r="BX90" s="21" t="s">
        <v>168</v>
      </c>
      <c r="BY90" s="75" t="str">
        <f>IF($J$24="Español","Pies Firmes",(IF($J$24="Deutsch","Heimtückisch",(IF($J$24="Français","Réception plongeante ","Leap")))))</f>
        <v>Pies Firmes</v>
      </c>
      <c r="BZ90" s="21" t="s">
        <v>168</v>
      </c>
      <c r="CA90" s="21" t="str">
        <f t="shared" si="87"/>
        <v/>
      </c>
      <c r="CB90" s="21" t="str">
        <f t="shared" si="87"/>
        <v/>
      </c>
      <c r="CC90" s="75" t="str">
        <f>IF($J$24="Español","Proteger el Cuero",(IF($J$24="Deutsch","Springen",(IF($J$24="Français","Saut","Sidestep")))))</f>
        <v>Proteger el Cuero</v>
      </c>
      <c r="CD90" s="2" t="s">
        <v>168</v>
      </c>
      <c r="CE90" s="80"/>
      <c r="CF90" s="2"/>
      <c r="CG90" s="2" t="str">
        <f t="shared" si="71"/>
        <v/>
      </c>
      <c r="CH90" s="2" t="str">
        <f t="shared" si="72"/>
        <v/>
      </c>
      <c r="CI90" s="2" t="str">
        <f t="shared" si="73"/>
        <v/>
      </c>
      <c r="CJ90" s="2" t="str">
        <f t="shared" si="74"/>
        <v/>
      </c>
      <c r="CK90" s="2" t="str">
        <f t="shared" si="75"/>
        <v/>
      </c>
      <c r="CL90" s="2" t="str">
        <f t="shared" si="76"/>
        <v/>
      </c>
      <c r="CM90" s="2" t="str">
        <f t="shared" si="77"/>
        <v/>
      </c>
      <c r="CN90" s="2" t="str">
        <f t="shared" si="78"/>
        <v/>
      </c>
      <c r="CO90" s="2" t="str">
        <f t="shared" si="79"/>
        <v/>
      </c>
      <c r="CP90" s="2" t="str">
        <f t="shared" si="80"/>
        <v/>
      </c>
      <c r="CQ90" s="2" t="str">
        <f t="shared" si="81"/>
        <v/>
      </c>
      <c r="CR90" s="2" t="str">
        <f t="shared" si="82"/>
        <v/>
      </c>
      <c r="CS90" s="2" t="str">
        <f t="shared" si="83"/>
        <v/>
      </c>
      <c r="CT90" s="2" t="str">
        <f t="shared" si="84"/>
        <v/>
      </c>
      <c r="CU90" s="2" t="str">
        <f t="shared" si="85"/>
        <v/>
      </c>
      <c r="CV90" s="2" t="str">
        <f t="shared" si="86"/>
        <v/>
      </c>
      <c r="CW90" s="2"/>
      <c r="CX90" s="2"/>
      <c r="CY90" s="2"/>
      <c r="CZ90" s="2"/>
    </row>
    <row r="91" spans="2:104" ht="15" hidden="1" customHeight="1" x14ac:dyDescent="0.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13">
        <v>26</v>
      </c>
      <c r="AR91" s="12">
        <v>725000</v>
      </c>
      <c r="AS91" s="12">
        <v>260000</v>
      </c>
      <c r="AT91" s="1"/>
      <c r="AU91" s="1"/>
      <c r="AV91" s="1"/>
      <c r="AW91" s="1"/>
      <c r="AX91" s="2"/>
      <c r="AY91" s="2"/>
      <c r="AZ91" s="1">
        <v>180000</v>
      </c>
      <c r="BA91" s="2"/>
      <c r="BB91" s="2"/>
      <c r="BC91" s="2"/>
      <c r="BD91" s="2"/>
      <c r="BE91" s="2"/>
      <c r="BJ91" s="13"/>
      <c r="BL91" s="13"/>
      <c r="BN91" s="13"/>
      <c r="BO91" s="2"/>
      <c r="BP91" s="13"/>
      <c r="BS91" s="81" t="str">
        <f>IF($J$24="Español","Placaje Heroico",(IF($J$24="Deutsch","Sichere Hände",(IF($J$24="Français","Rétablissement","Safe Pair of Hands")))))</f>
        <v>Placaje Heroico</v>
      </c>
      <c r="BT91" s="21" t="s">
        <v>168</v>
      </c>
      <c r="BU91" s="81" t="str">
        <f>IF($J$24="Español","Placaje Heroico",(IF($J$24="Deutsch","Sichere Hände",(IF($J$24="Français","Rétablissement","Safe Pair of Hands")))))</f>
        <v>Placaje Heroico</v>
      </c>
      <c r="BV91" s="21" t="s">
        <v>168</v>
      </c>
      <c r="BW91" s="81" t="str">
        <f>IF($J$24="Español","Placaje Heroico",(IF($J$24="Deutsch","Sichere Hände",(IF($J$24="Français","Rétablissement","Safe Pair of Hands")))))</f>
        <v>Placaje Heroico</v>
      </c>
      <c r="BX91" s="21" t="s">
        <v>168</v>
      </c>
      <c r="BY91" s="75" t="str">
        <f>IF($J$24="Español","Placaje Heroico",(IF($J$24="Deutsch","Sichere Hände",(IF($J$24="Français","Rétablissement","Safe Pair of Hands")))))</f>
        <v>Placaje Heroico</v>
      </c>
      <c r="BZ91" s="21" t="s">
        <v>168</v>
      </c>
      <c r="CA91" s="21" t="str">
        <f t="shared" si="87"/>
        <v/>
      </c>
      <c r="CB91" s="21" t="str">
        <f t="shared" si="87"/>
        <v/>
      </c>
      <c r="CC91" s="75" t="str">
        <f>IF($J$24="Español","Recepción Heroica",(IF($J$24="Deutsch","Sprinten",(IF($J$24="Français","Sprint","Sneaky Git")))))</f>
        <v>Recepción Heroica</v>
      </c>
      <c r="CD91" s="2" t="s">
        <v>168</v>
      </c>
      <c r="CE91" s="80"/>
      <c r="CF91" s="2"/>
      <c r="CG91" s="2" t="str">
        <f t="shared" si="71"/>
        <v/>
      </c>
      <c r="CH91" s="2" t="str">
        <f t="shared" si="72"/>
        <v/>
      </c>
      <c r="CI91" s="2" t="str">
        <f t="shared" si="73"/>
        <v/>
      </c>
      <c r="CJ91" s="2" t="str">
        <f t="shared" si="74"/>
        <v/>
      </c>
      <c r="CK91" s="2" t="str">
        <f t="shared" si="75"/>
        <v/>
      </c>
      <c r="CL91" s="2" t="str">
        <f t="shared" si="76"/>
        <v/>
      </c>
      <c r="CM91" s="2" t="str">
        <f t="shared" si="77"/>
        <v/>
      </c>
      <c r="CN91" s="2" t="str">
        <f t="shared" si="78"/>
        <v/>
      </c>
      <c r="CO91" s="2" t="str">
        <f t="shared" si="79"/>
        <v/>
      </c>
      <c r="CP91" s="2" t="str">
        <f t="shared" si="80"/>
        <v/>
      </c>
      <c r="CQ91" s="2" t="str">
        <f t="shared" si="81"/>
        <v/>
      </c>
      <c r="CR91" s="2" t="str">
        <f t="shared" si="82"/>
        <v/>
      </c>
      <c r="CS91" s="2" t="str">
        <f t="shared" si="83"/>
        <v/>
      </c>
      <c r="CT91" s="2" t="str">
        <f t="shared" si="84"/>
        <v/>
      </c>
      <c r="CU91" s="2" t="str">
        <f t="shared" si="85"/>
        <v/>
      </c>
      <c r="CV91" s="2" t="str">
        <f t="shared" si="86"/>
        <v/>
      </c>
      <c r="CW91" s="2"/>
      <c r="CX91" s="2"/>
      <c r="CY91" s="2"/>
      <c r="CZ91" s="2"/>
    </row>
    <row r="92" spans="2:104" ht="15" hidden="1" customHeight="1" x14ac:dyDescent="0.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13">
        <v>27</v>
      </c>
      <c r="AR92" s="12">
        <v>730000</v>
      </c>
      <c r="AS92" s="12">
        <v>270000</v>
      </c>
      <c r="AT92" s="1"/>
      <c r="AU92" s="1"/>
      <c r="AV92" s="1"/>
      <c r="AW92" s="1"/>
      <c r="AX92" s="2"/>
      <c r="AY92" s="2"/>
      <c r="AZ92" s="1">
        <v>190000</v>
      </c>
      <c r="BA92" s="2"/>
      <c r="BB92" s="2"/>
      <c r="BC92" s="2"/>
      <c r="BD92" s="2"/>
      <c r="BE92" s="2"/>
      <c r="BJ92" s="13"/>
      <c r="BL92" s="13"/>
      <c r="BN92" s="13"/>
      <c r="BO92" s="2"/>
      <c r="BP92" s="13"/>
      <c r="BS92" s="81" t="str">
        <f>IF($J$24="Español","Proteger el Cuero",(IF($J$24="Deutsch","Springen",(IF($J$24="Français","Saut","Sidestep")))))</f>
        <v>Proteger el Cuero</v>
      </c>
      <c r="BT92" s="21" t="s">
        <v>168</v>
      </c>
      <c r="BU92" s="81" t="str">
        <f>IF($J$24="Español","Proteger el Cuero",(IF($J$24="Deutsch","Springen",(IF($J$24="Français","Saut","Sidestep")))))</f>
        <v>Proteger el Cuero</v>
      </c>
      <c r="BV92" s="21" t="s">
        <v>168</v>
      </c>
      <c r="BW92" s="81" t="str">
        <f>IF($J$24="Español","Proteger el Cuero",(IF($J$24="Deutsch","Springen",(IF($J$24="Français","Saut","Sidestep")))))</f>
        <v>Proteger el Cuero</v>
      </c>
      <c r="BX92" s="21" t="s">
        <v>168</v>
      </c>
      <c r="BY92" s="75" t="str">
        <f>IF($J$24="Español","Proteger el Cuero",(IF($J$24="Deutsch","Springen",(IF($J$24="Français","Saut","Sidestep")))))</f>
        <v>Proteger el Cuero</v>
      </c>
      <c r="BZ92" s="21" t="s">
        <v>168</v>
      </c>
      <c r="CA92" s="21" t="str">
        <f t="shared" si="87"/>
        <v/>
      </c>
      <c r="CB92" s="21" t="str">
        <f t="shared" si="87"/>
        <v/>
      </c>
      <c r="CC92" s="75" t="str">
        <f>IF($J$24="Español","Romper Defensas",(IF($J$24="Deutsch","Sprintensicher",(IF($J$24="Français","Sournois","Sprint")))))</f>
        <v>Romper Defensas</v>
      </c>
      <c r="CD92" s="2" t="s">
        <v>168</v>
      </c>
      <c r="CE92" s="80"/>
      <c r="CF92" s="2"/>
      <c r="CG92" s="2" t="str">
        <f t="shared" si="71"/>
        <v/>
      </c>
      <c r="CH92" s="2" t="str">
        <f t="shared" si="72"/>
        <v/>
      </c>
      <c r="CI92" s="2" t="str">
        <f t="shared" si="73"/>
        <v/>
      </c>
      <c r="CJ92" s="2" t="str">
        <f t="shared" si="74"/>
        <v/>
      </c>
      <c r="CK92" s="2" t="str">
        <f t="shared" si="75"/>
        <v/>
      </c>
      <c r="CL92" s="2" t="str">
        <f t="shared" si="76"/>
        <v/>
      </c>
      <c r="CM92" s="2" t="str">
        <f t="shared" si="77"/>
        <v/>
      </c>
      <c r="CN92" s="2" t="str">
        <f t="shared" si="78"/>
        <v/>
      </c>
      <c r="CO92" s="2" t="str">
        <f t="shared" si="79"/>
        <v/>
      </c>
      <c r="CP92" s="2" t="str">
        <f t="shared" si="80"/>
        <v/>
      </c>
      <c r="CQ92" s="2" t="str">
        <f t="shared" si="81"/>
        <v/>
      </c>
      <c r="CR92" s="2" t="str">
        <f t="shared" si="82"/>
        <v/>
      </c>
      <c r="CS92" s="2" t="str">
        <f t="shared" si="83"/>
        <v/>
      </c>
      <c r="CT92" s="2" t="str">
        <f t="shared" si="84"/>
        <v/>
      </c>
      <c r="CU92" s="2" t="str">
        <f t="shared" si="85"/>
        <v/>
      </c>
      <c r="CV92" s="2" t="str">
        <f t="shared" si="86"/>
        <v/>
      </c>
      <c r="CW92" s="2"/>
      <c r="CX92" s="2"/>
      <c r="CY92" s="2"/>
      <c r="CZ92" s="2"/>
    </row>
    <row r="93" spans="2:104" ht="15" hidden="1" customHeight="1" x14ac:dyDescent="0.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12">
        <v>28</v>
      </c>
      <c r="AR93" s="12">
        <v>735000</v>
      </c>
      <c r="AS93" s="12">
        <v>280000</v>
      </c>
      <c r="AT93" s="1"/>
      <c r="AU93" s="1"/>
      <c r="AV93" s="1"/>
      <c r="AW93" s="1"/>
      <c r="AX93" s="2"/>
      <c r="AY93" s="2"/>
      <c r="AZ93" s="1">
        <v>200000</v>
      </c>
      <c r="BA93" s="2"/>
      <c r="BB93" s="2"/>
      <c r="BC93" s="2"/>
      <c r="BD93" s="2"/>
      <c r="BE93" s="2"/>
      <c r="BJ93" s="13"/>
      <c r="BL93" s="13"/>
      <c r="BN93" s="13"/>
      <c r="BO93" s="2"/>
      <c r="BP93" s="13"/>
      <c r="BS93" s="81" t="str">
        <f>IF($J$24="Español","Recepción Heroica",(IF($J$24="Deutsch","Sprinten",(IF($J$24="Français","Sprint","Sneaky Git")))))</f>
        <v>Recepción Heroica</v>
      </c>
      <c r="BT93" s="21" t="s">
        <v>168</v>
      </c>
      <c r="BU93" s="81" t="str">
        <f>IF($J$24="Español","Recepción Heroica",(IF($J$24="Deutsch","Sprinten",(IF($J$24="Français","Sprint","Sneaky Git")))))</f>
        <v>Recepción Heroica</v>
      </c>
      <c r="BV93" s="21" t="s">
        <v>168</v>
      </c>
      <c r="BW93" s="81" t="str">
        <f>IF($J$24="Español","Recepción Heroica",(IF($J$24="Deutsch","Sprinten",(IF($J$24="Français","Sprint","Sneaky Git")))))</f>
        <v>Recepción Heroica</v>
      </c>
      <c r="BX93" s="21" t="s">
        <v>168</v>
      </c>
      <c r="BY93" s="75" t="str">
        <f>IF($J$24="Español","Recepción Heroica",(IF($J$24="Deutsch","Sprinten",(IF($J$24="Français","Sprint","Sneaky Git")))))</f>
        <v>Recepción Heroica</v>
      </c>
      <c r="BZ93" s="21" t="s">
        <v>168</v>
      </c>
      <c r="CA93" s="21" t="str">
        <f t="shared" si="87"/>
        <v/>
      </c>
      <c r="CB93" s="21" t="str">
        <f t="shared" si="87"/>
        <v/>
      </c>
      <c r="CC93" s="75" t="str">
        <f>IF($J$24="Español","Saltar",(IF($J$24="Deutsch","Wehrhaft",(IF($J$24="Français","Tacle plongeant ","Sure Feet")))))</f>
        <v>Saltar</v>
      </c>
      <c r="CD93" s="2" t="s">
        <v>168</v>
      </c>
      <c r="CE93" s="80"/>
      <c r="CF93" s="2"/>
      <c r="CG93" s="2" t="str">
        <f t="shared" si="71"/>
        <v/>
      </c>
      <c r="CH93" s="2" t="str">
        <f t="shared" si="72"/>
        <v/>
      </c>
      <c r="CI93" s="2" t="str">
        <f t="shared" si="73"/>
        <v/>
      </c>
      <c r="CJ93" s="2" t="str">
        <f t="shared" si="74"/>
        <v/>
      </c>
      <c r="CK93" s="2" t="str">
        <f t="shared" si="75"/>
        <v/>
      </c>
      <c r="CL93" s="2" t="str">
        <f t="shared" si="76"/>
        <v/>
      </c>
      <c r="CM93" s="2" t="str">
        <f t="shared" si="77"/>
        <v/>
      </c>
      <c r="CN93" s="2" t="str">
        <f t="shared" si="78"/>
        <v/>
      </c>
      <c r="CO93" s="2" t="str">
        <f t="shared" si="79"/>
        <v/>
      </c>
      <c r="CP93" s="2" t="str">
        <f t="shared" si="80"/>
        <v/>
      </c>
      <c r="CQ93" s="2" t="str">
        <f t="shared" si="81"/>
        <v/>
      </c>
      <c r="CR93" s="2" t="str">
        <f t="shared" si="82"/>
        <v/>
      </c>
      <c r="CS93" s="2" t="str">
        <f t="shared" si="83"/>
        <v/>
      </c>
      <c r="CT93" s="2" t="str">
        <f t="shared" si="84"/>
        <v/>
      </c>
      <c r="CU93" s="2" t="str">
        <f t="shared" si="85"/>
        <v/>
      </c>
      <c r="CV93" s="2" t="str">
        <f t="shared" si="86"/>
        <v/>
      </c>
      <c r="CW93" s="2"/>
      <c r="CX93" s="2"/>
      <c r="CY93" s="2"/>
      <c r="CZ93" s="2"/>
    </row>
    <row r="94" spans="2:104" ht="15" hidden="1" customHeight="1" x14ac:dyDescent="0.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13">
        <v>29</v>
      </c>
      <c r="AR94" s="12">
        <v>740000</v>
      </c>
      <c r="AS94" s="12">
        <v>290000</v>
      </c>
      <c r="AT94" s="1"/>
      <c r="AU94" s="1"/>
      <c r="AV94" s="1"/>
      <c r="AW94" s="1"/>
      <c r="AX94" s="2"/>
      <c r="AY94" s="2"/>
      <c r="AZ94" s="1">
        <v>210000</v>
      </c>
      <c r="BA94" s="2"/>
      <c r="BB94" s="2"/>
      <c r="BC94" s="2"/>
      <c r="BD94" s="2"/>
      <c r="BE94" s="2"/>
      <c r="BJ94" s="13"/>
      <c r="BL94" s="13"/>
      <c r="BN94" s="13"/>
      <c r="BO94" s="2"/>
      <c r="BP94" s="13"/>
      <c r="BS94" s="81" t="str">
        <f>IF($J$24="Español","Romper Defensas",(IF($J$24="Deutsch","Sprintensicher",(IF($J$24="Français","Sournois","Sprint")))))</f>
        <v>Romper Defensas</v>
      </c>
      <c r="BT94" s="21" t="s">
        <v>168</v>
      </c>
      <c r="BU94" s="81" t="str">
        <f>IF($J$24="Español","Romper Defensas",(IF($J$24="Deutsch","Sprintensicher",(IF($J$24="Français","Sournois","Sprint")))))</f>
        <v>Romper Defensas</v>
      </c>
      <c r="BV94" s="21" t="s">
        <v>168</v>
      </c>
      <c r="BW94" s="81" t="str">
        <f>IF($J$24="Español","Romper Defensas",(IF($J$24="Deutsch","Sprintensicher",(IF($J$24="Français","Sournois","Sprint")))))</f>
        <v>Romper Defensas</v>
      </c>
      <c r="BX94" s="21" t="s">
        <v>168</v>
      </c>
      <c r="BY94" s="75" t="str">
        <f>IF($J$24="Español","Romper Defensas",(IF($J$24="Deutsch","Sprintensicher",(IF($J$24="Français","Sournois","Sprint")))))</f>
        <v>Romper Defensas</v>
      </c>
      <c r="BZ94" s="21" t="s">
        <v>168</v>
      </c>
      <c r="CA94" s="21" t="str">
        <f t="shared" si="87"/>
        <v/>
      </c>
      <c r="CB94" s="21" t="str">
        <f t="shared" si="87"/>
        <v/>
      </c>
      <c r="CC94" s="21" t="str">
        <f>IF($J$24="Español","Atento al Balón",(IF($J$24="Deutsch","Abspiel",(IF($J$24="Français","Canonnier","Accurate")))))</f>
        <v>Atento al Balón</v>
      </c>
      <c r="CD94" s="2" t="s">
        <v>170</v>
      </c>
      <c r="CE94" s="80"/>
      <c r="CG94" s="2" t="str">
        <f t="shared" si="71"/>
        <v/>
      </c>
      <c r="CH94" s="2" t="str">
        <f t="shared" si="72"/>
        <v/>
      </c>
      <c r="CI94" s="2" t="str">
        <f t="shared" si="73"/>
        <v/>
      </c>
      <c r="CJ94" s="2" t="str">
        <f t="shared" si="74"/>
        <v/>
      </c>
      <c r="CK94" s="2" t="str">
        <f t="shared" si="75"/>
        <v/>
      </c>
      <c r="CL94" s="2" t="str">
        <f t="shared" si="76"/>
        <v/>
      </c>
      <c r="CM94" s="2" t="str">
        <f t="shared" si="77"/>
        <v/>
      </c>
      <c r="CN94" s="2" t="str">
        <f t="shared" si="78"/>
        <v/>
      </c>
      <c r="CO94" s="2" t="str">
        <f t="shared" si="79"/>
        <v/>
      </c>
      <c r="CP94" s="2" t="str">
        <f t="shared" si="80"/>
        <v/>
      </c>
      <c r="CQ94" s="2" t="str">
        <f t="shared" si="81"/>
        <v/>
      </c>
      <c r="CR94" s="2" t="str">
        <f t="shared" si="82"/>
        <v/>
      </c>
      <c r="CS94" s="2" t="str">
        <f t="shared" si="83"/>
        <v/>
      </c>
      <c r="CT94" s="2" t="str">
        <f t="shared" si="84"/>
        <v/>
      </c>
      <c r="CU94" s="2" t="str">
        <f t="shared" si="85"/>
        <v/>
      </c>
      <c r="CV94" s="2" t="str">
        <f t="shared" si="86"/>
        <v/>
      </c>
      <c r="CW94" s="2"/>
      <c r="CX94" s="2"/>
      <c r="CY94" s="2"/>
      <c r="CZ94" s="2"/>
    </row>
    <row r="95" spans="2:104" ht="15" hidden="1" customHeight="1" x14ac:dyDescent="0.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13">
        <v>30</v>
      </c>
      <c r="AR95" s="12">
        <v>745000</v>
      </c>
      <c r="AS95" s="12">
        <v>300000</v>
      </c>
      <c r="AT95" s="1"/>
      <c r="AU95" s="1"/>
      <c r="AV95" s="1"/>
      <c r="AW95" s="1"/>
      <c r="AX95" s="2"/>
      <c r="AY95" s="2"/>
      <c r="AZ95" s="1">
        <v>220000</v>
      </c>
      <c r="BA95" s="2"/>
      <c r="BB95" s="2"/>
      <c r="BC95" s="2"/>
      <c r="BD95" s="2"/>
      <c r="BE95" s="2"/>
      <c r="BJ95" s="13"/>
      <c r="BL95" s="13"/>
      <c r="BN95" s="13"/>
      <c r="BO95" s="2"/>
      <c r="BP95" s="13"/>
      <c r="BS95" s="81" t="str">
        <f>IF($J$24="Español","Saltar",(IF($J$24="Deutsch","Wehrhaft",(IF($J$24="Français","Tacle plongeant ","Sure Feet")))))</f>
        <v>Saltar</v>
      </c>
      <c r="BT95" s="21" t="s">
        <v>168</v>
      </c>
      <c r="BU95" s="81" t="str">
        <f>IF($J$24="Español","Saltar",(IF($J$24="Deutsch","Wehrhaft",(IF($J$24="Français","Tacle plongeant ","Sure Feet")))))</f>
        <v>Saltar</v>
      </c>
      <c r="BV95" s="21" t="s">
        <v>168</v>
      </c>
      <c r="BW95" s="81" t="str">
        <f>IF($J$24="Español","Saltar",(IF($J$24="Deutsch","Wehrhaft",(IF($J$24="Français","Tacle plongeant ","Sure Feet")))))</f>
        <v>Saltar</v>
      </c>
      <c r="BX95" s="21" t="s">
        <v>168</v>
      </c>
      <c r="BY95" s="75" t="str">
        <f>IF($J$24="Español","Saltar",(IF($J$24="Deutsch","Wehrhaft",(IF($J$24="Français","Tacle plongeant ","Sure Feet")))))</f>
        <v>Saltar</v>
      </c>
      <c r="BZ95" s="21" t="s">
        <v>168</v>
      </c>
      <c r="CA95" s="21" t="str">
        <f t="shared" si="87"/>
        <v/>
      </c>
      <c r="CB95" s="21" t="str">
        <f t="shared" si="87"/>
        <v/>
      </c>
      <c r="CC95" s="21" t="str">
        <f>IF($J$24="Español","Cañonero",(IF($J$24="Deutsch","Hau wech das Leder",(IF($J$24="Français","Chef","Cannoneer")))))</f>
        <v>Cañonero</v>
      </c>
      <c r="CD95" s="2" t="s">
        <v>170</v>
      </c>
      <c r="CE95" s="80"/>
      <c r="CG95" s="2" t="str">
        <f t="shared" si="71"/>
        <v/>
      </c>
      <c r="CH95" s="2" t="str">
        <f t="shared" si="72"/>
        <v/>
      </c>
      <c r="CI95" s="2" t="str">
        <f t="shared" si="73"/>
        <v/>
      </c>
      <c r="CJ95" s="2" t="str">
        <f t="shared" si="74"/>
        <v/>
      </c>
      <c r="CK95" s="2" t="str">
        <f t="shared" si="75"/>
        <v/>
      </c>
      <c r="CL95" s="2" t="str">
        <f t="shared" si="76"/>
        <v/>
      </c>
      <c r="CM95" s="2" t="str">
        <f t="shared" si="77"/>
        <v/>
      </c>
      <c r="CN95" s="2" t="str">
        <f t="shared" si="78"/>
        <v/>
      </c>
      <c r="CO95" s="2" t="str">
        <f t="shared" si="79"/>
        <v/>
      </c>
      <c r="CP95" s="2" t="str">
        <f t="shared" si="80"/>
        <v/>
      </c>
      <c r="CQ95" s="2" t="str">
        <f t="shared" si="81"/>
        <v/>
      </c>
      <c r="CR95" s="2" t="str">
        <f t="shared" si="82"/>
        <v/>
      </c>
      <c r="CS95" s="2" t="str">
        <f t="shared" si="83"/>
        <v/>
      </c>
      <c r="CT95" s="2" t="str">
        <f t="shared" si="84"/>
        <v/>
      </c>
      <c r="CU95" s="2" t="str">
        <f t="shared" si="85"/>
        <v/>
      </c>
      <c r="CV95" s="2" t="str">
        <f t="shared" si="86"/>
        <v/>
      </c>
      <c r="CW95" s="2"/>
      <c r="CX95" s="2"/>
      <c r="CY95" s="2"/>
      <c r="CZ95" s="2"/>
    </row>
    <row r="96" spans="2:104" ht="15" hidden="1" customHeight="1" x14ac:dyDescent="0.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12">
        <v>31</v>
      </c>
      <c r="AR96" s="12">
        <v>750000</v>
      </c>
      <c r="AS96" s="12">
        <v>310000</v>
      </c>
      <c r="AT96" s="1"/>
      <c r="AU96" s="1"/>
      <c r="AV96" s="1"/>
      <c r="AW96" s="1"/>
      <c r="AX96" s="2"/>
      <c r="AY96" s="2"/>
      <c r="AZ96" s="1">
        <v>230000</v>
      </c>
      <c r="BA96" s="2"/>
      <c r="BB96" s="2"/>
      <c r="BC96" s="2"/>
      <c r="BD96" s="2"/>
      <c r="BE96" s="2"/>
      <c r="BJ96" s="13"/>
      <c r="BL96" s="13"/>
      <c r="BN96" s="13"/>
      <c r="BO96" s="2"/>
      <c r="BP96" s="13"/>
      <c r="BS96" s="21" t="str">
        <f>IF($J$24="Español","Atento al Balón",(IF($J$24="Deutsch","Abspiel",(IF($J$24="Français","Canonnier","Accurate")))))</f>
        <v>Atento al Balón</v>
      </c>
      <c r="BT96" s="21" t="s">
        <v>170</v>
      </c>
      <c r="BU96" s="81" t="str">
        <f>IF($J$24="Español","Abrirse Paso",(IF($J$24="Deutsch","Armhebel",(IF($J$24="Français","Bagarre","Arm Bar")))))</f>
        <v>Abrirse Paso</v>
      </c>
      <c r="BV96" s="21" t="s">
        <v>169</v>
      </c>
      <c r="BW96" s="21" t="str">
        <f>IF($J$24="Español","Atento al Balón",(IF($J$24="Deutsch","Abspiel",(IF($J$24="Français","Canonnier","Accurate")))))</f>
        <v>Atento al Balón</v>
      </c>
      <c r="BX96" s="21" t="s">
        <v>170</v>
      </c>
      <c r="BY96" s="75" t="str">
        <f>IF($J$24="Español","Abrirse Paso",(IF($J$24="Deutsch","Armhebel",(IF($J$24="Français","Bagarre","Arm Bar")))))</f>
        <v>Abrirse Paso</v>
      </c>
      <c r="BZ96" s="21" t="s">
        <v>169</v>
      </c>
      <c r="CA96" s="21" t="str">
        <f t="shared" si="87"/>
        <v/>
      </c>
      <c r="CB96" s="21" t="str">
        <f t="shared" si="87"/>
        <v/>
      </c>
      <c r="CC96" s="75" t="str">
        <f>IF($J$24="Español","Dejada",(IF($J$24="Deutsch","Im Laufen passen",(IF($J$24="Français","Délestage","Cloud Burster")))))</f>
        <v>Dejada</v>
      </c>
      <c r="CD96" s="2" t="s">
        <v>170</v>
      </c>
      <c r="CE96" s="80"/>
      <c r="CG96" s="2" t="str">
        <f t="shared" si="71"/>
        <v/>
      </c>
      <c r="CH96" s="2" t="str">
        <f t="shared" si="72"/>
        <v/>
      </c>
      <c r="CI96" s="2" t="str">
        <f t="shared" si="73"/>
        <v/>
      </c>
      <c r="CJ96" s="2" t="str">
        <f t="shared" si="74"/>
        <v/>
      </c>
      <c r="CK96" s="2" t="str">
        <f t="shared" si="75"/>
        <v/>
      </c>
      <c r="CL96" s="2" t="str">
        <f t="shared" si="76"/>
        <v/>
      </c>
      <c r="CM96" s="2" t="str">
        <f t="shared" si="77"/>
        <v/>
      </c>
      <c r="CN96" s="2" t="str">
        <f t="shared" si="78"/>
        <v/>
      </c>
      <c r="CO96" s="2" t="str">
        <f t="shared" si="79"/>
        <v/>
      </c>
      <c r="CP96" s="2" t="str">
        <f t="shared" si="80"/>
        <v/>
      </c>
      <c r="CQ96" s="2" t="str">
        <f t="shared" si="81"/>
        <v/>
      </c>
      <c r="CR96" s="2" t="str">
        <f t="shared" si="82"/>
        <v/>
      </c>
      <c r="CS96" s="2" t="str">
        <f t="shared" si="83"/>
        <v/>
      </c>
      <c r="CT96" s="2" t="str">
        <f t="shared" si="84"/>
        <v/>
      </c>
      <c r="CU96" s="2" t="str">
        <f t="shared" si="85"/>
        <v/>
      </c>
      <c r="CV96" s="2" t="str">
        <f t="shared" si="86"/>
        <v/>
      </c>
      <c r="CW96" s="2"/>
      <c r="CX96" s="2"/>
      <c r="CY96" s="2"/>
      <c r="CZ96" s="2"/>
    </row>
    <row r="97" spans="43:104" ht="15" hidden="1" customHeight="1" x14ac:dyDescent="0.2">
      <c r="AQ97" s="13">
        <v>32</v>
      </c>
      <c r="AR97" s="12">
        <v>755000</v>
      </c>
      <c r="AS97" s="12">
        <v>320000</v>
      </c>
      <c r="AT97" s="1"/>
      <c r="AU97" s="1"/>
      <c r="AV97" s="1"/>
      <c r="AW97" s="1"/>
      <c r="AX97" s="2"/>
      <c r="AY97" s="2"/>
      <c r="AZ97" s="1">
        <v>240000</v>
      </c>
      <c r="BA97" s="2"/>
      <c r="BB97" s="2"/>
      <c r="BC97" s="2"/>
      <c r="BD97" s="2"/>
      <c r="BE97" s="2"/>
      <c r="BJ97" s="13"/>
      <c r="BL97" s="13"/>
      <c r="BN97" s="13"/>
      <c r="BO97" s="2"/>
      <c r="BP97" s="13"/>
      <c r="BS97" s="21" t="str">
        <f>IF($J$24="Español","Cañonero",(IF($J$24="Deutsch","Hau wech das Leder",(IF($J$24="Français","Chef","Cannoneer")))))</f>
        <v>Cañonero</v>
      </c>
      <c r="BT97" s="21" t="s">
        <v>170</v>
      </c>
      <c r="BU97" s="81" t="str">
        <f>IF($J$24="Español","Apartar",(IF($J$24="Deutsch","Greifer",(IF($J$24="Français","Blocage multiple","Brawler")))))</f>
        <v>Apartar</v>
      </c>
      <c r="BV97" s="21" t="s">
        <v>169</v>
      </c>
      <c r="BW97" s="21" t="str">
        <f>IF($J$24="Español","Cañonero",(IF($J$24="Deutsch","Hau wech das Leder",(IF($J$24="Français","Chef","Cannoneer")))))</f>
        <v>Cañonero</v>
      </c>
      <c r="BX97" s="21" t="s">
        <v>170</v>
      </c>
      <c r="BY97" s="75" t="str">
        <f>IF($J$24="Español","Apartar",(IF($J$24="Deutsch","Greifer",(IF($J$24="Français","Blocage multiple","Brawler")))))</f>
        <v>Apartar</v>
      </c>
      <c r="BZ97" s="21" t="s">
        <v>169</v>
      </c>
      <c r="CA97" s="21" t="str">
        <f t="shared" si="87"/>
        <v/>
      </c>
      <c r="CB97" s="21" t="str">
        <f t="shared" si="87"/>
        <v/>
      </c>
      <c r="CC97" s="75" t="str">
        <f>IF($J$24="Español","Líder",(IF($J$24="Deutsch","In die Wolken",(IF($J$24="Français","Fumblerooskie","Dump-Off")))))</f>
        <v>Líder</v>
      </c>
      <c r="CD97" s="2" t="s">
        <v>170</v>
      </c>
      <c r="CE97" s="80"/>
      <c r="CG97" s="2" t="str">
        <f t="shared" si="71"/>
        <v/>
      </c>
      <c r="CH97" s="2" t="str">
        <f t="shared" si="72"/>
        <v/>
      </c>
      <c r="CI97" s="2" t="str">
        <f t="shared" si="73"/>
        <v/>
      </c>
      <c r="CJ97" s="2" t="str">
        <f t="shared" si="74"/>
        <v/>
      </c>
      <c r="CK97" s="2" t="str">
        <f t="shared" si="75"/>
        <v/>
      </c>
      <c r="CL97" s="2" t="str">
        <f t="shared" si="76"/>
        <v/>
      </c>
      <c r="CM97" s="2" t="str">
        <f t="shared" si="77"/>
        <v/>
      </c>
      <c r="CN97" s="2" t="str">
        <f t="shared" si="78"/>
        <v/>
      </c>
      <c r="CO97" s="2" t="str">
        <f t="shared" si="79"/>
        <v/>
      </c>
      <c r="CP97" s="2" t="str">
        <f t="shared" si="80"/>
        <v/>
      </c>
      <c r="CQ97" s="2" t="str">
        <f t="shared" si="81"/>
        <v/>
      </c>
      <c r="CR97" s="2" t="str">
        <f t="shared" si="82"/>
        <v/>
      </c>
      <c r="CS97" s="2" t="str">
        <f t="shared" si="83"/>
        <v/>
      </c>
      <c r="CT97" s="2" t="str">
        <f t="shared" si="84"/>
        <v/>
      </c>
      <c r="CU97" s="2" t="str">
        <f t="shared" si="85"/>
        <v/>
      </c>
      <c r="CV97" s="2" t="str">
        <f t="shared" si="86"/>
        <v/>
      </c>
      <c r="CW97" s="2"/>
      <c r="CX97" s="2"/>
      <c r="CY97" s="2"/>
      <c r="CZ97" s="2"/>
    </row>
    <row r="98" spans="43:104" ht="15" hidden="1" customHeight="1" x14ac:dyDescent="0.2">
      <c r="AQ98" s="13">
        <v>33</v>
      </c>
      <c r="AR98" s="12">
        <v>760000</v>
      </c>
      <c r="AS98" s="12">
        <v>330000</v>
      </c>
      <c r="AT98" s="1"/>
      <c r="AU98" s="1"/>
      <c r="AV98" s="1"/>
      <c r="AW98" s="1"/>
      <c r="AX98" s="2"/>
      <c r="AY98" s="2"/>
      <c r="AZ98" s="1">
        <v>250000</v>
      </c>
      <c r="BA98" s="2"/>
      <c r="BB98" s="2"/>
      <c r="BC98" s="2"/>
      <c r="BD98" s="2"/>
      <c r="BE98" s="2"/>
      <c r="BJ98" s="13"/>
      <c r="BL98" s="13"/>
      <c r="BN98" s="13"/>
      <c r="BO98" s="2"/>
      <c r="BP98" s="13"/>
      <c r="BS98" s="81" t="str">
        <f>IF($J$24="Español","Dejada",(IF($J$24="Deutsch","Im Laufen passen",(IF($J$24="Français","Délestage","Cloud Burster")))))</f>
        <v>Dejada</v>
      </c>
      <c r="BT98" s="21" t="s">
        <v>170</v>
      </c>
      <c r="BU98" s="81" t="str">
        <f>IF($J$24="Español","Brazo Fuerte",(IF($J$24="Deutsch","Knochenbrecher (+1)",(IF($J$24="Français","Bras musclé","Break Tackle")))))</f>
        <v>Brazo Fuerte</v>
      </c>
      <c r="BV98" s="21" t="s">
        <v>169</v>
      </c>
      <c r="BW98" s="81" t="str">
        <f>IF($J$24="Español","Dejada",(IF($J$24="Deutsch","Im Laufen passen",(IF($J$24="Français","Délestage","Cloud Burster")))))</f>
        <v>Dejada</v>
      </c>
      <c r="BX98" s="21" t="s">
        <v>170</v>
      </c>
      <c r="BY98" s="75" t="str">
        <f>IF($J$24="Español","Brazo Fuerte",(IF($J$24="Deutsch","Knochenbrecher (+1)",(IF($J$24="Français","Bras musclé","Break Tackle")))))</f>
        <v>Brazo Fuerte</v>
      </c>
      <c r="BZ98" s="21" t="s">
        <v>169</v>
      </c>
      <c r="CA98" s="21" t="str">
        <f t="shared" si="87"/>
        <v/>
      </c>
      <c r="CB98" s="21" t="str">
        <f t="shared" si="87"/>
        <v/>
      </c>
      <c r="CC98" s="75" t="str">
        <f>IF($J$24="Español","Nervios de Acero",(IF($J$24="Deutsch","Immer am Ball",(IF($J$24="Français","Nerfs d’acier","Fumblerooskie")))))</f>
        <v>Nervios de Acero</v>
      </c>
      <c r="CD98" s="2" t="s">
        <v>170</v>
      </c>
      <c r="CE98" s="80"/>
      <c r="CF98" s="2"/>
      <c r="CG98" s="2" t="str">
        <f t="shared" si="71"/>
        <v/>
      </c>
      <c r="CH98" s="2" t="str">
        <f t="shared" si="72"/>
        <v/>
      </c>
      <c r="CI98" s="2" t="str">
        <f t="shared" si="73"/>
        <v/>
      </c>
      <c r="CJ98" s="2" t="str">
        <f t="shared" si="74"/>
        <v/>
      </c>
      <c r="CK98" s="2" t="str">
        <f t="shared" si="75"/>
        <v/>
      </c>
      <c r="CL98" s="2" t="str">
        <f t="shared" si="76"/>
        <v/>
      </c>
      <c r="CM98" s="2" t="str">
        <f t="shared" si="77"/>
        <v/>
      </c>
      <c r="CN98" s="2" t="str">
        <f t="shared" si="78"/>
        <v/>
      </c>
      <c r="CO98" s="2" t="str">
        <f t="shared" si="79"/>
        <v/>
      </c>
      <c r="CP98" s="2" t="str">
        <f t="shared" si="80"/>
        <v/>
      </c>
      <c r="CQ98" s="2" t="str">
        <f t="shared" si="81"/>
        <v/>
      </c>
      <c r="CR98" s="2" t="str">
        <f t="shared" si="82"/>
        <v/>
      </c>
      <c r="CS98" s="2" t="str">
        <f t="shared" si="83"/>
        <v/>
      </c>
      <c r="CT98" s="2" t="str">
        <f t="shared" si="84"/>
        <v/>
      </c>
      <c r="CU98" s="2" t="str">
        <f t="shared" si="85"/>
        <v/>
      </c>
      <c r="CV98" s="2" t="str">
        <f t="shared" si="86"/>
        <v/>
      </c>
      <c r="CW98" s="2"/>
      <c r="CX98" s="2"/>
      <c r="CY98" s="2"/>
      <c r="CZ98" s="2"/>
    </row>
    <row r="99" spans="43:104" ht="15" hidden="1" customHeight="1" x14ac:dyDescent="0.2">
      <c r="AQ99" s="12">
        <v>34</v>
      </c>
      <c r="AR99" s="12">
        <v>765000</v>
      </c>
      <c r="AS99" s="12">
        <v>340000</v>
      </c>
      <c r="AT99" s="1"/>
      <c r="AU99" s="1"/>
      <c r="AV99" s="1"/>
      <c r="AW99" s="1"/>
      <c r="AX99" s="2"/>
      <c r="AY99" s="2"/>
      <c r="AZ99" s="1">
        <v>260000</v>
      </c>
      <c r="BA99" s="2"/>
      <c r="BB99" s="2"/>
      <c r="BC99" s="2"/>
      <c r="BD99" s="2"/>
      <c r="BE99" s="2"/>
      <c r="BJ99" s="13"/>
      <c r="BL99" s="13"/>
      <c r="BN99" s="13"/>
      <c r="BO99" s="2"/>
      <c r="BP99" s="13"/>
      <c r="BS99" s="81" t="str">
        <f>IF($J$24="Español","Líder",(IF($J$24="Deutsch","In die Wolken",(IF($J$24="Français","Fumblerooskie","Dump-Off")))))</f>
        <v>Líder</v>
      </c>
      <c r="BT99" s="21" t="s">
        <v>170</v>
      </c>
      <c r="BU99" s="81" t="str">
        <f>IF($J$24="Español","Cabeza Dura",(IF($J$24="Deutsch","Mehrfachblock",(IF($J$24="Français","Châtaigne (+1)","Grab")))))</f>
        <v>Cabeza Dura</v>
      </c>
      <c r="BV99" s="21" t="s">
        <v>169</v>
      </c>
      <c r="BW99" s="81" t="str">
        <f>IF($J$24="Español","Líder",(IF($J$24="Deutsch","In die Wolken",(IF($J$24="Français","Fumblerooskie","Dump-Off")))))</f>
        <v>Líder</v>
      </c>
      <c r="BX99" s="21" t="s">
        <v>170</v>
      </c>
      <c r="BY99" s="75" t="str">
        <f>IF($J$24="Español","Cabeza Dura",(IF($J$24="Deutsch","Mehrfachblock",(IF($J$24="Français","Châtaigne (+1)","Grab")))))</f>
        <v>Cabeza Dura</v>
      </c>
      <c r="BZ99" s="21" t="s">
        <v>169</v>
      </c>
      <c r="CA99" s="21" t="str">
        <f t="shared" si="87"/>
        <v/>
      </c>
      <c r="CB99" s="21" t="str">
        <f t="shared" si="87"/>
        <v/>
      </c>
      <c r="CC99" s="75" t="str">
        <f>IF($J$24="Español","Partenubes",(IF($J$24="Deutsch","Kanonier",(IF($J$24="Français","Passe","Hail Mary Pass")))))</f>
        <v>Partenubes</v>
      </c>
      <c r="CD99" s="2" t="s">
        <v>170</v>
      </c>
      <c r="CE99" s="80"/>
      <c r="CF99" s="2"/>
      <c r="CG99" s="2" t="str">
        <f t="shared" si="71"/>
        <v/>
      </c>
      <c r="CH99" s="2" t="str">
        <f t="shared" si="72"/>
        <v/>
      </c>
      <c r="CI99" s="2" t="str">
        <f t="shared" si="73"/>
        <v/>
      </c>
      <c r="CJ99" s="2" t="str">
        <f t="shared" si="74"/>
        <v/>
      </c>
      <c r="CK99" s="2" t="str">
        <f t="shared" si="75"/>
        <v/>
      </c>
      <c r="CL99" s="2" t="str">
        <f t="shared" si="76"/>
        <v/>
      </c>
      <c r="CM99" s="2" t="str">
        <f t="shared" si="77"/>
        <v/>
      </c>
      <c r="CN99" s="2" t="str">
        <f t="shared" si="78"/>
        <v/>
      </c>
      <c r="CO99" s="2" t="str">
        <f t="shared" si="79"/>
        <v/>
      </c>
      <c r="CP99" s="2" t="str">
        <f t="shared" si="80"/>
        <v/>
      </c>
      <c r="CQ99" s="2" t="str">
        <f t="shared" si="81"/>
        <v/>
      </c>
      <c r="CR99" s="2" t="str">
        <f t="shared" si="82"/>
        <v/>
      </c>
      <c r="CS99" s="2" t="str">
        <f t="shared" si="83"/>
        <v/>
      </c>
      <c r="CT99" s="2" t="str">
        <f t="shared" si="84"/>
        <v/>
      </c>
      <c r="CU99" s="2" t="str">
        <f t="shared" si="85"/>
        <v/>
      </c>
      <c r="CV99" s="2" t="str">
        <f t="shared" si="86"/>
        <v/>
      </c>
      <c r="CW99" s="2"/>
      <c r="CX99" s="2"/>
      <c r="CY99" s="2"/>
      <c r="CZ99" s="2"/>
    </row>
    <row r="100" spans="43:104" ht="15" hidden="1" customHeight="1" x14ac:dyDescent="0.2">
      <c r="AQ100" s="13">
        <v>35</v>
      </c>
      <c r="AR100" s="12">
        <v>770000</v>
      </c>
      <c r="AS100" s="12">
        <v>350000</v>
      </c>
      <c r="AT100" s="1"/>
      <c r="AU100" s="1"/>
      <c r="AV100" s="1"/>
      <c r="AW100" s="1"/>
      <c r="AX100" s="2"/>
      <c r="AY100" s="2"/>
      <c r="AZ100" s="1">
        <v>270000</v>
      </c>
      <c r="BA100" s="2"/>
      <c r="BB100" s="2"/>
      <c r="BC100" s="2"/>
      <c r="BD100" s="2"/>
      <c r="BE100" s="2"/>
      <c r="BJ100" s="13"/>
      <c r="BL100" s="13"/>
      <c r="BN100" s="13"/>
      <c r="BO100" s="2"/>
      <c r="BP100" s="13"/>
      <c r="BS100" s="81" t="str">
        <f>IF($J$24="Español","Nervios de Acero",(IF($J$24="Deutsch","Immer am Ball",(IF($J$24="Français","Nerfs d’acier","Fumblerooskie")))))</f>
        <v>Nervios de Acero</v>
      </c>
      <c r="BT100" s="21" t="s">
        <v>170</v>
      </c>
      <c r="BU100" s="81" t="str">
        <f>IF($J$24="Español","Crujir",(IF($J$24="Deutsch","Ramme",(IF($J$24="Français","Clé de bras","Guard")))))</f>
        <v>Crujir</v>
      </c>
      <c r="BV100" s="21" t="s">
        <v>169</v>
      </c>
      <c r="BW100" s="81" t="str">
        <f>IF($J$24="Español","Nervios de Acero",(IF($J$24="Deutsch","Immer am Ball",(IF($J$24="Français","Nerfs d’acier","Fumblerooskie")))))</f>
        <v>Nervios de Acero</v>
      </c>
      <c r="BX100" s="21" t="s">
        <v>170</v>
      </c>
      <c r="BY100" s="75" t="str">
        <f>IF($J$24="Español","Crujir",(IF($J$24="Deutsch","Ramme",(IF($J$24="Français","Clé de bras","Guard")))))</f>
        <v>Crujir</v>
      </c>
      <c r="BZ100" s="21" t="s">
        <v>169</v>
      </c>
      <c r="CA100" s="21" t="str">
        <f t="shared" si="87"/>
        <v/>
      </c>
      <c r="CB100" s="21" t="str">
        <f t="shared" si="87"/>
        <v/>
      </c>
      <c r="CC100" s="75" t="str">
        <f>IF($J$24="Español","Pasar",(IF($J$24="Deutsch","Nerven aus Stahl",(IF($J$24="Français","Passe assurée","Leader")))))</f>
        <v>Pasar</v>
      </c>
      <c r="CD100" s="2" t="s">
        <v>170</v>
      </c>
      <c r="CE100" s="80"/>
      <c r="CF100" s="2"/>
      <c r="CG100" s="2" t="str">
        <f t="shared" si="71"/>
        <v/>
      </c>
      <c r="CH100" s="2" t="str">
        <f t="shared" si="72"/>
        <v/>
      </c>
      <c r="CI100" s="2" t="str">
        <f t="shared" si="73"/>
        <v/>
      </c>
      <c r="CJ100" s="2" t="str">
        <f t="shared" si="74"/>
        <v/>
      </c>
      <c r="CK100" s="2" t="str">
        <f t="shared" si="75"/>
        <v/>
      </c>
      <c r="CL100" s="2" t="str">
        <f t="shared" si="76"/>
        <v/>
      </c>
      <c r="CM100" s="2" t="str">
        <f t="shared" si="77"/>
        <v/>
      </c>
      <c r="CN100" s="2" t="str">
        <f t="shared" si="78"/>
        <v/>
      </c>
      <c r="CO100" s="2" t="str">
        <f t="shared" si="79"/>
        <v/>
      </c>
      <c r="CP100" s="2" t="str">
        <f t="shared" si="80"/>
        <v/>
      </c>
      <c r="CQ100" s="2" t="str">
        <f t="shared" si="81"/>
        <v/>
      </c>
      <c r="CR100" s="2" t="str">
        <f t="shared" si="82"/>
        <v/>
      </c>
      <c r="CS100" s="2" t="str">
        <f t="shared" si="83"/>
        <v/>
      </c>
      <c r="CT100" s="2" t="str">
        <f t="shared" si="84"/>
        <v/>
      </c>
      <c r="CU100" s="2" t="str">
        <f t="shared" si="85"/>
        <v/>
      </c>
      <c r="CV100" s="2" t="str">
        <f t="shared" si="86"/>
        <v/>
      </c>
      <c r="CW100" s="2"/>
      <c r="CX100" s="2"/>
      <c r="CY100" s="2"/>
      <c r="CZ100" s="2"/>
    </row>
    <row r="101" spans="43:104" ht="15" hidden="1" customHeight="1" x14ac:dyDescent="0.2">
      <c r="AQ101" s="13">
        <v>36</v>
      </c>
      <c r="AR101" s="12">
        <v>775000</v>
      </c>
      <c r="AS101" s="12">
        <v>360000</v>
      </c>
      <c r="AT101" s="1"/>
      <c r="AU101" s="1"/>
      <c r="AV101" s="1"/>
      <c r="AW101" s="1"/>
      <c r="AX101" s="2"/>
      <c r="AY101" s="2"/>
      <c r="AZ101" s="1">
        <v>280000</v>
      </c>
      <c r="BA101" s="2"/>
      <c r="BB101" s="2"/>
      <c r="BC101" s="2"/>
      <c r="BD101" s="2"/>
      <c r="BE101" s="2"/>
      <c r="BJ101" s="13"/>
      <c r="BL101" s="13"/>
      <c r="BN101" s="13"/>
      <c r="BO101" s="2"/>
      <c r="BP101" s="13"/>
      <c r="BS101" s="81" t="str">
        <f>IF($J$24="Español","Partenubes",(IF($J$24="Deutsch","Kanonier",(IF($J$24="Français","Passe","Hail Mary Pass")))))</f>
        <v>Partenubes</v>
      </c>
      <c r="BT101" s="21" t="s">
        <v>170</v>
      </c>
      <c r="BU101" s="21" t="str">
        <f>IF($J$24="Español","Defensa",(IF($J$24="Deutsch","Raufbold",(IF($J$24="Français","Crâne épais","Juggernaut")))))</f>
        <v>Defensa</v>
      </c>
      <c r="BV101" s="21" t="s">
        <v>169</v>
      </c>
      <c r="BW101" s="81" t="str">
        <f>IF($J$24="Español","Partenubes",(IF($J$24="Deutsch","Kanonier",(IF($J$24="Français","Passe","Hail Mary Pass")))))</f>
        <v>Partenubes</v>
      </c>
      <c r="BX101" s="21" t="s">
        <v>170</v>
      </c>
      <c r="BY101" s="21" t="str">
        <f>IF($J$24="Español","Defensa",(IF($J$24="Deutsch","Raufbold",(IF($J$24="Français","Crâne épais","Juggernaut")))))</f>
        <v>Defensa</v>
      </c>
      <c r="BZ101" s="21" t="s">
        <v>169</v>
      </c>
      <c r="CA101" s="21" t="str">
        <f t="shared" si="87"/>
        <v/>
      </c>
      <c r="CB101" s="21" t="str">
        <f t="shared" si="87"/>
        <v/>
      </c>
      <c r="CC101" s="75" t="str">
        <f>IF($J$24="Español","Pase a la Carrera",(IF($J$24="Deutsch","Scheinpatzer",(IF($J$24="Français","Passe dans la course","Nerves of Steel")))))</f>
        <v>Pase a la Carrera</v>
      </c>
      <c r="CD101" s="2" t="s">
        <v>170</v>
      </c>
      <c r="CE101" s="80"/>
      <c r="CF101" s="2"/>
      <c r="CG101" s="2" t="str">
        <f t="shared" si="71"/>
        <v/>
      </c>
      <c r="CH101" s="2" t="str">
        <f t="shared" si="72"/>
        <v/>
      </c>
      <c r="CI101" s="2" t="str">
        <f t="shared" si="73"/>
        <v/>
      </c>
      <c r="CJ101" s="2" t="str">
        <f t="shared" si="74"/>
        <v/>
      </c>
      <c r="CK101" s="2" t="str">
        <f t="shared" si="75"/>
        <v/>
      </c>
      <c r="CL101" s="2" t="str">
        <f t="shared" si="76"/>
        <v/>
      </c>
      <c r="CM101" s="2" t="str">
        <f t="shared" si="77"/>
        <v/>
      </c>
      <c r="CN101" s="2" t="str">
        <f t="shared" si="78"/>
        <v/>
      </c>
      <c r="CO101" s="2" t="str">
        <f t="shared" si="79"/>
        <v/>
      </c>
      <c r="CP101" s="2" t="str">
        <f t="shared" si="80"/>
        <v/>
      </c>
      <c r="CQ101" s="2" t="str">
        <f t="shared" si="81"/>
        <v/>
      </c>
      <c r="CR101" s="2" t="str">
        <f t="shared" si="82"/>
        <v/>
      </c>
      <c r="CS101" s="2" t="str">
        <f t="shared" si="83"/>
        <v/>
      </c>
      <c r="CT101" s="2" t="str">
        <f t="shared" si="84"/>
        <v/>
      </c>
      <c r="CU101" s="2" t="str">
        <f t="shared" si="85"/>
        <v/>
      </c>
      <c r="CV101" s="2" t="str">
        <f t="shared" si="86"/>
        <v/>
      </c>
      <c r="CW101" s="2"/>
      <c r="CX101" s="2"/>
      <c r="CY101" s="2"/>
      <c r="CZ101" s="2"/>
    </row>
    <row r="102" spans="43:104" ht="15" hidden="1" customHeight="1" x14ac:dyDescent="0.2">
      <c r="AQ102" s="12">
        <v>37</v>
      </c>
      <c r="AR102" s="12">
        <v>780000</v>
      </c>
      <c r="AS102" s="12">
        <v>370000</v>
      </c>
      <c r="AT102" s="1"/>
      <c r="AU102" s="1"/>
      <c r="AV102" s="1"/>
      <c r="AW102" s="1"/>
      <c r="AX102" s="2"/>
      <c r="AY102" s="71"/>
      <c r="AZ102" s="1">
        <v>290000</v>
      </c>
      <c r="BA102" s="71"/>
      <c r="BB102" s="71"/>
      <c r="BC102" s="2"/>
      <c r="BD102" s="71"/>
      <c r="BE102" s="2"/>
      <c r="BH102" s="5"/>
      <c r="BI102" s="5"/>
      <c r="BJ102" s="13"/>
      <c r="BL102" s="13"/>
      <c r="BN102" s="13"/>
      <c r="BO102" s="2"/>
      <c r="BP102" s="13"/>
      <c r="BS102" s="81" t="str">
        <f>IF($J$24="Español","Pasar",(IF($J$24="Deutsch","Nerven aus Stahl",(IF($J$24="Français","Passe assurée","Leader")))))</f>
        <v>Pasar</v>
      </c>
      <c r="BT102" s="21" t="s">
        <v>170</v>
      </c>
      <c r="BU102" s="21" t="str">
        <f>IF($J$24="Español","Golpe Mortífero (+1)",(IF($J$24="Deutsch","Schweres Gerät",(IF($J$24="Français","Esquive en force","Mighty Blow (+1)")))))</f>
        <v>Golpe Mortífero (+1)</v>
      </c>
      <c r="BV102" s="21" t="s">
        <v>169</v>
      </c>
      <c r="BW102" s="81" t="str">
        <f>IF($J$24="Español","Pasar",(IF($J$24="Deutsch","Nerven aus Stahl",(IF($J$24="Français","Passe assurée","Leader")))))</f>
        <v>Pasar</v>
      </c>
      <c r="BX102" s="21" t="s">
        <v>170</v>
      </c>
      <c r="BY102" s="21" t="str">
        <f>IF($J$24="Español","Golpe Mortífero (+1)",(IF($J$24="Deutsch","Schweres Gerät",(IF($J$24="Français","Esquive en force","Mighty Blow (+1)")))))</f>
        <v>Golpe Mortífero (+1)</v>
      </c>
      <c r="BZ102" s="21" t="s">
        <v>169</v>
      </c>
      <c r="CA102" s="21" t="str">
        <f t="shared" si="87"/>
        <v/>
      </c>
      <c r="CB102" s="21" t="str">
        <f t="shared" si="87"/>
        <v/>
      </c>
      <c r="CC102" s="75" t="str">
        <f>IF($J$24="Español","Pase a lo Loco",(IF($J$24="Deutsch","Sicherer Pass",(IF($J$24="Français","Passe désespérée","On the Ball")))))</f>
        <v>Pase a lo Loco</v>
      </c>
      <c r="CD102" s="2" t="s">
        <v>170</v>
      </c>
      <c r="CE102" s="80"/>
      <c r="CF102" s="2"/>
      <c r="CG102" s="2" t="str">
        <f t="shared" si="71"/>
        <v/>
      </c>
      <c r="CH102" s="2" t="str">
        <f t="shared" si="72"/>
        <v/>
      </c>
      <c r="CI102" s="2" t="str">
        <f t="shared" si="73"/>
        <v/>
      </c>
      <c r="CJ102" s="2" t="str">
        <f t="shared" si="74"/>
        <v/>
      </c>
      <c r="CK102" s="2" t="str">
        <f t="shared" si="75"/>
        <v/>
      </c>
      <c r="CL102" s="2" t="str">
        <f t="shared" si="76"/>
        <v/>
      </c>
      <c r="CM102" s="2" t="str">
        <f t="shared" si="77"/>
        <v/>
      </c>
      <c r="CN102" s="2" t="str">
        <f t="shared" si="78"/>
        <v/>
      </c>
      <c r="CO102" s="2" t="str">
        <f t="shared" si="79"/>
        <v/>
      </c>
      <c r="CP102" s="2" t="str">
        <f t="shared" si="80"/>
        <v/>
      </c>
      <c r="CQ102" s="2" t="str">
        <f t="shared" si="81"/>
        <v/>
      </c>
      <c r="CR102" s="2" t="str">
        <f t="shared" si="82"/>
        <v/>
      </c>
      <c r="CS102" s="2" t="str">
        <f t="shared" si="83"/>
        <v/>
      </c>
      <c r="CT102" s="2" t="str">
        <f t="shared" si="84"/>
        <v/>
      </c>
      <c r="CU102" s="2" t="str">
        <f t="shared" si="85"/>
        <v/>
      </c>
      <c r="CV102" s="2" t="str">
        <f t="shared" si="86"/>
        <v/>
      </c>
      <c r="CW102" s="2"/>
      <c r="CX102" s="2"/>
      <c r="CY102" s="2"/>
      <c r="CZ102" s="2"/>
    </row>
    <row r="103" spans="43:104" ht="15" hidden="1" customHeight="1" x14ac:dyDescent="0.2">
      <c r="AQ103" s="13">
        <v>38</v>
      </c>
      <c r="AR103" s="12">
        <v>785000</v>
      </c>
      <c r="AS103" s="12">
        <v>380000</v>
      </c>
      <c r="AT103" s="1"/>
      <c r="AU103" s="1"/>
      <c r="AV103" s="1"/>
      <c r="AW103" s="1"/>
      <c r="AX103" s="2"/>
      <c r="AY103" s="73"/>
      <c r="AZ103" s="1">
        <v>300000</v>
      </c>
      <c r="BA103" s="73"/>
      <c r="BB103" s="73"/>
      <c r="BC103" s="2"/>
      <c r="BD103" s="73"/>
      <c r="BE103" s="2"/>
      <c r="BG103" s="2"/>
      <c r="BH103" s="2"/>
      <c r="BI103" s="2"/>
      <c r="BJ103" s="13"/>
      <c r="BL103" s="13"/>
      <c r="BN103" s="13"/>
      <c r="BO103" s="2"/>
      <c r="BP103" s="13"/>
      <c r="BS103" s="81" t="str">
        <f>IF($J$24="Español","Pase a la Carrera",(IF($J$24="Deutsch","Scheinpatzer",(IF($J$24="Français","Passe dans la course","Nerves of Steel")))))</f>
        <v>Pase a la Carrera</v>
      </c>
      <c r="BT103" s="21" t="s">
        <v>170</v>
      </c>
      <c r="BU103" s="21" t="str">
        <f>IF($J$24="Español","Imparable",(IF($J$24="Deutsch","Standfest",(IF($J$24="Français","Garde","Multiple Blocks")))))</f>
        <v>Imparable</v>
      </c>
      <c r="BV103" s="21" t="s">
        <v>169</v>
      </c>
      <c r="BW103" s="81" t="str">
        <f>IF($J$24="Español","Pase a la Carrera",(IF($J$24="Deutsch","Scheinpatzer",(IF($J$24="Français","Passe dans la course","Nerves of Steel")))))</f>
        <v>Pase a la Carrera</v>
      </c>
      <c r="BX103" s="21" t="s">
        <v>170</v>
      </c>
      <c r="BY103" s="21" t="str">
        <f>IF($J$24="Español","Imparable",(IF($J$24="Deutsch","Standfest",(IF($J$24="Français","Garde","Multiple Blocks")))))</f>
        <v>Imparable</v>
      </c>
      <c r="BZ103" s="21" t="s">
        <v>169</v>
      </c>
      <c r="CA103" s="21" t="str">
        <f t="shared" si="87"/>
        <v/>
      </c>
      <c r="CB103" s="21" t="str">
        <f t="shared" si="87"/>
        <v/>
      </c>
      <c r="CC103" s="75" t="str">
        <f>IF($J$24="Español","Pase Precipitado",(IF($J$24="Deutsch","Teamkapitän",(IF($J$24="Français","Perce-nuage","Pass")))))</f>
        <v>Pase Precipitado</v>
      </c>
      <c r="CD103" s="2" t="s">
        <v>170</v>
      </c>
      <c r="CE103" s="80"/>
      <c r="CF103" s="2"/>
      <c r="CG103" s="2" t="str">
        <f t="shared" si="71"/>
        <v/>
      </c>
      <c r="CH103" s="2" t="str">
        <f t="shared" si="72"/>
        <v/>
      </c>
      <c r="CI103" s="2" t="str">
        <f t="shared" si="73"/>
        <v/>
      </c>
      <c r="CJ103" s="2" t="str">
        <f t="shared" si="74"/>
        <v/>
      </c>
      <c r="CK103" s="2" t="str">
        <f t="shared" si="75"/>
        <v/>
      </c>
      <c r="CL103" s="2" t="str">
        <f t="shared" si="76"/>
        <v/>
      </c>
      <c r="CM103" s="2" t="str">
        <f t="shared" si="77"/>
        <v/>
      </c>
      <c r="CN103" s="2" t="str">
        <f t="shared" si="78"/>
        <v/>
      </c>
      <c r="CO103" s="2" t="str">
        <f t="shared" si="79"/>
        <v/>
      </c>
      <c r="CP103" s="2" t="str">
        <f t="shared" si="80"/>
        <v/>
      </c>
      <c r="CQ103" s="2" t="str">
        <f t="shared" si="81"/>
        <v/>
      </c>
      <c r="CR103" s="2" t="str">
        <f t="shared" si="82"/>
        <v/>
      </c>
      <c r="CS103" s="2" t="str">
        <f t="shared" si="83"/>
        <v/>
      </c>
      <c r="CT103" s="2" t="str">
        <f t="shared" si="84"/>
        <v/>
      </c>
      <c r="CU103" s="2" t="str">
        <f t="shared" si="85"/>
        <v/>
      </c>
      <c r="CV103" s="2" t="str">
        <f t="shared" si="86"/>
        <v/>
      </c>
      <c r="CW103" s="2"/>
      <c r="CX103" s="2"/>
      <c r="CY103" s="2"/>
      <c r="CZ103" s="2"/>
    </row>
    <row r="104" spans="43:104" ht="15" hidden="1" customHeight="1" x14ac:dyDescent="0.2">
      <c r="AQ104" s="13">
        <v>39</v>
      </c>
      <c r="AR104" s="12">
        <v>790000</v>
      </c>
      <c r="AS104" s="12">
        <v>390000</v>
      </c>
      <c r="AT104" s="1"/>
      <c r="AU104" s="1"/>
      <c r="AV104" s="1"/>
      <c r="AW104" s="1"/>
      <c r="AX104" s="2"/>
      <c r="AY104" s="73"/>
      <c r="AZ104" s="1">
        <v>310000</v>
      </c>
      <c r="BA104" s="73"/>
      <c r="BB104" s="73"/>
      <c r="BC104" s="2"/>
      <c r="BD104" s="73"/>
      <c r="BE104" s="2"/>
      <c r="BG104" s="2"/>
      <c r="BI104" s="5"/>
      <c r="BJ104" s="13"/>
      <c r="BL104" s="13"/>
      <c r="BN104" s="13"/>
      <c r="BO104" s="2"/>
      <c r="BP104" s="13"/>
      <c r="BS104" s="81" t="str">
        <f>IF($J$24="Español","Pase a lo Loco",(IF($J$24="Deutsch","Sicherer Pass",(IF($J$24="Français","Passe désespérée","On the Ball")))))</f>
        <v>Pase a lo Loco</v>
      </c>
      <c r="BT104" s="21" t="s">
        <v>170</v>
      </c>
      <c r="BU104" s="21" t="str">
        <f>IF($J$24="Español","Llave de Brazo",(IF($J$24="Deutsch","Starker Wurfarm",(IF($J$24="Français","Juggernaut","Pile Diver")))))</f>
        <v>Llave de Brazo</v>
      </c>
      <c r="BV104" s="21" t="s">
        <v>169</v>
      </c>
      <c r="BW104" s="81" t="str">
        <f>IF($J$24="Español","Pase a lo Loco",(IF($J$24="Deutsch","Sicherer Pass",(IF($J$24="Français","Passe désespérée","On the Ball")))))</f>
        <v>Pase a lo Loco</v>
      </c>
      <c r="BX104" s="21" t="s">
        <v>170</v>
      </c>
      <c r="BY104" s="21" t="str">
        <f>IF($J$24="Español","Llave de Brazo",(IF($J$24="Deutsch","Starker Wurfarm",(IF($J$24="Français","Juggernaut","Pile Diver")))))</f>
        <v>Llave de Brazo</v>
      </c>
      <c r="BZ104" s="21" t="s">
        <v>169</v>
      </c>
      <c r="CA104" s="21" t="str">
        <f t="shared" si="87"/>
        <v/>
      </c>
      <c r="CB104" s="21" t="str">
        <f t="shared" si="87"/>
        <v/>
      </c>
      <c r="CC104" s="75" t="str">
        <f>IF($J$24="Español","Pase Seguro",(IF($J$24="Deutsch","Wurfsicher",(IF($J$24="Français","Précision","Running Pass")))))</f>
        <v>Pase Seguro</v>
      </c>
      <c r="CD104" s="2" t="s">
        <v>170</v>
      </c>
      <c r="CE104" s="80"/>
      <c r="CF104" s="2"/>
      <c r="CG104" s="2" t="str">
        <f t="shared" si="71"/>
        <v/>
      </c>
      <c r="CH104" s="2" t="str">
        <f t="shared" si="72"/>
        <v/>
      </c>
      <c r="CI104" s="2" t="str">
        <f t="shared" si="73"/>
        <v/>
      </c>
      <c r="CJ104" s="2" t="str">
        <f t="shared" si="74"/>
        <v/>
      </c>
      <c r="CK104" s="2" t="str">
        <f t="shared" si="75"/>
        <v/>
      </c>
      <c r="CL104" s="2" t="str">
        <f t="shared" si="76"/>
        <v/>
      </c>
      <c r="CM104" s="2" t="str">
        <f t="shared" si="77"/>
        <v/>
      </c>
      <c r="CN104" s="2" t="str">
        <f t="shared" si="78"/>
        <v/>
      </c>
      <c r="CO104" s="2" t="str">
        <f t="shared" si="79"/>
        <v/>
      </c>
      <c r="CP104" s="2" t="str">
        <f t="shared" si="80"/>
        <v/>
      </c>
      <c r="CQ104" s="2" t="str">
        <f t="shared" si="81"/>
        <v/>
      </c>
      <c r="CR104" s="2" t="str">
        <f t="shared" si="82"/>
        <v/>
      </c>
      <c r="CS104" s="2" t="str">
        <f t="shared" si="83"/>
        <v/>
      </c>
      <c r="CT104" s="2" t="str">
        <f t="shared" si="84"/>
        <v/>
      </c>
      <c r="CU104" s="2" t="str">
        <f t="shared" si="85"/>
        <v/>
      </c>
      <c r="CV104" s="2" t="str">
        <f t="shared" si="86"/>
        <v/>
      </c>
      <c r="CW104" s="2"/>
      <c r="CX104" s="2"/>
      <c r="CY104" s="2"/>
      <c r="CZ104" s="2"/>
    </row>
    <row r="105" spans="43:104" ht="15" hidden="1" customHeight="1" x14ac:dyDescent="0.2">
      <c r="AQ105" s="12">
        <v>40</v>
      </c>
      <c r="AR105" s="12">
        <v>795000</v>
      </c>
      <c r="AS105" s="12">
        <v>400000</v>
      </c>
      <c r="AT105" s="1"/>
      <c r="AU105" s="1"/>
      <c r="AV105" s="1"/>
      <c r="AW105" s="1"/>
      <c r="AX105" s="2"/>
      <c r="AY105" s="73"/>
      <c r="AZ105" s="1">
        <v>320000</v>
      </c>
      <c r="BA105" s="73"/>
      <c r="BB105" s="73"/>
      <c r="BC105" s="2"/>
      <c r="BD105" s="73"/>
      <c r="BE105" s="2"/>
      <c r="BF105" s="2"/>
      <c r="BG105" s="2"/>
      <c r="BI105" s="2"/>
      <c r="BJ105" s="13"/>
      <c r="BL105" s="13"/>
      <c r="BN105" s="13"/>
      <c r="BO105" s="2"/>
      <c r="BP105" s="13"/>
      <c r="BS105" s="81" t="str">
        <f>IF($J$24="Español","Pase Precipitado",(IF($J$24="Deutsch","Teamkapitän",(IF($J$24="Français","Perce-nuage","Pass")))))</f>
        <v>Pase Precipitado</v>
      </c>
      <c r="BT105" s="21" t="s">
        <v>170</v>
      </c>
      <c r="BU105" s="21" t="str">
        <f>IF($J$24="Español","Luchador",(IF($J$24="Deutsch","Tackle durchbrechen",(IF($J$24="Français","Mateau-pilon","Stand Firm")))))</f>
        <v>Luchador</v>
      </c>
      <c r="BV105" s="21" t="s">
        <v>169</v>
      </c>
      <c r="BW105" s="81" t="str">
        <f>IF($J$24="Español","Pase Precipitado",(IF($J$24="Deutsch","Teamkapitän",(IF($J$24="Français","Perce-nuage","Pass")))))</f>
        <v>Pase Precipitado</v>
      </c>
      <c r="BX105" s="21" t="s">
        <v>170</v>
      </c>
      <c r="BY105" s="21" t="str">
        <f>IF($J$24="Español","Luchador",(IF($J$24="Deutsch","Tackle durchbrechen",(IF($J$24="Français","Mateau-pilon","Stand Firm")))))</f>
        <v>Luchador</v>
      </c>
      <c r="BZ105" s="21" t="s">
        <v>169</v>
      </c>
      <c r="CA105" s="21" t="str">
        <f t="shared" si="87"/>
        <v/>
      </c>
      <c r="CB105" s="21" t="str">
        <f t="shared" si="87"/>
        <v/>
      </c>
      <c r="CC105" s="75" t="str">
        <f>IF($J$24="Español","Precisión",(IF($J$24="Deutsch","Zielsicher",(IF($J$24="Français","Sur le ballon","Safe Pass")))))</f>
        <v>Precisión</v>
      </c>
      <c r="CD105" s="2" t="s">
        <v>170</v>
      </c>
      <c r="CE105" s="80"/>
      <c r="CF105" s="2"/>
      <c r="CG105" s="2" t="str">
        <f t="shared" si="71"/>
        <v/>
      </c>
      <c r="CH105" s="2" t="str">
        <f t="shared" si="72"/>
        <v/>
      </c>
      <c r="CI105" s="2" t="str">
        <f t="shared" si="73"/>
        <v/>
      </c>
      <c r="CJ105" s="2" t="str">
        <f t="shared" si="74"/>
        <v/>
      </c>
      <c r="CK105" s="2" t="str">
        <f t="shared" si="75"/>
        <v/>
      </c>
      <c r="CL105" s="2" t="str">
        <f t="shared" si="76"/>
        <v/>
      </c>
      <c r="CM105" s="2" t="str">
        <f t="shared" si="77"/>
        <v/>
      </c>
      <c r="CN105" s="2" t="str">
        <f t="shared" si="78"/>
        <v/>
      </c>
      <c r="CO105" s="2" t="str">
        <f t="shared" si="79"/>
        <v/>
      </c>
      <c r="CP105" s="2" t="str">
        <f t="shared" si="80"/>
        <v/>
      </c>
      <c r="CQ105" s="2" t="str">
        <f t="shared" si="81"/>
        <v/>
      </c>
      <c r="CR105" s="2" t="str">
        <f t="shared" si="82"/>
        <v/>
      </c>
      <c r="CS105" s="2" t="str">
        <f t="shared" si="83"/>
        <v/>
      </c>
      <c r="CT105" s="2" t="str">
        <f t="shared" si="84"/>
        <v/>
      </c>
      <c r="CU105" s="2" t="str">
        <f t="shared" si="85"/>
        <v/>
      </c>
      <c r="CV105" s="2" t="str">
        <f t="shared" si="86"/>
        <v/>
      </c>
      <c r="CW105" s="2"/>
      <c r="CX105" s="2"/>
      <c r="CY105" s="2"/>
      <c r="CZ105" s="2"/>
    </row>
    <row r="106" spans="43:104" ht="15" hidden="1" customHeight="1" x14ac:dyDescent="0.2">
      <c r="AQ106" s="13">
        <v>41</v>
      </c>
      <c r="AR106" s="12">
        <v>800000</v>
      </c>
      <c r="AS106" s="12">
        <v>410000</v>
      </c>
      <c r="AT106" s="1"/>
      <c r="AU106" s="1"/>
      <c r="AV106" s="1"/>
      <c r="AW106" s="1"/>
      <c r="AX106" s="2"/>
      <c r="AY106" s="73"/>
      <c r="AZ106" s="1">
        <v>330000</v>
      </c>
      <c r="BA106" s="73"/>
      <c r="BB106" s="73"/>
      <c r="BC106" s="2"/>
      <c r="BD106" s="73"/>
      <c r="BE106" s="2"/>
      <c r="BF106" s="2"/>
      <c r="BG106" s="2"/>
      <c r="BJ106" s="13"/>
      <c r="BL106" s="13"/>
      <c r="BN106" s="13"/>
      <c r="BO106" s="2"/>
      <c r="BP106" s="13"/>
      <c r="BS106" s="81" t="str">
        <f>IF($J$24="Español","Pase Seguro",(IF($J$24="Deutsch","Wurfsicher",(IF($J$24="Français","Précision","Running Pass")))))</f>
        <v>Pase Seguro</v>
      </c>
      <c r="BT106" s="21" t="s">
        <v>170</v>
      </c>
      <c r="BU106" s="21" t="str">
        <f>IF($J$24="Español","Mantenerse Firme",(IF($J$24="Deutsch","Robust",(IF($J$24="Français","Projection","Strong Arm")))))</f>
        <v>Mantenerse Firme</v>
      </c>
      <c r="BV106" s="21" t="s">
        <v>169</v>
      </c>
      <c r="BW106" s="81" t="str">
        <f>IF($J$24="Español","Pase Seguro",(IF($J$24="Deutsch","Wurfsicher",(IF($J$24="Français","Précision","Running Pass")))))</f>
        <v>Pase Seguro</v>
      </c>
      <c r="BX106" s="21" t="s">
        <v>170</v>
      </c>
      <c r="BY106" s="21" t="str">
        <f>IF($J$24="Español","Mantenerse Firme",(IF($J$24="Deutsch","Robust",(IF($J$24="Français","Projection","Strong Arm")))))</f>
        <v>Mantenerse Firme</v>
      </c>
      <c r="BZ106" s="21" t="s">
        <v>169</v>
      </c>
      <c r="CA106" s="21" t="str">
        <f t="shared" si="87"/>
        <v/>
      </c>
      <c r="CB106" s="21" t="str">
        <f t="shared" si="87"/>
        <v/>
      </c>
      <c r="CC106" s="75" t="str">
        <f>IF($J$24="Español","Abrirse Paso",(IF($J$24="Deutsch","Armhebel",(IF($J$24="Français","Bagarre","Arm Bar")))))</f>
        <v>Abrirse Paso</v>
      </c>
      <c r="CD106" s="2" t="s">
        <v>169</v>
      </c>
      <c r="CE106" s="80"/>
      <c r="CF106" s="2"/>
      <c r="CG106" s="2" t="str">
        <f t="shared" si="71"/>
        <v/>
      </c>
      <c r="CH106" s="2" t="str">
        <f t="shared" si="72"/>
        <v/>
      </c>
      <c r="CI106" s="2" t="str">
        <f t="shared" si="73"/>
        <v/>
      </c>
      <c r="CJ106" s="2" t="str">
        <f t="shared" si="74"/>
        <v/>
      </c>
      <c r="CK106" s="2" t="str">
        <f t="shared" si="75"/>
        <v/>
      </c>
      <c r="CL106" s="2" t="str">
        <f t="shared" si="76"/>
        <v/>
      </c>
      <c r="CM106" s="2" t="str">
        <f t="shared" si="77"/>
        <v/>
      </c>
      <c r="CN106" s="2" t="str">
        <f t="shared" si="78"/>
        <v/>
      </c>
      <c r="CO106" s="2" t="str">
        <f t="shared" si="79"/>
        <v/>
      </c>
      <c r="CP106" s="2" t="str">
        <f t="shared" si="80"/>
        <v/>
      </c>
      <c r="CQ106" s="2" t="str">
        <f t="shared" si="81"/>
        <v/>
      </c>
      <c r="CR106" s="2" t="str">
        <f t="shared" si="82"/>
        <v/>
      </c>
      <c r="CS106" s="2" t="str">
        <f t="shared" si="83"/>
        <v/>
      </c>
      <c r="CT106" s="2" t="str">
        <f t="shared" si="84"/>
        <v/>
      </c>
      <c r="CU106" s="2" t="str">
        <f t="shared" si="85"/>
        <v/>
      </c>
      <c r="CV106" s="2" t="str">
        <f t="shared" si="86"/>
        <v/>
      </c>
      <c r="CW106" s="2"/>
      <c r="CX106" s="2"/>
      <c r="CY106" s="2"/>
      <c r="CZ106" s="2"/>
    </row>
    <row r="107" spans="43:104" ht="15" hidden="1" customHeight="1" x14ac:dyDescent="0.2">
      <c r="AQ107" s="13">
        <v>42</v>
      </c>
      <c r="AR107" s="12">
        <v>805000</v>
      </c>
      <c r="AS107" s="12">
        <v>420000</v>
      </c>
      <c r="AT107" s="1"/>
      <c r="AU107" s="1"/>
      <c r="AV107" s="1"/>
      <c r="AW107" s="1"/>
      <c r="AX107" s="2"/>
      <c r="AY107" s="73"/>
      <c r="AZ107" s="1">
        <v>340000</v>
      </c>
      <c r="BA107" s="73"/>
      <c r="BB107" s="73"/>
      <c r="BC107" s="2"/>
      <c r="BD107" s="73"/>
      <c r="BE107" s="2"/>
      <c r="BF107" s="2"/>
      <c r="BG107" s="2"/>
      <c r="BJ107" s="13"/>
      <c r="BL107" s="13"/>
      <c r="BN107" s="13"/>
      <c r="BO107" s="2"/>
      <c r="BP107" s="13"/>
      <c r="BS107" s="81" t="str">
        <f>IF($J$24="Español","Precisión",(IF($J$24="Deutsch","Zielsicher",(IF($J$24="Français","Sur le ballon","Safe Pass")))))</f>
        <v>Precisión</v>
      </c>
      <c r="BT107" s="21" t="s">
        <v>170</v>
      </c>
      <c r="BU107" s="21" t="str">
        <f>IF($J$24="Español","Placaje Múltiple",(IF($J$24="Deutsch","Unterstützen",(IF($J$24="Français","Stabilité","Thick Skull")))))</f>
        <v>Placaje Múltiple</v>
      </c>
      <c r="BV107" s="21" t="s">
        <v>169</v>
      </c>
      <c r="BW107" s="81" t="str">
        <f>IF($J$24="Español","Precisión",(IF($J$24="Deutsch","Zielsicher",(IF($J$24="Français","Sur le ballon","Safe Pass")))))</f>
        <v>Precisión</v>
      </c>
      <c r="BX107" s="21" t="s">
        <v>170</v>
      </c>
      <c r="BY107" s="21" t="str">
        <f>IF($J$24="Español","Placaje Múltiple",(IF($J$24="Deutsch","Unterstützen",(IF($J$24="Français","Stabilité","Thick Skull")))))</f>
        <v>Placaje Múltiple</v>
      </c>
      <c r="BZ107" s="21" t="s">
        <v>169</v>
      </c>
      <c r="CA107" s="21" t="str">
        <f t="shared" si="87"/>
        <v/>
      </c>
      <c r="CB107" s="21" t="str">
        <f t="shared" si="87"/>
        <v/>
      </c>
      <c r="CC107" s="75" t="str">
        <f>IF($J$24="Español","Apartar",(IF($J$24="Deutsch","Greifer",(IF($J$24="Français","Blocage multiple","Brawler")))))</f>
        <v>Apartar</v>
      </c>
      <c r="CD107" s="2" t="s">
        <v>169</v>
      </c>
      <c r="CE107" s="80"/>
      <c r="CF107" s="2"/>
      <c r="CG107" s="2" t="str">
        <f t="shared" si="71"/>
        <v/>
      </c>
      <c r="CH107" s="2" t="str">
        <f t="shared" si="72"/>
        <v/>
      </c>
      <c r="CI107" s="2" t="str">
        <f t="shared" si="73"/>
        <v/>
      </c>
      <c r="CJ107" s="2" t="str">
        <f t="shared" si="74"/>
        <v/>
      </c>
      <c r="CK107" s="2" t="str">
        <f t="shared" si="75"/>
        <v/>
      </c>
      <c r="CL107" s="2" t="str">
        <f t="shared" si="76"/>
        <v/>
      </c>
      <c r="CM107" s="2" t="str">
        <f t="shared" si="77"/>
        <v/>
      </c>
      <c r="CN107" s="2" t="str">
        <f t="shared" si="78"/>
        <v/>
      </c>
      <c r="CO107" s="2" t="str">
        <f t="shared" si="79"/>
        <v/>
      </c>
      <c r="CP107" s="2" t="str">
        <f t="shared" si="80"/>
        <v/>
      </c>
      <c r="CQ107" s="2" t="str">
        <f t="shared" si="81"/>
        <v/>
      </c>
      <c r="CR107" s="2" t="str">
        <f t="shared" si="82"/>
        <v/>
      </c>
      <c r="CS107" s="2" t="str">
        <f t="shared" si="83"/>
        <v/>
      </c>
      <c r="CT107" s="2" t="str">
        <f t="shared" si="84"/>
        <v/>
      </c>
      <c r="CU107" s="2" t="str">
        <f t="shared" si="85"/>
        <v/>
      </c>
      <c r="CV107" s="2" t="str">
        <f t="shared" si="86"/>
        <v/>
      </c>
      <c r="CW107" s="2"/>
      <c r="CX107" s="2"/>
      <c r="CY107" s="2"/>
      <c r="CZ107" s="2"/>
    </row>
    <row r="108" spans="43:104" ht="15" hidden="1" customHeight="1" x14ac:dyDescent="0.2">
      <c r="AQ108" s="12">
        <v>43</v>
      </c>
      <c r="AR108" s="12">
        <v>810000</v>
      </c>
      <c r="AS108" s="12">
        <v>430000</v>
      </c>
      <c r="AT108" s="1"/>
      <c r="AU108" s="1"/>
      <c r="AV108" s="1"/>
      <c r="AW108" s="1"/>
      <c r="AX108" s="2"/>
      <c r="AY108" s="73"/>
      <c r="AZ108" s="1">
        <v>350000</v>
      </c>
      <c r="BA108" s="73"/>
      <c r="BB108" s="73"/>
      <c r="BC108" s="2"/>
      <c r="BD108" s="73"/>
      <c r="BE108" s="2"/>
      <c r="BJ108" s="13"/>
      <c r="BL108" s="13"/>
      <c r="BN108" s="13"/>
      <c r="BO108" s="2"/>
      <c r="BP108" s="13"/>
      <c r="BS108" s="81" t="str">
        <f>IF($J$24="Español","Abrirse Paso",(IF($J$24="Deutsch","Armhebel",(IF($J$24="Français","Bagarre","Arm Bar")))))</f>
        <v>Abrirse Paso</v>
      </c>
      <c r="BT108" s="21" t="s">
        <v>169</v>
      </c>
      <c r="BU108" s="81" t="str">
        <f>IF($J$24="Español","Apariencia Asquerosa",(IF($J$24="Deutsch","Abstoßendes Aussehen",(IF($J$24="Français","Bras supplémentaire","Big Hand")))))</f>
        <v>Apariencia Asquerosa</v>
      </c>
      <c r="BV108" s="21" t="s">
        <v>171</v>
      </c>
      <c r="BW108" s="81" t="str">
        <f>IF($J$24="Español","Abrirse Paso",(IF($J$24="Deutsch","Armhebel",(IF($J$24="Français","Bagarre","Arm Bar")))))</f>
        <v>Abrirse Paso</v>
      </c>
      <c r="BX108" s="21" t="s">
        <v>169</v>
      </c>
      <c r="BY108" s="21" t="str">
        <f t="shared" ref="BY108:BZ119" si="88">""</f>
        <v/>
      </c>
      <c r="BZ108" s="21" t="str">
        <f t="shared" si="88"/>
        <v/>
      </c>
      <c r="CA108" s="21" t="str">
        <f t="shared" si="87"/>
        <v/>
      </c>
      <c r="CB108" s="21" t="str">
        <f t="shared" si="87"/>
        <v/>
      </c>
      <c r="CC108" s="75" t="str">
        <f>IF($J$24="Español","Brazo Fuerte",(IF($J$24="Deutsch","Knochenbrecher (+1)",(IF($J$24="Français","Bras musclé","Break Tackle")))))</f>
        <v>Brazo Fuerte</v>
      </c>
      <c r="CD108" s="2" t="s">
        <v>169</v>
      </c>
      <c r="CE108" s="80"/>
      <c r="CF108" s="2"/>
      <c r="CG108" s="2" t="str">
        <f t="shared" si="71"/>
        <v/>
      </c>
      <c r="CH108" s="2" t="str">
        <f t="shared" si="72"/>
        <v/>
      </c>
      <c r="CI108" s="2" t="str">
        <f t="shared" si="73"/>
        <v/>
      </c>
      <c r="CJ108" s="2" t="str">
        <f t="shared" si="74"/>
        <v/>
      </c>
      <c r="CK108" s="2" t="str">
        <f t="shared" si="75"/>
        <v/>
      </c>
      <c r="CL108" s="2" t="str">
        <f t="shared" si="76"/>
        <v/>
      </c>
      <c r="CM108" s="2" t="str">
        <f t="shared" si="77"/>
        <v/>
      </c>
      <c r="CN108" s="2" t="str">
        <f t="shared" si="78"/>
        <v/>
      </c>
      <c r="CO108" s="2" t="str">
        <f t="shared" si="79"/>
        <v/>
      </c>
      <c r="CP108" s="2" t="str">
        <f t="shared" si="80"/>
        <v/>
      </c>
      <c r="CQ108" s="2" t="str">
        <f t="shared" si="81"/>
        <v/>
      </c>
      <c r="CR108" s="2" t="str">
        <f t="shared" si="82"/>
        <v/>
      </c>
      <c r="CS108" s="2" t="str">
        <f t="shared" si="83"/>
        <v/>
      </c>
      <c r="CT108" s="2" t="str">
        <f t="shared" si="84"/>
        <v/>
      </c>
      <c r="CU108" s="2" t="str">
        <f t="shared" si="85"/>
        <v/>
      </c>
      <c r="CV108" s="2" t="str">
        <f t="shared" si="86"/>
        <v/>
      </c>
      <c r="CW108" s="2"/>
      <c r="CX108" s="2"/>
      <c r="CY108" s="2"/>
      <c r="CZ108" s="2"/>
    </row>
    <row r="109" spans="43:104" ht="15" hidden="1" customHeight="1" x14ac:dyDescent="0.2">
      <c r="AQ109" s="13">
        <v>44</v>
      </c>
      <c r="AR109" s="12">
        <v>815000</v>
      </c>
      <c r="AS109" s="12">
        <v>440000</v>
      </c>
      <c r="AT109" s="1"/>
      <c r="AU109" s="1"/>
      <c r="AV109" s="1"/>
      <c r="AW109" s="1"/>
      <c r="AX109" s="2"/>
      <c r="AY109" s="71"/>
      <c r="AZ109" s="1">
        <v>360000</v>
      </c>
      <c r="BA109" s="71"/>
      <c r="BB109" s="71"/>
      <c r="BC109" s="2"/>
      <c r="BD109" s="71"/>
      <c r="BE109" s="2"/>
      <c r="BJ109" s="13"/>
      <c r="BL109" s="13"/>
      <c r="BN109" s="13"/>
      <c r="BO109" s="2"/>
      <c r="BP109" s="13"/>
      <c r="BS109" s="81" t="str">
        <f>IF($J$24="Español","Apartar",(IF($J$24="Deutsch","Greifer",(IF($J$24="Français","Blocage multiple","Brawler")))))</f>
        <v>Apartar</v>
      </c>
      <c r="BT109" s="21" t="s">
        <v>169</v>
      </c>
      <c r="BU109" s="81" t="str">
        <f>IF($J$24="Español","Boca Monstruosa",(IF($J$24="Deutsch","Eisenharte Haut",(IF($J$24="Français","Cornes","Claw / Claws")))))</f>
        <v>Boca Monstruosa</v>
      </c>
      <c r="BV109" s="21" t="s">
        <v>171</v>
      </c>
      <c r="BW109" s="81" t="str">
        <f>IF($J$24="Español","Apartar",(IF($J$24="Deutsch","Greifer",(IF($J$24="Français","Blocage multiple","Brawler")))))</f>
        <v>Apartar</v>
      </c>
      <c r="BX109" s="21" t="s">
        <v>169</v>
      </c>
      <c r="BY109" s="21" t="str">
        <f t="shared" si="88"/>
        <v/>
      </c>
      <c r="BZ109" s="21" t="str">
        <f t="shared" si="88"/>
        <v/>
      </c>
      <c r="CA109" s="21" t="str">
        <f t="shared" si="87"/>
        <v/>
      </c>
      <c r="CB109" s="21" t="str">
        <f t="shared" si="87"/>
        <v/>
      </c>
      <c r="CC109" s="75" t="str">
        <f>IF($J$24="Español","Cabeza Dura",(IF($J$24="Deutsch","Mehrfachblock",(IF($J$24="Français","Châtaigne (+1)","Grab")))))</f>
        <v>Cabeza Dura</v>
      </c>
      <c r="CD109" s="2" t="s">
        <v>169</v>
      </c>
      <c r="CE109" s="80"/>
      <c r="CF109" s="2"/>
      <c r="CG109" s="2" t="str">
        <f t="shared" si="71"/>
        <v/>
      </c>
      <c r="CH109" s="2" t="str">
        <f t="shared" si="72"/>
        <v/>
      </c>
      <c r="CI109" s="2" t="str">
        <f t="shared" si="73"/>
        <v/>
      </c>
      <c r="CJ109" s="2" t="str">
        <f t="shared" si="74"/>
        <v/>
      </c>
      <c r="CK109" s="2" t="str">
        <f t="shared" si="75"/>
        <v/>
      </c>
      <c r="CL109" s="2" t="str">
        <f t="shared" si="76"/>
        <v/>
      </c>
      <c r="CM109" s="2" t="str">
        <f t="shared" si="77"/>
        <v/>
      </c>
      <c r="CN109" s="2" t="str">
        <f t="shared" si="78"/>
        <v/>
      </c>
      <c r="CO109" s="2" t="str">
        <f t="shared" si="79"/>
        <v/>
      </c>
      <c r="CP109" s="2" t="str">
        <f t="shared" si="80"/>
        <v/>
      </c>
      <c r="CQ109" s="2" t="str">
        <f t="shared" si="81"/>
        <v/>
      </c>
      <c r="CR109" s="2" t="str">
        <f t="shared" si="82"/>
        <v/>
      </c>
      <c r="CS109" s="2" t="str">
        <f t="shared" si="83"/>
        <v/>
      </c>
      <c r="CT109" s="2" t="str">
        <f t="shared" si="84"/>
        <v/>
      </c>
      <c r="CU109" s="2" t="str">
        <f t="shared" si="85"/>
        <v/>
      </c>
      <c r="CV109" s="2" t="str">
        <f t="shared" si="86"/>
        <v/>
      </c>
      <c r="CW109" s="2"/>
      <c r="CX109" s="2"/>
      <c r="CY109" s="2"/>
      <c r="CZ109" s="2"/>
    </row>
    <row r="110" spans="43:104" ht="15" hidden="1" customHeight="1" x14ac:dyDescent="0.2">
      <c r="AQ110" s="13">
        <v>45</v>
      </c>
      <c r="AR110" s="12">
        <v>820000</v>
      </c>
      <c r="AS110" s="12">
        <v>450000</v>
      </c>
      <c r="AT110" s="1"/>
      <c r="AU110" s="1"/>
      <c r="AV110" s="1"/>
      <c r="AW110" s="1"/>
      <c r="AX110" s="2"/>
      <c r="AY110" s="73"/>
      <c r="AZ110" s="1">
        <v>370000</v>
      </c>
      <c r="BA110" s="73"/>
      <c r="BB110" s="73"/>
      <c r="BC110" s="2"/>
      <c r="BD110" s="73"/>
      <c r="BE110" s="2"/>
      <c r="BK110" s="2"/>
      <c r="BM110" s="2"/>
      <c r="BN110" s="2"/>
      <c r="BO110" s="2"/>
      <c r="BS110" s="81" t="str">
        <f>IF($J$24="Español","Brazo Fuerte",(IF($J$24="Deutsch","Knochenbrecher (+1)",(IF($J$24="Français","Bras musclé","Break Tackle")))))</f>
        <v>Brazo Fuerte</v>
      </c>
      <c r="BT110" s="21" t="s">
        <v>169</v>
      </c>
      <c r="BU110" s="81" t="str">
        <f>IF($J$24="Español","Brazos Adicionales",(IF($J$24="Deutsch","Große Hand",(IF($J$24="Français","Deux tête","Disturbing Presence")))))</f>
        <v>Brazos Adicionales</v>
      </c>
      <c r="BV110" s="21" t="s">
        <v>171</v>
      </c>
      <c r="BW110" s="81" t="str">
        <f>IF($J$24="Español","Brazo Fuerte",(IF($J$24="Deutsch","Knochenbrecher (+1)",(IF($J$24="Français","Bras musclé","Break Tackle")))))</f>
        <v>Brazo Fuerte</v>
      </c>
      <c r="BX110" s="21" t="s">
        <v>169</v>
      </c>
      <c r="BY110" s="21" t="str">
        <f t="shared" si="88"/>
        <v/>
      </c>
      <c r="BZ110" s="21" t="str">
        <f t="shared" si="88"/>
        <v/>
      </c>
      <c r="CA110" s="21" t="str">
        <f t="shared" si="87"/>
        <v/>
      </c>
      <c r="CB110" s="21" t="str">
        <f t="shared" si="87"/>
        <v/>
      </c>
      <c r="CC110" s="75" t="str">
        <f>IF($J$24="Español","Crujir",(IF($J$24="Deutsch","Ramme",(IF($J$24="Français","Clé de bras","Guard")))))</f>
        <v>Crujir</v>
      </c>
      <c r="CD110" s="2" t="s">
        <v>169</v>
      </c>
      <c r="CE110" s="80"/>
      <c r="CF110" s="2"/>
      <c r="CG110" s="2" t="str">
        <f t="shared" si="71"/>
        <v/>
      </c>
      <c r="CH110" s="2" t="str">
        <f t="shared" si="72"/>
        <v/>
      </c>
      <c r="CI110" s="2" t="str">
        <f t="shared" si="73"/>
        <v/>
      </c>
      <c r="CJ110" s="2" t="str">
        <f t="shared" si="74"/>
        <v/>
      </c>
      <c r="CK110" s="2" t="str">
        <f t="shared" si="75"/>
        <v/>
      </c>
      <c r="CL110" s="2" t="str">
        <f t="shared" si="76"/>
        <v/>
      </c>
      <c r="CM110" s="2" t="str">
        <f t="shared" si="77"/>
        <v/>
      </c>
      <c r="CN110" s="2" t="str">
        <f t="shared" si="78"/>
        <v/>
      </c>
      <c r="CO110" s="2" t="str">
        <f t="shared" si="79"/>
        <v/>
      </c>
      <c r="CP110" s="2" t="str">
        <f t="shared" si="80"/>
        <v/>
      </c>
      <c r="CQ110" s="2" t="str">
        <f t="shared" si="81"/>
        <v/>
      </c>
      <c r="CR110" s="2" t="str">
        <f t="shared" si="82"/>
        <v/>
      </c>
      <c r="CS110" s="2" t="str">
        <f t="shared" si="83"/>
        <v/>
      </c>
      <c r="CT110" s="2" t="str">
        <f t="shared" si="84"/>
        <v/>
      </c>
      <c r="CU110" s="2" t="str">
        <f t="shared" si="85"/>
        <v/>
      </c>
      <c r="CV110" s="2" t="str">
        <f t="shared" si="86"/>
        <v/>
      </c>
      <c r="CW110" s="2"/>
      <c r="CX110" s="2"/>
      <c r="CY110" s="2"/>
      <c r="CZ110" s="2"/>
    </row>
    <row r="111" spans="43:104" ht="15" hidden="1" customHeight="1" x14ac:dyDescent="0.2">
      <c r="AQ111" s="12">
        <v>46</v>
      </c>
      <c r="AR111" s="12">
        <v>825000</v>
      </c>
      <c r="AS111" s="12">
        <v>460000</v>
      </c>
      <c r="AT111" s="1"/>
      <c r="AU111" s="1"/>
      <c r="AV111" s="1"/>
      <c r="AW111" s="1"/>
      <c r="AX111" s="2"/>
      <c r="AY111" s="73"/>
      <c r="AZ111" s="1">
        <v>380000</v>
      </c>
      <c r="BA111" s="73"/>
      <c r="BB111" s="73"/>
      <c r="BC111" s="2"/>
      <c r="BD111" s="73"/>
      <c r="BE111" s="2"/>
      <c r="BK111" s="2"/>
      <c r="BM111" s="2"/>
      <c r="BN111" s="2"/>
      <c r="BO111" s="2"/>
      <c r="BS111" s="81" t="str">
        <f>IF($J$24="Español","Cabeza Dura",(IF($J$24="Deutsch","Mehrfachblock",(IF($J$24="Français","Châtaigne (+1)","Grab")))))</f>
        <v>Cabeza Dura</v>
      </c>
      <c r="BT111" s="21" t="s">
        <v>169</v>
      </c>
      <c r="BU111" s="81" t="str">
        <f>IF($J$24="Español","Cola Prensil",(IF($J$24="Deutsch","Hörner",(IF($J$24="Français","Grande gueule","Extra Arms")))))</f>
        <v>Cola Prensil</v>
      </c>
      <c r="BV111" s="21" t="s">
        <v>171</v>
      </c>
      <c r="BW111" s="81" t="str">
        <f>IF($J$24="Español","Cabeza Dura",(IF($J$24="Deutsch","Mehrfachblock",(IF($J$24="Français","Châtaigne (+1)","Grab")))))</f>
        <v>Cabeza Dura</v>
      </c>
      <c r="BX111" s="21" t="s">
        <v>169</v>
      </c>
      <c r="BY111" s="21" t="str">
        <f t="shared" si="88"/>
        <v/>
      </c>
      <c r="BZ111" s="21" t="str">
        <f t="shared" si="88"/>
        <v/>
      </c>
      <c r="CA111" s="21" t="str">
        <f t="shared" si="87"/>
        <v/>
      </c>
      <c r="CB111" s="21" t="str">
        <f t="shared" si="87"/>
        <v/>
      </c>
      <c r="CC111" s="21" t="str">
        <f>IF($J$24="Español","Defensa",(IF($J$24="Deutsch","Raufbold",(IF($J$24="Français","Crâne épais","Juggernaut")))))</f>
        <v>Defensa</v>
      </c>
      <c r="CD111" s="2" t="s">
        <v>169</v>
      </c>
      <c r="CE111" s="80"/>
      <c r="CF111" s="2"/>
      <c r="CG111" s="2" t="str">
        <f t="shared" si="71"/>
        <v/>
      </c>
      <c r="CH111" s="2" t="str">
        <f t="shared" si="72"/>
        <v/>
      </c>
      <c r="CI111" s="2" t="str">
        <f t="shared" si="73"/>
        <v/>
      </c>
      <c r="CJ111" s="2" t="str">
        <f t="shared" si="74"/>
        <v/>
      </c>
      <c r="CK111" s="2" t="str">
        <f t="shared" si="75"/>
        <v/>
      </c>
      <c r="CL111" s="2" t="str">
        <f t="shared" si="76"/>
        <v/>
      </c>
      <c r="CM111" s="2" t="str">
        <f t="shared" si="77"/>
        <v/>
      </c>
      <c r="CN111" s="2" t="str">
        <f t="shared" si="78"/>
        <v/>
      </c>
      <c r="CO111" s="2" t="str">
        <f t="shared" si="79"/>
        <v/>
      </c>
      <c r="CP111" s="2" t="str">
        <f t="shared" si="80"/>
        <v/>
      </c>
      <c r="CQ111" s="2" t="str">
        <f t="shared" si="81"/>
        <v/>
      </c>
      <c r="CR111" s="2" t="str">
        <f t="shared" si="82"/>
        <v/>
      </c>
      <c r="CS111" s="2" t="str">
        <f t="shared" si="83"/>
        <v/>
      </c>
      <c r="CT111" s="2" t="str">
        <f t="shared" si="84"/>
        <v/>
      </c>
      <c r="CU111" s="2" t="str">
        <f t="shared" si="85"/>
        <v/>
      </c>
      <c r="CV111" s="2" t="str">
        <f t="shared" si="86"/>
        <v/>
      </c>
      <c r="CW111" s="2"/>
      <c r="CX111" s="2"/>
      <c r="CY111" s="2"/>
      <c r="CZ111" s="2"/>
    </row>
    <row r="112" spans="43:104" ht="15" hidden="1" customHeight="1" x14ac:dyDescent="0.2">
      <c r="AQ112" s="13">
        <v>47</v>
      </c>
      <c r="AR112" s="12">
        <v>830000</v>
      </c>
      <c r="AS112" s="12">
        <v>470000</v>
      </c>
      <c r="AT112" s="1"/>
      <c r="AU112" s="1"/>
      <c r="AV112" s="1"/>
      <c r="AW112" s="1"/>
      <c r="AX112" s="2"/>
      <c r="AY112" s="73"/>
      <c r="AZ112" s="1">
        <v>390000</v>
      </c>
      <c r="BA112" s="73"/>
      <c r="BB112" s="73"/>
      <c r="BC112" s="2"/>
      <c r="BD112" s="73"/>
      <c r="BE112" s="2"/>
      <c r="BK112" s="2"/>
      <c r="BM112" s="2"/>
      <c r="BN112" s="2"/>
      <c r="BO112" s="2"/>
      <c r="BS112" s="81" t="str">
        <f>IF($J$24="Español","Crujir",(IF($J$24="Deutsch","Ramme",(IF($J$24="Français","Clé de bras","Guard")))))</f>
        <v>Crujir</v>
      </c>
      <c r="BT112" s="21" t="s">
        <v>169</v>
      </c>
      <c r="BU112" s="81" t="str">
        <f>IF($J$24="Español","Cuernos",(IF($J$24="Deutsch","Klammerschwanz",(IF($J$24="Français","Griffes","Foul Appearance")))))</f>
        <v>Cuernos</v>
      </c>
      <c r="BV112" s="21" t="s">
        <v>171</v>
      </c>
      <c r="BW112" s="81" t="str">
        <f>IF($J$24="Español","Crujir",(IF($J$24="Deutsch","Ramme",(IF($J$24="Français","Clé de bras","Guard")))))</f>
        <v>Crujir</v>
      </c>
      <c r="BX112" s="21" t="s">
        <v>169</v>
      </c>
      <c r="BY112" s="21" t="str">
        <f t="shared" si="88"/>
        <v/>
      </c>
      <c r="BZ112" s="21" t="str">
        <f t="shared" si="88"/>
        <v/>
      </c>
      <c r="CA112" s="21" t="str">
        <f t="shared" si="87"/>
        <v/>
      </c>
      <c r="CB112" s="21" t="str">
        <f t="shared" si="87"/>
        <v/>
      </c>
      <c r="CC112" s="21" t="str">
        <f>IF($J$24="Español","Golpe Mortífero (+1)",(IF($J$24="Deutsch","Schweres Gerät",(IF($J$24="Français","Esquive en force","Mighty Blow (+1)")))))</f>
        <v>Golpe Mortífero (+1)</v>
      </c>
      <c r="CD112" s="2" t="s">
        <v>169</v>
      </c>
      <c r="CE112" s="80"/>
      <c r="CF112" s="2"/>
      <c r="CG112" s="2" t="str">
        <f t="shared" si="71"/>
        <v/>
      </c>
      <c r="CH112" s="2" t="str">
        <f t="shared" si="72"/>
        <v/>
      </c>
      <c r="CI112" s="2" t="str">
        <f t="shared" si="73"/>
        <v/>
      </c>
      <c r="CJ112" s="2" t="str">
        <f t="shared" si="74"/>
        <v/>
      </c>
      <c r="CK112" s="2" t="str">
        <f t="shared" si="75"/>
        <v/>
      </c>
      <c r="CL112" s="2" t="str">
        <f t="shared" si="76"/>
        <v/>
      </c>
      <c r="CM112" s="2" t="str">
        <f t="shared" si="77"/>
        <v/>
      </c>
      <c r="CN112" s="2" t="str">
        <f t="shared" si="78"/>
        <v/>
      </c>
      <c r="CO112" s="2" t="str">
        <f t="shared" si="79"/>
        <v/>
      </c>
      <c r="CP112" s="2" t="str">
        <f t="shared" si="80"/>
        <v/>
      </c>
      <c r="CQ112" s="2" t="str">
        <f t="shared" si="81"/>
        <v/>
      </c>
      <c r="CR112" s="2" t="str">
        <f t="shared" si="82"/>
        <v/>
      </c>
      <c r="CS112" s="2" t="str">
        <f t="shared" si="83"/>
        <v/>
      </c>
      <c r="CT112" s="2" t="str">
        <f t="shared" si="84"/>
        <v/>
      </c>
      <c r="CU112" s="2" t="str">
        <f t="shared" si="85"/>
        <v/>
      </c>
      <c r="CV112" s="2" t="str">
        <f t="shared" si="86"/>
        <v/>
      </c>
      <c r="CW112" s="2"/>
      <c r="CX112" s="2"/>
      <c r="CY112" s="2"/>
      <c r="CZ112" s="2"/>
    </row>
    <row r="113" spans="43:104" ht="15" hidden="1" customHeight="1" x14ac:dyDescent="0.2">
      <c r="AQ113" s="13">
        <v>48</v>
      </c>
      <c r="AR113" s="12">
        <v>835000</v>
      </c>
      <c r="AS113" s="12">
        <v>480000</v>
      </c>
      <c r="AT113" s="1"/>
      <c r="AU113" s="1"/>
      <c r="AV113" s="1"/>
      <c r="AW113" s="1"/>
      <c r="AX113" s="2"/>
      <c r="AY113" s="73"/>
      <c r="AZ113" s="1">
        <v>400000</v>
      </c>
      <c r="BA113" s="73"/>
      <c r="BB113" s="73"/>
      <c r="BC113" s="2"/>
      <c r="BD113" s="73"/>
      <c r="BE113" s="2"/>
      <c r="BK113" s="2"/>
      <c r="BM113" s="2"/>
      <c r="BN113" s="2"/>
      <c r="BO113" s="2"/>
      <c r="BS113" s="21" t="str">
        <f>IF($J$24="Español","Defensa",(IF($J$24="Deutsch","Raufbold",(IF($J$24="Français","Crâne épais","Juggernaut")))))</f>
        <v>Defensa</v>
      </c>
      <c r="BT113" s="21" t="s">
        <v>169</v>
      </c>
      <c r="BU113" s="81" t="str">
        <f>IF($J$24="Español","Dos Cabezas",(IF($J$24="Deutsch","Klauen",(IF($J$24="Français","Main démesurée","Horns")))))</f>
        <v>Dos Cabezas</v>
      </c>
      <c r="BV113" s="21" t="s">
        <v>171</v>
      </c>
      <c r="BW113" s="21" t="str">
        <f>IF($J$24="Español","Defensa",(IF($J$24="Deutsch","Raufbold",(IF($J$24="Français","Crâne épais","Juggernaut")))))</f>
        <v>Defensa</v>
      </c>
      <c r="BX113" s="21" t="s">
        <v>169</v>
      </c>
      <c r="BY113" s="21" t="str">
        <f t="shared" si="88"/>
        <v/>
      </c>
      <c r="BZ113" s="21" t="str">
        <f t="shared" si="88"/>
        <v/>
      </c>
      <c r="CA113" s="21" t="str">
        <f t="shared" si="87"/>
        <v/>
      </c>
      <c r="CB113" s="21" t="str">
        <f t="shared" si="87"/>
        <v/>
      </c>
      <c r="CC113" s="21" t="str">
        <f>IF($J$24="Español","Imparable",(IF($J$24="Deutsch","Standfest",(IF($J$24="Français","Garde","Multiple Blocks")))))</f>
        <v>Imparable</v>
      </c>
      <c r="CD113" s="2" t="s">
        <v>169</v>
      </c>
      <c r="CE113" s="80"/>
      <c r="CF113" s="2"/>
      <c r="CG113" s="2" t="str">
        <f t="shared" si="71"/>
        <v/>
      </c>
      <c r="CH113" s="2" t="str">
        <f t="shared" si="72"/>
        <v/>
      </c>
      <c r="CI113" s="2" t="str">
        <f t="shared" si="73"/>
        <v/>
      </c>
      <c r="CJ113" s="2" t="str">
        <f t="shared" si="74"/>
        <v/>
      </c>
      <c r="CK113" s="2" t="str">
        <f t="shared" si="75"/>
        <v/>
      </c>
      <c r="CL113" s="2" t="str">
        <f t="shared" si="76"/>
        <v/>
      </c>
      <c r="CM113" s="2" t="str">
        <f t="shared" si="77"/>
        <v/>
      </c>
      <c r="CN113" s="2" t="str">
        <f t="shared" si="78"/>
        <v/>
      </c>
      <c r="CO113" s="2" t="str">
        <f t="shared" si="79"/>
        <v/>
      </c>
      <c r="CP113" s="2" t="str">
        <f t="shared" si="80"/>
        <v/>
      </c>
      <c r="CQ113" s="2" t="str">
        <f t="shared" si="81"/>
        <v/>
      </c>
      <c r="CR113" s="2" t="str">
        <f t="shared" si="82"/>
        <v/>
      </c>
      <c r="CS113" s="2" t="str">
        <f t="shared" si="83"/>
        <v/>
      </c>
      <c r="CT113" s="2" t="str">
        <f t="shared" si="84"/>
        <v/>
      </c>
      <c r="CU113" s="2" t="str">
        <f t="shared" si="85"/>
        <v/>
      </c>
      <c r="CV113" s="2" t="str">
        <f t="shared" si="86"/>
        <v/>
      </c>
      <c r="CW113" s="2"/>
      <c r="CX113" s="2"/>
      <c r="CY113" s="2"/>
      <c r="CZ113" s="2"/>
    </row>
    <row r="114" spans="43:104" ht="15" hidden="1" customHeight="1" x14ac:dyDescent="0.2">
      <c r="AQ114" s="12">
        <v>49</v>
      </c>
      <c r="AR114" s="12">
        <v>840000</v>
      </c>
      <c r="AS114" s="12">
        <v>490000</v>
      </c>
      <c r="AT114" s="1"/>
      <c r="AU114" s="1"/>
      <c r="AV114" s="1"/>
      <c r="AW114" s="1"/>
      <c r="AX114" s="2"/>
      <c r="AY114" s="73"/>
      <c r="AZ114" s="1">
        <v>410000</v>
      </c>
      <c r="BA114" s="73"/>
      <c r="BB114" s="73"/>
      <c r="BC114" s="2"/>
      <c r="BD114" s="73"/>
      <c r="BE114" s="2"/>
      <c r="BK114" s="2"/>
      <c r="BM114" s="2"/>
      <c r="BN114" s="2"/>
      <c r="BO114" s="2"/>
      <c r="BS114" s="21" t="str">
        <f>IF($J$24="Español","Golpe Mortífero (+1)",(IF($J$24="Deutsch","Schweres Gerät",(IF($J$24="Français","Esquive en force","Mighty Blow (+1)")))))</f>
        <v>Golpe Mortífero (+1)</v>
      </c>
      <c r="BT114" s="21" t="s">
        <v>169</v>
      </c>
      <c r="BU114" s="21" t="str">
        <f>IF($J$24="Español","Garra / Garras",(IF($J$24="Deutsch","Monströses Maul",(IF($J$24="Français","Queue préhensile","Iron Hard Skin")))))</f>
        <v>Garra / Garras</v>
      </c>
      <c r="BV114" s="21" t="s">
        <v>171</v>
      </c>
      <c r="BW114" s="21" t="str">
        <f>IF($J$24="Español","Golpe Mortífero (+1)",(IF($J$24="Deutsch","Schweres Gerät",(IF($J$24="Français","Esquive en force","Mighty Blow (+1)")))))</f>
        <v>Golpe Mortífero (+1)</v>
      </c>
      <c r="BX114" s="21" t="s">
        <v>169</v>
      </c>
      <c r="BY114" s="21" t="str">
        <f t="shared" si="88"/>
        <v/>
      </c>
      <c r="BZ114" s="21" t="str">
        <f t="shared" si="88"/>
        <v/>
      </c>
      <c r="CA114" s="21" t="str">
        <f t="shared" si="87"/>
        <v/>
      </c>
      <c r="CB114" s="21" t="str">
        <f t="shared" si="87"/>
        <v/>
      </c>
      <c r="CC114" s="21" t="str">
        <f>IF($J$24="Español","Llave de Brazo",(IF($J$24="Deutsch","Starker Wurfarm",(IF($J$24="Français","Juggernaut","Pile Diver")))))</f>
        <v>Llave de Brazo</v>
      </c>
      <c r="CD114" s="2" t="s">
        <v>169</v>
      </c>
      <c r="CE114" s="80"/>
      <c r="CF114" s="2"/>
      <c r="CG114" s="2" t="str">
        <f t="shared" si="71"/>
        <v/>
      </c>
      <c r="CH114" s="2" t="str">
        <f t="shared" si="72"/>
        <v/>
      </c>
      <c r="CI114" s="2" t="str">
        <f t="shared" si="73"/>
        <v/>
      </c>
      <c r="CJ114" s="2" t="str">
        <f t="shared" si="74"/>
        <v/>
      </c>
      <c r="CK114" s="2" t="str">
        <f t="shared" si="75"/>
        <v/>
      </c>
      <c r="CL114" s="2" t="str">
        <f t="shared" si="76"/>
        <v/>
      </c>
      <c r="CM114" s="2" t="str">
        <f t="shared" si="77"/>
        <v/>
      </c>
      <c r="CN114" s="2" t="str">
        <f t="shared" si="78"/>
        <v/>
      </c>
      <c r="CO114" s="2" t="str">
        <f t="shared" si="79"/>
        <v/>
      </c>
      <c r="CP114" s="2" t="str">
        <f t="shared" si="80"/>
        <v/>
      </c>
      <c r="CQ114" s="2" t="str">
        <f t="shared" si="81"/>
        <v/>
      </c>
      <c r="CR114" s="2" t="str">
        <f t="shared" si="82"/>
        <v/>
      </c>
      <c r="CS114" s="2" t="str">
        <f t="shared" si="83"/>
        <v/>
      </c>
      <c r="CT114" s="2" t="str">
        <f t="shared" si="84"/>
        <v/>
      </c>
      <c r="CU114" s="2" t="str">
        <f t="shared" si="85"/>
        <v/>
      </c>
      <c r="CV114" s="2" t="str">
        <f t="shared" si="86"/>
        <v/>
      </c>
      <c r="CW114" s="2"/>
      <c r="CX114" s="2"/>
      <c r="CY114" s="2"/>
      <c r="CZ114" s="2"/>
    </row>
    <row r="115" spans="43:104" ht="15" hidden="1" customHeight="1" x14ac:dyDescent="0.2">
      <c r="AQ115" s="13">
        <v>50</v>
      </c>
      <c r="AR115" s="12">
        <v>845000</v>
      </c>
      <c r="AS115" s="12">
        <v>500000</v>
      </c>
      <c r="AT115" s="1"/>
      <c r="AU115" s="1"/>
      <c r="AV115" s="1"/>
      <c r="AW115" s="1"/>
      <c r="AX115" s="2"/>
      <c r="AY115" s="73"/>
      <c r="AZ115" s="1">
        <v>420000</v>
      </c>
      <c r="BA115" s="73"/>
      <c r="BB115" s="73"/>
      <c r="BC115" s="2"/>
      <c r="BD115" s="73"/>
      <c r="BE115" s="2"/>
      <c r="BK115" s="2"/>
      <c r="BM115" s="2"/>
      <c r="BN115" s="2"/>
      <c r="BO115" s="2"/>
      <c r="BS115" s="21" t="str">
        <f>IF($J$24="Español","Imparable",(IF($J$24="Deutsch","Standfest",(IF($J$24="Français","Garde","Multiple Blocks")))))</f>
        <v>Imparable</v>
      </c>
      <c r="BT115" s="21" t="s">
        <v>169</v>
      </c>
      <c r="BU115" s="21" t="str">
        <f>IF($J$24="Español","Mano Grande",(IF($J$24="Deutsch","Sehr lange Beine",(IF($J$24="Français","Peau de fer","Monstrous Mouth")))))</f>
        <v>Mano Grande</v>
      </c>
      <c r="BV115" s="21" t="s">
        <v>171</v>
      </c>
      <c r="BW115" s="21" t="str">
        <f>IF($J$24="Español","Imparable",(IF($J$24="Deutsch","Standfest",(IF($J$24="Français","Garde","Multiple Blocks")))))</f>
        <v>Imparable</v>
      </c>
      <c r="BX115" s="21" t="s">
        <v>169</v>
      </c>
      <c r="BY115" s="21" t="str">
        <f t="shared" si="88"/>
        <v/>
      </c>
      <c r="BZ115" s="21" t="str">
        <f t="shared" si="88"/>
        <v/>
      </c>
      <c r="CA115" s="21" t="str">
        <f t="shared" si="87"/>
        <v/>
      </c>
      <c r="CB115" s="21" t="str">
        <f t="shared" si="87"/>
        <v/>
      </c>
      <c r="CC115" s="21" t="str">
        <f>IF($J$24="Español","Luchador",(IF($J$24="Deutsch","Tackle durchbrechen",(IF($J$24="Français","Mateau-pilon","Stand Firm")))))</f>
        <v>Luchador</v>
      </c>
      <c r="CD115" s="2" t="s">
        <v>169</v>
      </c>
      <c r="CE115" s="80"/>
      <c r="CF115" s="2"/>
      <c r="CG115" s="2" t="str">
        <f t="shared" si="71"/>
        <v/>
      </c>
      <c r="CH115" s="2" t="str">
        <f t="shared" si="72"/>
        <v/>
      </c>
      <c r="CI115" s="2" t="str">
        <f t="shared" si="73"/>
        <v/>
      </c>
      <c r="CJ115" s="2" t="str">
        <f t="shared" si="74"/>
        <v/>
      </c>
      <c r="CK115" s="2" t="str">
        <f t="shared" si="75"/>
        <v/>
      </c>
      <c r="CL115" s="2" t="str">
        <f t="shared" si="76"/>
        <v/>
      </c>
      <c r="CM115" s="2" t="str">
        <f t="shared" si="77"/>
        <v/>
      </c>
      <c r="CN115" s="2" t="str">
        <f t="shared" si="78"/>
        <v/>
      </c>
      <c r="CO115" s="2" t="str">
        <f t="shared" si="79"/>
        <v/>
      </c>
      <c r="CP115" s="2" t="str">
        <f t="shared" si="80"/>
        <v/>
      </c>
      <c r="CQ115" s="2" t="str">
        <f t="shared" si="81"/>
        <v/>
      </c>
      <c r="CR115" s="2" t="str">
        <f t="shared" si="82"/>
        <v/>
      </c>
      <c r="CS115" s="2" t="str">
        <f t="shared" si="83"/>
        <v/>
      </c>
      <c r="CT115" s="2" t="str">
        <f t="shared" si="84"/>
        <v/>
      </c>
      <c r="CU115" s="2" t="str">
        <f t="shared" si="85"/>
        <v/>
      </c>
      <c r="CV115" s="2" t="str">
        <f t="shared" si="86"/>
        <v/>
      </c>
      <c r="CW115" s="2"/>
      <c r="CX115" s="2"/>
      <c r="CY115" s="2"/>
      <c r="CZ115" s="2"/>
    </row>
    <row r="116" spans="43:104" ht="15" hidden="1" customHeight="1" x14ac:dyDescent="0.2">
      <c r="AQ116" s="13">
        <v>51</v>
      </c>
      <c r="AR116" s="12">
        <v>850000</v>
      </c>
      <c r="AS116" s="12">
        <v>510000</v>
      </c>
      <c r="AT116" s="1"/>
      <c r="AU116" s="1"/>
      <c r="AV116" s="1"/>
      <c r="AW116" s="1"/>
      <c r="AX116" s="2"/>
      <c r="AY116" s="2"/>
      <c r="AZ116" s="1">
        <v>430000</v>
      </c>
      <c r="BA116" s="2"/>
      <c r="BB116" s="2"/>
      <c r="BC116" s="2"/>
      <c r="BD116" s="2"/>
      <c r="BE116" s="2"/>
      <c r="BK116" s="2"/>
      <c r="BM116" s="2"/>
      <c r="BN116" s="2"/>
      <c r="BO116" s="2"/>
      <c r="BS116" s="21" t="str">
        <f>IF($J$24="Español","Llave de Brazo",(IF($J$24="Deutsch","Starker Wurfarm",(IF($J$24="Français","Juggernaut","Pile Diver")))))</f>
        <v>Llave de Brazo</v>
      </c>
      <c r="BT116" s="21" t="s">
        <v>169</v>
      </c>
      <c r="BU116" s="81" t="str">
        <f>IF($J$24="Español","Piel Ferrea",(IF($J$24="Deutsch","Tentakel",(IF($J$24="Français","Présence perturbante","Prehensile Tail")))))</f>
        <v>Piel Ferrea</v>
      </c>
      <c r="BV116" s="21" t="s">
        <v>171</v>
      </c>
      <c r="BW116" s="21" t="str">
        <f>IF($J$24="Español","Llave de Brazo",(IF($J$24="Deutsch","Starker Wurfarm",(IF($J$24="Français","Juggernaut","Pile Diver")))))</f>
        <v>Llave de Brazo</v>
      </c>
      <c r="BX116" s="21" t="s">
        <v>169</v>
      </c>
      <c r="BY116" s="21" t="str">
        <f t="shared" si="88"/>
        <v/>
      </c>
      <c r="BZ116" s="21" t="str">
        <f t="shared" si="88"/>
        <v/>
      </c>
      <c r="CA116" s="21" t="str">
        <f t="shared" si="87"/>
        <v/>
      </c>
      <c r="CB116" s="21" t="str">
        <f t="shared" si="87"/>
        <v/>
      </c>
      <c r="CC116" s="21" t="str">
        <f>IF($J$24="Español","Mantenerse Firme",(IF($J$24="Deutsch","Robust",(IF($J$24="Français","Projection","Strong Arm")))))</f>
        <v>Mantenerse Firme</v>
      </c>
      <c r="CD116" s="2" t="s">
        <v>169</v>
      </c>
      <c r="CE116" s="80"/>
      <c r="CF116" s="2"/>
      <c r="CG116" s="2" t="str">
        <f t="shared" si="71"/>
        <v/>
      </c>
      <c r="CH116" s="2" t="str">
        <f t="shared" si="72"/>
        <v/>
      </c>
      <c r="CI116" s="2" t="str">
        <f t="shared" si="73"/>
        <v/>
      </c>
      <c r="CJ116" s="2" t="str">
        <f t="shared" si="74"/>
        <v/>
      </c>
      <c r="CK116" s="2" t="str">
        <f t="shared" si="75"/>
        <v/>
      </c>
      <c r="CL116" s="2" t="str">
        <f t="shared" si="76"/>
        <v/>
      </c>
      <c r="CM116" s="2" t="str">
        <f t="shared" si="77"/>
        <v/>
      </c>
      <c r="CN116" s="2" t="str">
        <f t="shared" si="78"/>
        <v/>
      </c>
      <c r="CO116" s="2" t="str">
        <f t="shared" si="79"/>
        <v/>
      </c>
      <c r="CP116" s="2" t="str">
        <f t="shared" si="80"/>
        <v/>
      </c>
      <c r="CQ116" s="2" t="str">
        <f t="shared" si="81"/>
        <v/>
      </c>
      <c r="CR116" s="2" t="str">
        <f t="shared" si="82"/>
        <v/>
      </c>
      <c r="CS116" s="2" t="str">
        <f t="shared" si="83"/>
        <v/>
      </c>
      <c r="CT116" s="2" t="str">
        <f t="shared" si="84"/>
        <v/>
      </c>
      <c r="CU116" s="2" t="str">
        <f t="shared" si="85"/>
        <v/>
      </c>
      <c r="CV116" s="2" t="str">
        <f t="shared" si="86"/>
        <v/>
      </c>
      <c r="CW116" s="2"/>
      <c r="CX116" s="2"/>
      <c r="CY116" s="2"/>
      <c r="CZ116" s="2"/>
    </row>
    <row r="117" spans="43:104" ht="15" hidden="1" customHeight="1" x14ac:dyDescent="0.2">
      <c r="AQ117" s="12">
        <v>52</v>
      </c>
      <c r="AR117" s="12">
        <v>855000</v>
      </c>
      <c r="AS117" s="12">
        <v>520000</v>
      </c>
      <c r="AT117" s="1"/>
      <c r="AU117" s="1"/>
      <c r="AV117" s="1"/>
      <c r="AW117" s="1"/>
      <c r="AX117" s="2"/>
      <c r="AY117" s="2"/>
      <c r="AZ117" s="1">
        <v>440000</v>
      </c>
      <c r="BA117" s="2"/>
      <c r="BB117" s="2"/>
      <c r="BC117" s="2"/>
      <c r="BD117" s="2"/>
      <c r="BE117" s="2"/>
      <c r="BK117" s="2"/>
      <c r="BM117" s="2"/>
      <c r="BN117" s="2"/>
      <c r="BO117" s="2"/>
      <c r="BS117" s="21" t="str">
        <f>IF($J$24="Español","Luchador",(IF($J$24="Deutsch","Tackle durchbrechen",(IF($J$24="Français","Mateau-pilon","Stand Firm")))))</f>
        <v>Luchador</v>
      </c>
      <c r="BT117" s="21" t="s">
        <v>169</v>
      </c>
      <c r="BU117" s="81" t="str">
        <f>IF($J$24="Español","Piernas muy Largas",(IF($J$24="Deutsch","Verstörende Präsenz",(IF($J$24="Français","Répulsion","Tentacles")))))</f>
        <v>Piernas muy Largas</v>
      </c>
      <c r="BV117" s="21" t="s">
        <v>171</v>
      </c>
      <c r="BW117" s="21" t="str">
        <f>IF($J$24="Español","Luchador",(IF($J$24="Deutsch","Tackle durchbrechen",(IF($J$24="Français","Mateau-pilon","Stand Firm")))))</f>
        <v>Luchador</v>
      </c>
      <c r="BX117" s="21" t="s">
        <v>169</v>
      </c>
      <c r="BY117" s="21" t="str">
        <f t="shared" si="88"/>
        <v/>
      </c>
      <c r="BZ117" s="21" t="str">
        <f t="shared" si="88"/>
        <v/>
      </c>
      <c r="CA117" s="21" t="str">
        <f t="shared" si="87"/>
        <v/>
      </c>
      <c r="CB117" s="21" t="str">
        <f t="shared" si="87"/>
        <v/>
      </c>
      <c r="CC117" s="21" t="str">
        <f>IF($J$24="Español","Placaje Múltiple",(IF($J$24="Deutsch","Unterstützen",(IF($J$24="Français","Stabilité","Thick Skull")))))</f>
        <v>Placaje Múltiple</v>
      </c>
      <c r="CD117" s="2" t="s">
        <v>169</v>
      </c>
      <c r="CE117" s="80"/>
      <c r="CF117" s="2"/>
      <c r="CG117" s="2" t="str">
        <f t="shared" si="71"/>
        <v/>
      </c>
      <c r="CH117" s="2" t="str">
        <f t="shared" si="72"/>
        <v/>
      </c>
      <c r="CI117" s="2" t="str">
        <f t="shared" si="73"/>
        <v/>
      </c>
      <c r="CJ117" s="2" t="str">
        <f t="shared" si="74"/>
        <v/>
      </c>
      <c r="CK117" s="2" t="str">
        <f t="shared" si="75"/>
        <v/>
      </c>
      <c r="CL117" s="2" t="str">
        <f t="shared" si="76"/>
        <v/>
      </c>
      <c r="CM117" s="2" t="str">
        <f t="shared" si="77"/>
        <v/>
      </c>
      <c r="CN117" s="2" t="str">
        <f t="shared" si="78"/>
        <v/>
      </c>
      <c r="CO117" s="2" t="str">
        <f t="shared" si="79"/>
        <v/>
      </c>
      <c r="CP117" s="2" t="str">
        <f t="shared" si="80"/>
        <v/>
      </c>
      <c r="CQ117" s="2" t="str">
        <f t="shared" si="81"/>
        <v/>
      </c>
      <c r="CR117" s="2" t="str">
        <f t="shared" si="82"/>
        <v/>
      </c>
      <c r="CS117" s="2" t="str">
        <f t="shared" si="83"/>
        <v/>
      </c>
      <c r="CT117" s="2" t="str">
        <f t="shared" si="84"/>
        <v/>
      </c>
      <c r="CU117" s="2" t="str">
        <f t="shared" si="85"/>
        <v/>
      </c>
      <c r="CV117" s="2" t="str">
        <f t="shared" si="86"/>
        <v/>
      </c>
      <c r="CW117" s="2"/>
      <c r="CX117" s="2"/>
      <c r="CY117" s="2"/>
      <c r="CZ117" s="2"/>
    </row>
    <row r="118" spans="43:104" ht="15" hidden="1" customHeight="1" x14ac:dyDescent="0.2">
      <c r="AQ118" s="13">
        <v>53</v>
      </c>
      <c r="AR118" s="12">
        <v>860000</v>
      </c>
      <c r="AS118" s="12">
        <v>530000</v>
      </c>
      <c r="AT118" s="1"/>
      <c r="AU118" s="1"/>
      <c r="AV118" s="1"/>
      <c r="AW118" s="1"/>
      <c r="AX118" s="2"/>
      <c r="AY118" s="2"/>
      <c r="AZ118" s="1">
        <v>450000</v>
      </c>
      <c r="BA118" s="2"/>
      <c r="BB118" s="2"/>
      <c r="BC118" s="2"/>
      <c r="BD118" s="2"/>
      <c r="BE118" s="2"/>
      <c r="BK118" s="2"/>
      <c r="BM118" s="2"/>
      <c r="BN118" s="2"/>
      <c r="BO118" s="2"/>
      <c r="BS118" s="21" t="str">
        <f>IF($J$24="Español","Mantenerse Firme",(IF($J$24="Deutsch","Robust",(IF($J$24="Français","Projection","Strong Arm")))))</f>
        <v>Mantenerse Firme</v>
      </c>
      <c r="BT118" s="21" t="s">
        <v>169</v>
      </c>
      <c r="BU118" s="81" t="str">
        <f>IF($J$24="Español","Presencia Perturbadora",(IF($J$24="Deutsch","Zwei Köpfe",(IF($J$24="Français","Tentacule","Two Heads")))))</f>
        <v>Presencia Perturbadora</v>
      </c>
      <c r="BV118" s="21" t="s">
        <v>171</v>
      </c>
      <c r="BW118" s="21" t="str">
        <f>IF($J$24="Español","Mantenerse Firme",(IF($J$24="Deutsch","Robust",(IF($J$24="Français","Projection","Strong Arm")))))</f>
        <v>Mantenerse Firme</v>
      </c>
      <c r="BX118" s="21" t="s">
        <v>169</v>
      </c>
      <c r="BY118" s="21" t="str">
        <f t="shared" si="88"/>
        <v/>
      </c>
      <c r="BZ118" s="21" t="str">
        <f t="shared" si="88"/>
        <v/>
      </c>
      <c r="CA118" s="21" t="str">
        <f t="shared" si="87"/>
        <v/>
      </c>
      <c r="CB118" s="21" t="str">
        <f t="shared" si="87"/>
        <v/>
      </c>
      <c r="CC118" s="75" t="str">
        <f>IF($J$24="Español","Apariencia Asquerosa",(IF($J$24="Deutsch","Abstoßendes Aussehen",(IF($J$24="Français","Bras supplémentaire","Big Hand")))))</f>
        <v>Apariencia Asquerosa</v>
      </c>
      <c r="CD118" s="2" t="s">
        <v>171</v>
      </c>
      <c r="CE118" s="80"/>
      <c r="CF118" s="2"/>
      <c r="CG118" s="2" t="str">
        <f t="shared" si="71"/>
        <v/>
      </c>
      <c r="CH118" s="2" t="str">
        <f t="shared" si="72"/>
        <v/>
      </c>
      <c r="CI118" s="2" t="str">
        <f t="shared" si="73"/>
        <v/>
      </c>
      <c r="CJ118" s="2" t="str">
        <f t="shared" si="74"/>
        <v/>
      </c>
      <c r="CK118" s="2" t="str">
        <f t="shared" si="75"/>
        <v/>
      </c>
      <c r="CL118" s="2" t="str">
        <f t="shared" si="76"/>
        <v/>
      </c>
      <c r="CM118" s="2" t="str">
        <f t="shared" si="77"/>
        <v/>
      </c>
      <c r="CN118" s="2" t="str">
        <f t="shared" si="78"/>
        <v/>
      </c>
      <c r="CO118" s="2" t="str">
        <f t="shared" si="79"/>
        <v/>
      </c>
      <c r="CP118" s="2" t="str">
        <f t="shared" si="80"/>
        <v/>
      </c>
      <c r="CQ118" s="2" t="str">
        <f t="shared" si="81"/>
        <v/>
      </c>
      <c r="CR118" s="2" t="str">
        <f t="shared" si="82"/>
        <v/>
      </c>
      <c r="CS118" s="2" t="str">
        <f t="shared" si="83"/>
        <v/>
      </c>
      <c r="CT118" s="2" t="str">
        <f t="shared" si="84"/>
        <v/>
      </c>
      <c r="CU118" s="2" t="str">
        <f t="shared" si="85"/>
        <v/>
      </c>
      <c r="CV118" s="2" t="str">
        <f t="shared" si="86"/>
        <v/>
      </c>
      <c r="CW118" s="2"/>
      <c r="CX118" s="2"/>
      <c r="CY118" s="2"/>
      <c r="CZ118" s="2"/>
    </row>
    <row r="119" spans="43:104" ht="15" hidden="1" customHeight="1" x14ac:dyDescent="0.2">
      <c r="AQ119" s="13">
        <v>54</v>
      </c>
      <c r="AR119" s="12">
        <v>865000</v>
      </c>
      <c r="AS119" s="12">
        <v>540000</v>
      </c>
      <c r="AT119" s="1"/>
      <c r="AU119" s="1"/>
      <c r="AV119" s="1"/>
      <c r="AW119" s="1"/>
      <c r="AX119" s="2"/>
      <c r="AY119" s="2"/>
      <c r="AZ119" s="1">
        <v>460000</v>
      </c>
      <c r="BA119" s="2"/>
      <c r="BB119" s="2"/>
      <c r="BC119" s="2"/>
      <c r="BD119" s="2"/>
      <c r="BE119" s="2"/>
      <c r="BK119" s="2"/>
      <c r="BM119" s="2"/>
      <c r="BN119" s="2"/>
      <c r="BO119" s="2"/>
      <c r="BS119" s="21" t="str">
        <f>IF($J$24="Español","Placaje Múltiple",(IF($J$24="Deutsch","Unterstützen",(IF($J$24="Français","Stabilité","Thick Skull")))))</f>
        <v>Placaje Múltiple</v>
      </c>
      <c r="BT119" s="21" t="s">
        <v>169</v>
      </c>
      <c r="BU119" s="81" t="str">
        <f>IF($J$24="Español","Tentáculos",(IF($J$24="Deutsch","Zusätzliche Arme",(IF($J$24="Français","Très longues jambes","Very Long Legs")))))</f>
        <v>Tentáculos</v>
      </c>
      <c r="BV119" s="21" t="s">
        <v>171</v>
      </c>
      <c r="BW119" s="21" t="str">
        <f>IF($J$24="Español","Placaje Múltiple",(IF($J$24="Deutsch","Unterstützen",(IF($J$24="Français","Stabilité","Thick Skull")))))</f>
        <v>Placaje Múltiple</v>
      </c>
      <c r="BX119" s="21" t="s">
        <v>169</v>
      </c>
      <c r="BY119" s="21" t="str">
        <f t="shared" si="88"/>
        <v/>
      </c>
      <c r="BZ119" s="21" t="str">
        <f t="shared" si="88"/>
        <v/>
      </c>
      <c r="CA119" s="21" t="str">
        <f t="shared" si="87"/>
        <v/>
      </c>
      <c r="CB119" s="21" t="str">
        <f t="shared" si="87"/>
        <v/>
      </c>
      <c r="CC119" s="75" t="str">
        <f>IF($J$24="Español","Boca Monstruosa",(IF($J$24="Deutsch","Eisenharte Haut",(IF($J$24="Français","Cornes","Claw / Claws")))))</f>
        <v>Boca Monstruosa</v>
      </c>
      <c r="CD119" s="2" t="s">
        <v>171</v>
      </c>
      <c r="CE119" s="80"/>
      <c r="CF119" s="2"/>
      <c r="CG119" s="2" t="str">
        <f t="shared" si="71"/>
        <v/>
      </c>
      <c r="CH119" s="2" t="str">
        <f t="shared" si="72"/>
        <v/>
      </c>
      <c r="CI119" s="2" t="str">
        <f t="shared" si="73"/>
        <v/>
      </c>
      <c r="CJ119" s="2" t="str">
        <f t="shared" si="74"/>
        <v/>
      </c>
      <c r="CK119" s="2" t="str">
        <f t="shared" si="75"/>
        <v/>
      </c>
      <c r="CL119" s="2" t="str">
        <f t="shared" si="76"/>
        <v/>
      </c>
      <c r="CM119" s="2" t="str">
        <f t="shared" si="77"/>
        <v/>
      </c>
      <c r="CN119" s="2" t="str">
        <f t="shared" si="78"/>
        <v/>
      </c>
      <c r="CO119" s="2" t="str">
        <f t="shared" si="79"/>
        <v/>
      </c>
      <c r="CP119" s="2" t="str">
        <f t="shared" si="80"/>
        <v/>
      </c>
      <c r="CQ119" s="2" t="str">
        <f t="shared" si="81"/>
        <v/>
      </c>
      <c r="CR119" s="2" t="str">
        <f t="shared" si="82"/>
        <v/>
      </c>
      <c r="CS119" s="2" t="str">
        <f t="shared" si="83"/>
        <v/>
      </c>
      <c r="CT119" s="2" t="str">
        <f t="shared" si="84"/>
        <v/>
      </c>
      <c r="CU119" s="2" t="str">
        <f t="shared" si="85"/>
        <v/>
      </c>
      <c r="CV119" s="2" t="str">
        <f t="shared" si="86"/>
        <v/>
      </c>
      <c r="CW119" s="2"/>
      <c r="CX119" s="2"/>
      <c r="CY119" s="2"/>
      <c r="CZ119" s="2"/>
    </row>
    <row r="120" spans="43:104" ht="15" hidden="1" customHeight="1" x14ac:dyDescent="0.2">
      <c r="AQ120" s="12">
        <v>55</v>
      </c>
      <c r="AR120" s="12">
        <v>870000</v>
      </c>
      <c r="AS120" s="12">
        <v>550000</v>
      </c>
      <c r="AT120" s="1"/>
      <c r="AU120" s="1"/>
      <c r="AV120" s="1"/>
      <c r="AW120" s="1"/>
      <c r="AX120" s="2"/>
      <c r="AY120" s="2"/>
      <c r="AZ120" s="1">
        <v>470000</v>
      </c>
      <c r="BA120" s="2"/>
      <c r="BB120" s="2"/>
      <c r="BC120" s="2"/>
      <c r="BD120" s="2"/>
      <c r="BE120" s="2"/>
      <c r="BK120" s="2"/>
      <c r="BM120" s="2"/>
      <c r="BN120" s="2"/>
      <c r="BO120" s="2"/>
      <c r="BS120" s="81" t="str">
        <f>IF($J$24="Español","Apariencia Asquerosa",(IF($J$24="Deutsch","Abstoßendes Aussehen",(IF($J$24="Français","Bras supplémentaire","Big Hand")))))</f>
        <v>Apariencia Asquerosa</v>
      </c>
      <c r="BT120" s="21" t="s">
        <v>171</v>
      </c>
      <c r="BU120" s="21" t="str">
        <f t="shared" ref="BU120:BZ131" si="89">""</f>
        <v/>
      </c>
      <c r="BV120" s="21" t="str">
        <f t="shared" si="89"/>
        <v/>
      </c>
      <c r="BW120" s="21" t="str">
        <f t="shared" si="89"/>
        <v/>
      </c>
      <c r="BX120" s="21" t="str">
        <f t="shared" si="89"/>
        <v/>
      </c>
      <c r="BY120" s="21" t="str">
        <f t="shared" si="89"/>
        <v/>
      </c>
      <c r="BZ120" s="21" t="str">
        <f t="shared" si="89"/>
        <v/>
      </c>
      <c r="CA120" s="21" t="str">
        <f t="shared" si="87"/>
        <v/>
      </c>
      <c r="CB120" s="21" t="str">
        <f t="shared" si="87"/>
        <v/>
      </c>
      <c r="CC120" s="75" t="str">
        <f>IF($J$24="Español","Brazos Adicionales",(IF($J$24="Deutsch","Große Hand",(IF($J$24="Français","Deux tête","Disturbing Presence")))))</f>
        <v>Brazos Adicionales</v>
      </c>
      <c r="CD120" s="2" t="s">
        <v>171</v>
      </c>
      <c r="CE120" s="80"/>
      <c r="CF120" s="2"/>
      <c r="CG120" s="2" t="str">
        <f t="shared" si="71"/>
        <v/>
      </c>
      <c r="CH120" s="2" t="str">
        <f t="shared" si="72"/>
        <v/>
      </c>
      <c r="CI120" s="2" t="str">
        <f t="shared" si="73"/>
        <v/>
      </c>
      <c r="CJ120" s="2" t="str">
        <f t="shared" si="74"/>
        <v/>
      </c>
      <c r="CK120" s="2" t="str">
        <f t="shared" si="75"/>
        <v/>
      </c>
      <c r="CL120" s="2" t="str">
        <f t="shared" si="76"/>
        <v/>
      </c>
      <c r="CM120" s="2" t="str">
        <f t="shared" si="77"/>
        <v/>
      </c>
      <c r="CN120" s="2" t="str">
        <f t="shared" si="78"/>
        <v/>
      </c>
      <c r="CO120" s="2" t="str">
        <f t="shared" si="79"/>
        <v/>
      </c>
      <c r="CP120" s="2" t="str">
        <f t="shared" si="80"/>
        <v/>
      </c>
      <c r="CQ120" s="2" t="str">
        <f t="shared" si="81"/>
        <v/>
      </c>
      <c r="CR120" s="2" t="str">
        <f t="shared" si="82"/>
        <v/>
      </c>
      <c r="CS120" s="2" t="str">
        <f t="shared" si="83"/>
        <v/>
      </c>
      <c r="CT120" s="2" t="str">
        <f t="shared" si="84"/>
        <v/>
      </c>
      <c r="CU120" s="2" t="str">
        <f t="shared" si="85"/>
        <v/>
      </c>
      <c r="CV120" s="2" t="str">
        <f t="shared" si="86"/>
        <v/>
      </c>
      <c r="CW120" s="2"/>
      <c r="CX120" s="2"/>
      <c r="CY120" s="2"/>
      <c r="CZ120" s="2"/>
    </row>
    <row r="121" spans="43:104" ht="15" hidden="1" customHeight="1" x14ac:dyDescent="0.2">
      <c r="AQ121" s="13">
        <v>56</v>
      </c>
      <c r="AR121" s="12">
        <v>875000</v>
      </c>
      <c r="AS121" s="12">
        <v>560000</v>
      </c>
      <c r="AT121" s="1"/>
      <c r="AU121" s="1"/>
      <c r="AV121" s="1"/>
      <c r="AW121" s="1"/>
      <c r="AX121" s="2"/>
      <c r="AY121" s="2"/>
      <c r="AZ121" s="1">
        <v>480000</v>
      </c>
      <c r="BA121" s="2"/>
      <c r="BB121" s="2"/>
      <c r="BC121" s="2"/>
      <c r="BD121" s="2"/>
      <c r="BE121" s="2"/>
      <c r="BK121" s="2"/>
      <c r="BM121" s="2"/>
      <c r="BN121" s="2"/>
      <c r="BO121" s="2"/>
      <c r="BS121" s="81" t="str">
        <f>IF($J$24="Español","Boca Monstruosa",(IF($J$24="Deutsch","Eisenharte Haut",(IF($J$24="Français","Cornes","Claw / Claws")))))</f>
        <v>Boca Monstruosa</v>
      </c>
      <c r="BT121" s="21" t="s">
        <v>171</v>
      </c>
      <c r="BU121" s="21" t="str">
        <f t="shared" si="89"/>
        <v/>
      </c>
      <c r="BV121" s="21" t="str">
        <f t="shared" si="89"/>
        <v/>
      </c>
      <c r="BW121" s="21" t="str">
        <f t="shared" si="89"/>
        <v/>
      </c>
      <c r="BX121" s="21" t="str">
        <f t="shared" si="89"/>
        <v/>
      </c>
      <c r="BY121" s="21" t="str">
        <f t="shared" si="89"/>
        <v/>
      </c>
      <c r="BZ121" s="21" t="str">
        <f t="shared" si="89"/>
        <v/>
      </c>
      <c r="CA121" s="21" t="str">
        <f t="shared" si="87"/>
        <v/>
      </c>
      <c r="CB121" s="21" t="str">
        <f t="shared" si="87"/>
        <v/>
      </c>
      <c r="CC121" s="75" t="str">
        <f>IF($J$24="Español","Cola Prensil",(IF($J$24="Deutsch","Hörner",(IF($J$24="Français","Grande gueule","Extra Arms")))))</f>
        <v>Cola Prensil</v>
      </c>
      <c r="CD121" s="2" t="s">
        <v>171</v>
      </c>
      <c r="CE121" s="80"/>
      <c r="CF121" s="2"/>
      <c r="CG121" s="2" t="str">
        <f t="shared" si="71"/>
        <v/>
      </c>
      <c r="CH121" s="2" t="str">
        <f t="shared" si="72"/>
        <v/>
      </c>
      <c r="CI121" s="2" t="str">
        <f t="shared" si="73"/>
        <v/>
      </c>
      <c r="CJ121" s="2" t="str">
        <f t="shared" si="74"/>
        <v/>
      </c>
      <c r="CK121" s="2" t="str">
        <f t="shared" si="75"/>
        <v/>
      </c>
      <c r="CL121" s="2" t="str">
        <f t="shared" si="76"/>
        <v/>
      </c>
      <c r="CM121" s="2" t="str">
        <f t="shared" si="77"/>
        <v/>
      </c>
      <c r="CN121" s="2" t="str">
        <f t="shared" si="78"/>
        <v/>
      </c>
      <c r="CO121" s="2" t="str">
        <f t="shared" si="79"/>
        <v/>
      </c>
      <c r="CP121" s="2" t="str">
        <f t="shared" si="80"/>
        <v/>
      </c>
      <c r="CQ121" s="2" t="str">
        <f t="shared" si="81"/>
        <v/>
      </c>
      <c r="CR121" s="2" t="str">
        <f t="shared" si="82"/>
        <v/>
      </c>
      <c r="CS121" s="2" t="str">
        <f t="shared" si="83"/>
        <v/>
      </c>
      <c r="CT121" s="2" t="str">
        <f t="shared" si="84"/>
        <v/>
      </c>
      <c r="CU121" s="2" t="str">
        <f t="shared" si="85"/>
        <v/>
      </c>
      <c r="CV121" s="2" t="str">
        <f t="shared" si="86"/>
        <v/>
      </c>
      <c r="CW121" s="2"/>
      <c r="CX121" s="2"/>
      <c r="CY121" s="2"/>
      <c r="CZ121" s="2"/>
    </row>
    <row r="122" spans="43:104" ht="15" hidden="1" customHeight="1" x14ac:dyDescent="0.2">
      <c r="AQ122" s="13">
        <v>57</v>
      </c>
      <c r="AR122" s="12">
        <v>880000</v>
      </c>
      <c r="AS122" s="12">
        <v>570000</v>
      </c>
      <c r="AT122" s="1"/>
      <c r="AU122" s="1"/>
      <c r="AV122" s="1"/>
      <c r="AW122" s="1"/>
      <c r="AX122" s="2"/>
      <c r="AY122" s="2"/>
      <c r="AZ122" s="1">
        <v>490000</v>
      </c>
      <c r="BA122" s="2"/>
      <c r="BB122" s="2"/>
      <c r="BC122" s="2"/>
      <c r="BD122" s="2"/>
      <c r="BE122" s="2"/>
      <c r="BK122" s="2"/>
      <c r="BM122" s="2"/>
      <c r="BN122" s="2"/>
      <c r="BO122" s="2"/>
      <c r="BS122" s="81" t="str">
        <f>IF($J$24="Español","Brazos Adicionales",(IF($J$24="Deutsch","Große Hand",(IF($J$24="Français","Deux tête","Disturbing Presence")))))</f>
        <v>Brazos Adicionales</v>
      </c>
      <c r="BT122" s="21" t="s">
        <v>171</v>
      </c>
      <c r="BU122" s="21" t="str">
        <f t="shared" si="89"/>
        <v/>
      </c>
      <c r="BV122" s="21" t="str">
        <f t="shared" si="89"/>
        <v/>
      </c>
      <c r="BW122" s="21" t="str">
        <f t="shared" si="89"/>
        <v/>
      </c>
      <c r="BX122" s="21" t="str">
        <f t="shared" si="89"/>
        <v/>
      </c>
      <c r="BY122" s="21" t="str">
        <f t="shared" si="89"/>
        <v/>
      </c>
      <c r="BZ122" s="21" t="str">
        <f t="shared" si="89"/>
        <v/>
      </c>
      <c r="CA122" s="21" t="str">
        <f t="shared" si="87"/>
        <v/>
      </c>
      <c r="CB122" s="21" t="str">
        <f t="shared" si="87"/>
        <v/>
      </c>
      <c r="CC122" s="75" t="str">
        <f>IF($J$24="Español","Cuernos",(IF($J$24="Deutsch","Klammerschwanz",(IF($J$24="Français","Griffes","Foul Appearance")))))</f>
        <v>Cuernos</v>
      </c>
      <c r="CD122" s="2" t="s">
        <v>171</v>
      </c>
      <c r="CE122" s="80"/>
      <c r="CF122" s="2"/>
      <c r="CG122" s="2" t="str">
        <f t="shared" si="71"/>
        <v/>
      </c>
      <c r="CH122" s="2" t="str">
        <f t="shared" si="72"/>
        <v/>
      </c>
      <c r="CI122" s="2" t="str">
        <f t="shared" si="73"/>
        <v/>
      </c>
      <c r="CJ122" s="2" t="str">
        <f t="shared" si="74"/>
        <v/>
      </c>
      <c r="CK122" s="2" t="str">
        <f t="shared" si="75"/>
        <v/>
      </c>
      <c r="CL122" s="2" t="str">
        <f t="shared" si="76"/>
        <v/>
      </c>
      <c r="CM122" s="2" t="str">
        <f t="shared" si="77"/>
        <v/>
      </c>
      <c r="CN122" s="2" t="str">
        <f t="shared" si="78"/>
        <v/>
      </c>
      <c r="CO122" s="2" t="str">
        <f t="shared" si="79"/>
        <v/>
      </c>
      <c r="CP122" s="2" t="str">
        <f t="shared" si="80"/>
        <v/>
      </c>
      <c r="CQ122" s="2" t="str">
        <f t="shared" si="81"/>
        <v/>
      </c>
      <c r="CR122" s="2" t="str">
        <f t="shared" si="82"/>
        <v/>
      </c>
      <c r="CS122" s="2" t="str">
        <f t="shared" si="83"/>
        <v/>
      </c>
      <c r="CT122" s="2" t="str">
        <f t="shared" si="84"/>
        <v/>
      </c>
      <c r="CU122" s="2" t="str">
        <f t="shared" si="85"/>
        <v/>
      </c>
      <c r="CV122" s="2" t="str">
        <f t="shared" si="86"/>
        <v/>
      </c>
      <c r="CW122" s="2"/>
      <c r="CX122" s="2"/>
      <c r="CY122" s="2"/>
      <c r="CZ122" s="2"/>
    </row>
    <row r="123" spans="43:104" ht="15" hidden="1" customHeight="1" x14ac:dyDescent="0.2">
      <c r="AQ123" s="12">
        <v>58</v>
      </c>
      <c r="AR123" s="12">
        <v>885000</v>
      </c>
      <c r="AS123" s="12">
        <v>580000</v>
      </c>
      <c r="AT123" s="1"/>
      <c r="AU123" s="1"/>
      <c r="AV123" s="1"/>
      <c r="AW123" s="1"/>
      <c r="AX123" s="2"/>
      <c r="AY123" s="2"/>
      <c r="AZ123" s="1">
        <v>500000</v>
      </c>
      <c r="BA123" s="2"/>
      <c r="BB123" s="2"/>
      <c r="BC123" s="2"/>
      <c r="BD123" s="2"/>
      <c r="BE123" s="2"/>
      <c r="BK123" s="2"/>
      <c r="BM123" s="2"/>
      <c r="BN123" s="2"/>
      <c r="BO123" s="2"/>
      <c r="BS123" s="81" t="str">
        <f>IF($J$24="Español","Cola Prensil",(IF($J$24="Deutsch","Hörner",(IF($J$24="Français","Grande gueule","Extra Arms")))))</f>
        <v>Cola Prensil</v>
      </c>
      <c r="BT123" s="21" t="s">
        <v>171</v>
      </c>
      <c r="BU123" s="21" t="str">
        <f t="shared" si="89"/>
        <v/>
      </c>
      <c r="BV123" s="21" t="str">
        <f t="shared" si="89"/>
        <v/>
      </c>
      <c r="BW123" s="21" t="str">
        <f t="shared" si="89"/>
        <v/>
      </c>
      <c r="BX123" s="21" t="str">
        <f t="shared" si="89"/>
        <v/>
      </c>
      <c r="BY123" s="21" t="str">
        <f t="shared" si="89"/>
        <v/>
      </c>
      <c r="BZ123" s="21" t="str">
        <f t="shared" si="89"/>
        <v/>
      </c>
      <c r="CA123" s="21" t="str">
        <f t="shared" si="87"/>
        <v/>
      </c>
      <c r="CB123" s="21" t="str">
        <f t="shared" si="87"/>
        <v/>
      </c>
      <c r="CC123" s="75" t="str">
        <f>IF($J$24="Español","Dos Cabezas",(IF($J$24="Deutsch","Klauen",(IF($J$24="Français","Main démesurée","Horns")))))</f>
        <v>Dos Cabezas</v>
      </c>
      <c r="CD123" s="2" t="s">
        <v>171</v>
      </c>
      <c r="CE123" s="80"/>
      <c r="CF123" s="2"/>
      <c r="CG123" s="2" t="str">
        <f t="shared" si="71"/>
        <v/>
      </c>
      <c r="CH123" s="2" t="str">
        <f t="shared" si="72"/>
        <v/>
      </c>
      <c r="CI123" s="2" t="str">
        <f t="shared" si="73"/>
        <v/>
      </c>
      <c r="CJ123" s="2" t="str">
        <f t="shared" si="74"/>
        <v/>
      </c>
      <c r="CK123" s="2" t="str">
        <f t="shared" si="75"/>
        <v/>
      </c>
      <c r="CL123" s="2" t="str">
        <f t="shared" si="76"/>
        <v/>
      </c>
      <c r="CM123" s="2" t="str">
        <f t="shared" si="77"/>
        <v/>
      </c>
      <c r="CN123" s="2" t="str">
        <f t="shared" si="78"/>
        <v/>
      </c>
      <c r="CO123" s="2" t="str">
        <f t="shared" si="79"/>
        <v/>
      </c>
      <c r="CP123" s="2" t="str">
        <f t="shared" si="80"/>
        <v/>
      </c>
      <c r="CQ123" s="2" t="str">
        <f t="shared" si="81"/>
        <v/>
      </c>
      <c r="CR123" s="2" t="str">
        <f t="shared" si="82"/>
        <v/>
      </c>
      <c r="CS123" s="2" t="str">
        <f t="shared" si="83"/>
        <v/>
      </c>
      <c r="CT123" s="2" t="str">
        <f t="shared" si="84"/>
        <v/>
      </c>
      <c r="CU123" s="2" t="str">
        <f t="shared" si="85"/>
        <v/>
      </c>
      <c r="CV123" s="2" t="str">
        <f t="shared" si="86"/>
        <v/>
      </c>
      <c r="CW123" s="2"/>
      <c r="CX123" s="2"/>
      <c r="CY123" s="2"/>
      <c r="CZ123" s="2"/>
    </row>
    <row r="124" spans="43:104" ht="15" hidden="1" customHeight="1" x14ac:dyDescent="0.2">
      <c r="AQ124" s="13">
        <v>59</v>
      </c>
      <c r="AR124" s="12">
        <v>890000</v>
      </c>
      <c r="AS124" s="12">
        <v>590000</v>
      </c>
      <c r="AT124" s="1"/>
      <c r="AU124" s="1"/>
      <c r="AV124" s="1"/>
      <c r="AW124" s="1"/>
      <c r="AX124" s="2"/>
      <c r="AY124" s="2"/>
      <c r="AZ124" s="2"/>
      <c r="BA124" s="2"/>
      <c r="BB124" s="2"/>
      <c r="BC124" s="2"/>
      <c r="BD124" s="2"/>
      <c r="BE124" s="2"/>
      <c r="BK124" s="2"/>
      <c r="BM124" s="2"/>
      <c r="BN124" s="2"/>
      <c r="BO124" s="2"/>
      <c r="BS124" s="81" t="str">
        <f>IF($J$24="Español","Cuernos",(IF($J$24="Deutsch","Klammerschwanz",(IF($J$24="Français","Griffes","Foul Appearance")))))</f>
        <v>Cuernos</v>
      </c>
      <c r="BT124" s="21" t="s">
        <v>171</v>
      </c>
      <c r="BU124" s="21" t="str">
        <f t="shared" si="89"/>
        <v/>
      </c>
      <c r="BV124" s="21" t="str">
        <f t="shared" si="89"/>
        <v/>
      </c>
      <c r="BW124" s="21" t="str">
        <f t="shared" si="89"/>
        <v/>
      </c>
      <c r="BX124" s="21" t="str">
        <f t="shared" si="89"/>
        <v/>
      </c>
      <c r="BY124" s="21" t="str">
        <f t="shared" si="89"/>
        <v/>
      </c>
      <c r="BZ124" s="21" t="str">
        <f t="shared" si="89"/>
        <v/>
      </c>
      <c r="CA124" s="21" t="str">
        <f t="shared" si="87"/>
        <v/>
      </c>
      <c r="CB124" s="21" t="str">
        <f t="shared" si="87"/>
        <v/>
      </c>
      <c r="CC124" s="21" t="str">
        <f>IF($J$24="Español","Garra / Garras",(IF($J$24="Deutsch","Monströses Maul",(IF($J$24="Français","Queue préhensile","Iron Hard Skin")))))</f>
        <v>Garra / Garras</v>
      </c>
      <c r="CD124" s="2" t="s">
        <v>171</v>
      </c>
      <c r="CE124" s="80"/>
      <c r="CF124" s="2"/>
      <c r="CG124" s="2" t="str">
        <f t="shared" si="71"/>
        <v/>
      </c>
      <c r="CH124" s="2" t="str">
        <f t="shared" si="72"/>
        <v/>
      </c>
      <c r="CI124" s="2" t="str">
        <f t="shared" si="73"/>
        <v/>
      </c>
      <c r="CJ124" s="2" t="str">
        <f t="shared" si="74"/>
        <v/>
      </c>
      <c r="CK124" s="2" t="str">
        <f t="shared" si="75"/>
        <v/>
      </c>
      <c r="CL124" s="2" t="str">
        <f t="shared" si="76"/>
        <v/>
      </c>
      <c r="CM124" s="2" t="str">
        <f t="shared" si="77"/>
        <v/>
      </c>
      <c r="CN124" s="2" t="str">
        <f t="shared" si="78"/>
        <v/>
      </c>
      <c r="CO124" s="2" t="str">
        <f t="shared" si="79"/>
        <v/>
      </c>
      <c r="CP124" s="2" t="str">
        <f t="shared" si="80"/>
        <v/>
      </c>
      <c r="CQ124" s="2" t="str">
        <f t="shared" si="81"/>
        <v/>
      </c>
      <c r="CR124" s="2" t="str">
        <f t="shared" si="82"/>
        <v/>
      </c>
      <c r="CS124" s="2" t="str">
        <f t="shared" si="83"/>
        <v/>
      </c>
      <c r="CT124" s="2" t="str">
        <f t="shared" si="84"/>
        <v/>
      </c>
      <c r="CU124" s="2" t="str">
        <f t="shared" si="85"/>
        <v/>
      </c>
      <c r="CV124" s="2" t="str">
        <f t="shared" si="86"/>
        <v/>
      </c>
      <c r="CW124" s="2"/>
      <c r="CX124" s="2"/>
      <c r="CY124" s="2"/>
      <c r="CZ124" s="2"/>
    </row>
    <row r="125" spans="43:104" ht="15" hidden="1" customHeight="1" x14ac:dyDescent="0.2">
      <c r="AQ125" s="13">
        <v>60</v>
      </c>
      <c r="AR125" s="12">
        <v>895000</v>
      </c>
      <c r="AS125" s="12">
        <v>600000</v>
      </c>
      <c r="AT125" s="1"/>
      <c r="AU125" s="1"/>
      <c r="AV125" s="1"/>
      <c r="AW125" s="1"/>
      <c r="AX125" s="2"/>
      <c r="AY125" s="2"/>
      <c r="AZ125" s="2"/>
      <c r="BA125" s="2"/>
      <c r="BB125" s="2"/>
      <c r="BC125" s="2"/>
      <c r="BD125" s="2"/>
      <c r="BE125" s="2"/>
      <c r="BK125" s="2"/>
      <c r="BM125" s="2"/>
      <c r="BN125" s="2"/>
      <c r="BO125" s="2"/>
      <c r="BS125" s="81" t="str">
        <f>IF($J$24="Español","Dos Cabezas",(IF($J$24="Deutsch","Klauen",(IF($J$24="Français","Main démesurée","Horns")))))</f>
        <v>Dos Cabezas</v>
      </c>
      <c r="BT125" s="21" t="s">
        <v>171</v>
      </c>
      <c r="BU125" s="21" t="str">
        <f t="shared" si="89"/>
        <v/>
      </c>
      <c r="BV125" s="21" t="str">
        <f t="shared" si="89"/>
        <v/>
      </c>
      <c r="BW125" s="21" t="str">
        <f t="shared" si="89"/>
        <v/>
      </c>
      <c r="BX125" s="21" t="str">
        <f t="shared" si="89"/>
        <v/>
      </c>
      <c r="BY125" s="21" t="str">
        <f t="shared" si="89"/>
        <v/>
      </c>
      <c r="BZ125" s="21" t="str">
        <f t="shared" si="89"/>
        <v/>
      </c>
      <c r="CA125" s="21" t="str">
        <f t="shared" si="87"/>
        <v/>
      </c>
      <c r="CB125" s="21" t="str">
        <f t="shared" si="87"/>
        <v/>
      </c>
      <c r="CC125" s="21" t="str">
        <f>IF($J$24="Español","Mano Grande",(IF($J$24="Deutsch","Sehr lange Beine",(IF($J$24="Français","Peau de fer","Monstrous Mouth")))))</f>
        <v>Mano Grande</v>
      </c>
      <c r="CD125" s="2" t="s">
        <v>171</v>
      </c>
      <c r="CE125" s="80"/>
      <c r="CF125" s="2"/>
      <c r="CG125" s="2" t="str">
        <f t="shared" si="71"/>
        <v/>
      </c>
      <c r="CH125" s="2" t="str">
        <f t="shared" si="72"/>
        <v/>
      </c>
      <c r="CI125" s="2" t="str">
        <f t="shared" si="73"/>
        <v/>
      </c>
      <c r="CJ125" s="2" t="str">
        <f t="shared" si="74"/>
        <v/>
      </c>
      <c r="CK125" s="2" t="str">
        <f t="shared" si="75"/>
        <v/>
      </c>
      <c r="CL125" s="2" t="str">
        <f t="shared" si="76"/>
        <v/>
      </c>
      <c r="CM125" s="2" t="str">
        <f t="shared" si="77"/>
        <v/>
      </c>
      <c r="CN125" s="2" t="str">
        <f t="shared" si="78"/>
        <v/>
      </c>
      <c r="CO125" s="2" t="str">
        <f t="shared" si="79"/>
        <v/>
      </c>
      <c r="CP125" s="2" t="str">
        <f t="shared" si="80"/>
        <v/>
      </c>
      <c r="CQ125" s="2" t="str">
        <f t="shared" si="81"/>
        <v/>
      </c>
      <c r="CR125" s="2" t="str">
        <f t="shared" si="82"/>
        <v/>
      </c>
      <c r="CS125" s="2" t="str">
        <f t="shared" si="83"/>
        <v/>
      </c>
      <c r="CT125" s="2" t="str">
        <f t="shared" si="84"/>
        <v/>
      </c>
      <c r="CU125" s="2" t="str">
        <f t="shared" si="85"/>
        <v/>
      </c>
      <c r="CV125" s="2" t="str">
        <f t="shared" si="86"/>
        <v/>
      </c>
      <c r="CW125" s="2"/>
      <c r="CX125" s="2"/>
      <c r="CY125" s="2"/>
      <c r="CZ125" s="2"/>
    </row>
    <row r="126" spans="43:104" ht="15" hidden="1" customHeight="1" x14ac:dyDescent="0.2">
      <c r="AQ126" s="12">
        <v>61</v>
      </c>
      <c r="AR126" s="12">
        <v>900000</v>
      </c>
      <c r="AS126" s="12">
        <v>610000</v>
      </c>
      <c r="AT126" s="1"/>
      <c r="AU126" s="1"/>
      <c r="AV126" s="1"/>
      <c r="AW126" s="1"/>
      <c r="AX126" s="2"/>
      <c r="AY126" s="2"/>
      <c r="AZ126" s="2"/>
      <c r="BA126" s="2"/>
      <c r="BB126" s="2"/>
      <c r="BC126" s="2"/>
      <c r="BD126" s="2"/>
      <c r="BE126" s="2"/>
      <c r="BK126" s="2"/>
      <c r="BM126" s="2"/>
      <c r="BN126" s="2"/>
      <c r="BO126" s="2"/>
      <c r="BS126" s="21" t="str">
        <f>IF($J$24="Español","Garra / Garras",(IF($J$24="Deutsch","Monströses Maul",(IF($J$24="Français","Queue préhensile","Iron Hard Skin")))))</f>
        <v>Garra / Garras</v>
      </c>
      <c r="BT126" s="21" t="s">
        <v>171</v>
      </c>
      <c r="BU126" s="21" t="str">
        <f t="shared" si="89"/>
        <v/>
      </c>
      <c r="BV126" s="21" t="str">
        <f t="shared" si="89"/>
        <v/>
      </c>
      <c r="BW126" s="21" t="str">
        <f t="shared" si="89"/>
        <v/>
      </c>
      <c r="BX126" s="21" t="str">
        <f t="shared" si="89"/>
        <v/>
      </c>
      <c r="BY126" s="21" t="str">
        <f t="shared" si="89"/>
        <v/>
      </c>
      <c r="BZ126" s="21" t="str">
        <f t="shared" si="89"/>
        <v/>
      </c>
      <c r="CA126" s="21" t="str">
        <f t="shared" si="87"/>
        <v/>
      </c>
      <c r="CB126" s="21" t="str">
        <f t="shared" si="87"/>
        <v/>
      </c>
      <c r="CC126" s="75" t="str">
        <f>IF($J$24="Español","Piel Ferrea",(IF($J$24="Deutsch","Tentakel",(IF($J$24="Français","Présence perturbante","Prehensile Tail")))))</f>
        <v>Piel Ferrea</v>
      </c>
      <c r="CD126" s="2" t="s">
        <v>171</v>
      </c>
      <c r="CE126" s="80"/>
      <c r="CF126" s="2"/>
      <c r="CG126" s="2" t="str">
        <f t="shared" si="71"/>
        <v/>
      </c>
      <c r="CH126" s="2" t="str">
        <f t="shared" si="72"/>
        <v/>
      </c>
      <c r="CI126" s="2" t="str">
        <f t="shared" si="73"/>
        <v/>
      </c>
      <c r="CJ126" s="2" t="str">
        <f t="shared" si="74"/>
        <v/>
      </c>
      <c r="CK126" s="2" t="str">
        <f t="shared" si="75"/>
        <v/>
      </c>
      <c r="CL126" s="2" t="str">
        <f t="shared" si="76"/>
        <v/>
      </c>
      <c r="CM126" s="2" t="str">
        <f t="shared" si="77"/>
        <v/>
      </c>
      <c r="CN126" s="2" t="str">
        <f t="shared" si="78"/>
        <v/>
      </c>
      <c r="CO126" s="2" t="str">
        <f t="shared" si="79"/>
        <v/>
      </c>
      <c r="CP126" s="2" t="str">
        <f t="shared" si="80"/>
        <v/>
      </c>
      <c r="CQ126" s="2" t="str">
        <f t="shared" si="81"/>
        <v/>
      </c>
      <c r="CR126" s="2" t="str">
        <f t="shared" si="82"/>
        <v/>
      </c>
      <c r="CS126" s="2" t="str">
        <f t="shared" si="83"/>
        <v/>
      </c>
      <c r="CT126" s="2" t="str">
        <f t="shared" si="84"/>
        <v/>
      </c>
      <c r="CU126" s="2" t="str">
        <f t="shared" si="85"/>
        <v/>
      </c>
      <c r="CV126" s="2" t="str">
        <f t="shared" si="86"/>
        <v/>
      </c>
      <c r="CW126" s="2"/>
      <c r="CX126" s="2"/>
      <c r="CY126" s="2"/>
      <c r="CZ126" s="2"/>
    </row>
    <row r="127" spans="43:104" ht="15" hidden="1" customHeight="1" x14ac:dyDescent="0.2">
      <c r="AQ127" s="13">
        <v>62</v>
      </c>
      <c r="AR127" s="12">
        <v>905000</v>
      </c>
      <c r="AS127" s="12">
        <v>620000</v>
      </c>
      <c r="AT127" s="1"/>
      <c r="AU127" s="1"/>
      <c r="AV127" s="1"/>
      <c r="AW127" s="1"/>
      <c r="AX127" s="2"/>
      <c r="AY127" s="2"/>
      <c r="AZ127" s="2"/>
      <c r="BA127" s="2"/>
      <c r="BB127" s="2"/>
      <c r="BC127" s="2"/>
      <c r="BD127" s="2"/>
      <c r="BE127" s="2"/>
      <c r="BK127" s="2"/>
      <c r="BM127" s="2"/>
      <c r="BN127" s="2"/>
      <c r="BO127" s="2"/>
      <c r="BS127" s="21" t="str">
        <f>IF($J$24="Español","Mano Grande",(IF($J$24="Deutsch","Sehr lange Beine",(IF($J$24="Français","Peau de fer","Monstrous Mouth")))))</f>
        <v>Mano Grande</v>
      </c>
      <c r="BT127" s="21" t="s">
        <v>171</v>
      </c>
      <c r="BU127" s="21" t="str">
        <f t="shared" si="89"/>
        <v/>
      </c>
      <c r="BV127" s="21" t="str">
        <f t="shared" si="89"/>
        <v/>
      </c>
      <c r="BW127" s="21" t="str">
        <f t="shared" si="89"/>
        <v/>
      </c>
      <c r="BX127" s="21" t="str">
        <f t="shared" si="89"/>
        <v/>
      </c>
      <c r="BY127" s="21" t="str">
        <f t="shared" si="89"/>
        <v/>
      </c>
      <c r="BZ127" s="21" t="str">
        <f t="shared" si="89"/>
        <v/>
      </c>
      <c r="CA127" s="21" t="str">
        <f t="shared" si="87"/>
        <v/>
      </c>
      <c r="CB127" s="21" t="str">
        <f t="shared" si="87"/>
        <v/>
      </c>
      <c r="CC127" s="75" t="str">
        <f>IF($J$24="Español","Piernas muy Largas",(IF($J$24="Deutsch","Verstörende Präsenz",(IF($J$24="Français","Répulsion","Tentacles")))))</f>
        <v>Piernas muy Largas</v>
      </c>
      <c r="CD127" s="2" t="s">
        <v>171</v>
      </c>
      <c r="CE127" s="80"/>
      <c r="CF127" s="2"/>
      <c r="CG127" s="2" t="str">
        <f t="shared" si="71"/>
        <v/>
      </c>
      <c r="CH127" s="2" t="str">
        <f t="shared" si="72"/>
        <v/>
      </c>
      <c r="CI127" s="2" t="str">
        <f t="shared" si="73"/>
        <v/>
      </c>
      <c r="CJ127" s="2" t="str">
        <f t="shared" si="74"/>
        <v/>
      </c>
      <c r="CK127" s="2" t="str">
        <f t="shared" si="75"/>
        <v/>
      </c>
      <c r="CL127" s="2" t="str">
        <f t="shared" si="76"/>
        <v/>
      </c>
      <c r="CM127" s="2" t="str">
        <f t="shared" si="77"/>
        <v/>
      </c>
      <c r="CN127" s="2" t="str">
        <f t="shared" si="78"/>
        <v/>
      </c>
      <c r="CO127" s="2" t="str">
        <f t="shared" si="79"/>
        <v/>
      </c>
      <c r="CP127" s="2" t="str">
        <f t="shared" si="80"/>
        <v/>
      </c>
      <c r="CQ127" s="2" t="str">
        <f t="shared" si="81"/>
        <v/>
      </c>
      <c r="CR127" s="2" t="str">
        <f t="shared" si="82"/>
        <v/>
      </c>
      <c r="CS127" s="2" t="str">
        <f t="shared" si="83"/>
        <v/>
      </c>
      <c r="CT127" s="2" t="str">
        <f t="shared" si="84"/>
        <v/>
      </c>
      <c r="CU127" s="2" t="str">
        <f t="shared" si="85"/>
        <v/>
      </c>
      <c r="CV127" s="2" t="str">
        <f t="shared" si="86"/>
        <v/>
      </c>
      <c r="CW127" s="2"/>
      <c r="CX127" s="2"/>
      <c r="CY127" s="2"/>
      <c r="CZ127" s="2"/>
    </row>
    <row r="128" spans="43:104" ht="15" hidden="1" customHeight="1" x14ac:dyDescent="0.2">
      <c r="AQ128" s="12">
        <v>63</v>
      </c>
      <c r="AR128" s="12">
        <v>910000</v>
      </c>
      <c r="AS128" s="12">
        <v>630000</v>
      </c>
      <c r="AT128" s="1"/>
      <c r="AU128" s="1"/>
      <c r="AV128" s="1"/>
      <c r="AW128" s="1"/>
      <c r="AX128" s="2"/>
      <c r="AY128" s="2"/>
      <c r="AZ128" s="2"/>
      <c r="BA128" s="2"/>
      <c r="BB128" s="2"/>
      <c r="BC128" s="2"/>
      <c r="BD128" s="2"/>
      <c r="BE128" s="2"/>
      <c r="BK128" s="2"/>
      <c r="BM128" s="2"/>
      <c r="BN128" s="2"/>
      <c r="BO128" s="2"/>
      <c r="BS128" s="81" t="str">
        <f>IF($J$24="Español","Piel Ferrea",(IF($J$24="Deutsch","Tentakel",(IF($J$24="Français","Présence perturbante","Prehensile Tail")))))</f>
        <v>Piel Ferrea</v>
      </c>
      <c r="BT128" s="21" t="s">
        <v>171</v>
      </c>
      <c r="BU128" s="21" t="str">
        <f t="shared" si="89"/>
        <v/>
      </c>
      <c r="BV128" s="21" t="str">
        <f t="shared" si="89"/>
        <v/>
      </c>
      <c r="BW128" s="21" t="str">
        <f t="shared" si="89"/>
        <v/>
      </c>
      <c r="BX128" s="21" t="str">
        <f t="shared" si="89"/>
        <v/>
      </c>
      <c r="BY128" s="21" t="str">
        <f t="shared" si="89"/>
        <v/>
      </c>
      <c r="BZ128" s="21" t="str">
        <f t="shared" si="89"/>
        <v/>
      </c>
      <c r="CA128" s="21" t="str">
        <f t="shared" si="87"/>
        <v/>
      </c>
      <c r="CB128" s="21" t="str">
        <f t="shared" si="87"/>
        <v/>
      </c>
      <c r="CC128" s="75" t="str">
        <f>IF($J$24="Español","Presencia Perturbadora",(IF($J$24="Deutsch","Zwei Köpfe",(IF($J$24="Français","Tentacule","Two Heads")))))</f>
        <v>Presencia Perturbadora</v>
      </c>
      <c r="CD128" s="2" t="s">
        <v>171</v>
      </c>
      <c r="CE128" s="80"/>
      <c r="CF128" s="2"/>
      <c r="CG128" s="2" t="str">
        <f t="shared" si="71"/>
        <v/>
      </c>
      <c r="CH128" s="2" t="str">
        <f t="shared" si="72"/>
        <v/>
      </c>
      <c r="CI128" s="2" t="str">
        <f t="shared" si="73"/>
        <v/>
      </c>
      <c r="CJ128" s="2" t="str">
        <f t="shared" si="74"/>
        <v/>
      </c>
      <c r="CK128" s="2" t="str">
        <f t="shared" si="75"/>
        <v/>
      </c>
      <c r="CL128" s="2" t="str">
        <f t="shared" si="76"/>
        <v/>
      </c>
      <c r="CM128" s="2" t="str">
        <f t="shared" si="77"/>
        <v/>
      </c>
      <c r="CN128" s="2" t="str">
        <f t="shared" si="78"/>
        <v/>
      </c>
      <c r="CO128" s="2" t="str">
        <f t="shared" si="79"/>
        <v/>
      </c>
      <c r="CP128" s="2" t="str">
        <f t="shared" si="80"/>
        <v/>
      </c>
      <c r="CQ128" s="2" t="str">
        <f t="shared" si="81"/>
        <v/>
      </c>
      <c r="CR128" s="2" t="str">
        <f t="shared" si="82"/>
        <v/>
      </c>
      <c r="CS128" s="2" t="str">
        <f t="shared" si="83"/>
        <v/>
      </c>
      <c r="CT128" s="2" t="str">
        <f t="shared" si="84"/>
        <v/>
      </c>
      <c r="CU128" s="2" t="str">
        <f t="shared" si="85"/>
        <v/>
      </c>
      <c r="CV128" s="2" t="str">
        <f t="shared" si="86"/>
        <v/>
      </c>
      <c r="CW128" s="2"/>
      <c r="CX128" s="2"/>
      <c r="CY128" s="2"/>
      <c r="CZ128" s="2"/>
    </row>
    <row r="129" spans="43:104" ht="15" hidden="1" customHeight="1" x14ac:dyDescent="0.2">
      <c r="AQ129" s="13">
        <v>64</v>
      </c>
      <c r="AR129" s="12">
        <v>915000</v>
      </c>
      <c r="AS129" s="12">
        <v>640000</v>
      </c>
      <c r="AT129" s="1"/>
      <c r="AU129" s="1"/>
      <c r="AV129" s="1"/>
      <c r="AW129" s="1"/>
      <c r="AX129" s="2"/>
      <c r="AY129" s="2"/>
      <c r="AZ129" s="2"/>
      <c r="BA129" s="2"/>
      <c r="BB129" s="2"/>
      <c r="BC129" s="2"/>
      <c r="BD129" s="2"/>
      <c r="BE129" s="2"/>
      <c r="BK129" s="2"/>
      <c r="BM129" s="2"/>
      <c r="BN129" s="2"/>
      <c r="BO129" s="2"/>
      <c r="BS129" s="81" t="str">
        <f>IF($J$24="Español","Piernas muy Largas",(IF($J$24="Deutsch","Verstörende Präsenz",(IF($J$24="Français","Répulsion","Tentacles")))))</f>
        <v>Piernas muy Largas</v>
      </c>
      <c r="BT129" s="21" t="s">
        <v>171</v>
      </c>
      <c r="BU129" s="21" t="str">
        <f t="shared" si="89"/>
        <v/>
      </c>
      <c r="BV129" s="21" t="str">
        <f t="shared" si="89"/>
        <v/>
      </c>
      <c r="BW129" s="21" t="str">
        <f t="shared" si="89"/>
        <v/>
      </c>
      <c r="BX129" s="21" t="str">
        <f t="shared" si="89"/>
        <v/>
      </c>
      <c r="BY129" s="21" t="str">
        <f t="shared" si="89"/>
        <v/>
      </c>
      <c r="BZ129" s="21" t="str">
        <f t="shared" si="89"/>
        <v/>
      </c>
      <c r="CA129" s="21" t="str">
        <f t="shared" si="87"/>
        <v/>
      </c>
      <c r="CB129" s="21" t="str">
        <f t="shared" si="87"/>
        <v/>
      </c>
      <c r="CC129" s="75" t="str">
        <f>IF($J$24="Español","Tentáculos",(IF($J$24="Deutsch","Zusätzliche Arme",(IF($J$24="Français","Très longues jambes","Very Long Legs")))))</f>
        <v>Tentáculos</v>
      </c>
      <c r="CD129" s="2" t="s">
        <v>171</v>
      </c>
      <c r="CE129" s="80"/>
      <c r="CF129" s="2"/>
      <c r="CG129" s="2" t="str">
        <f t="shared" si="71"/>
        <v/>
      </c>
      <c r="CH129" s="2" t="str">
        <f t="shared" si="72"/>
        <v/>
      </c>
      <c r="CI129" s="2" t="str">
        <f t="shared" si="73"/>
        <v/>
      </c>
      <c r="CJ129" s="2" t="str">
        <f t="shared" si="74"/>
        <v/>
      </c>
      <c r="CK129" s="2" t="str">
        <f t="shared" si="75"/>
        <v/>
      </c>
      <c r="CL129" s="2" t="str">
        <f t="shared" si="76"/>
        <v/>
      </c>
      <c r="CM129" s="2" t="str">
        <f t="shared" si="77"/>
        <v/>
      </c>
      <c r="CN129" s="2" t="str">
        <f t="shared" si="78"/>
        <v/>
      </c>
      <c r="CO129" s="2" t="str">
        <f t="shared" si="79"/>
        <v/>
      </c>
      <c r="CP129" s="2" t="str">
        <f t="shared" si="80"/>
        <v/>
      </c>
      <c r="CQ129" s="2" t="str">
        <f t="shared" si="81"/>
        <v/>
      </c>
      <c r="CR129" s="2" t="str">
        <f t="shared" si="82"/>
        <v/>
      </c>
      <c r="CS129" s="2" t="str">
        <f t="shared" si="83"/>
        <v/>
      </c>
      <c r="CT129" s="2" t="str">
        <f t="shared" si="84"/>
        <v/>
      </c>
      <c r="CU129" s="2" t="str">
        <f t="shared" si="85"/>
        <v/>
      </c>
      <c r="CV129" s="2" t="str">
        <f t="shared" si="86"/>
        <v/>
      </c>
      <c r="CW129" s="2"/>
      <c r="CX129" s="2"/>
      <c r="CY129" s="2"/>
      <c r="CZ129" s="2"/>
    </row>
    <row r="130" spans="43:104" ht="15" hidden="1" customHeight="1" x14ac:dyDescent="0.2">
      <c r="AQ130" s="13">
        <v>65</v>
      </c>
      <c r="AR130" s="12">
        <v>920000</v>
      </c>
      <c r="AS130" s="12">
        <v>650000</v>
      </c>
      <c r="AT130" s="1"/>
      <c r="AU130" s="1"/>
      <c r="AV130" s="1"/>
      <c r="AW130" s="1"/>
      <c r="AX130" s="2"/>
      <c r="AY130" s="2"/>
      <c r="AZ130" s="2"/>
      <c r="BA130" s="2"/>
      <c r="BB130" s="2"/>
      <c r="BC130" s="2"/>
      <c r="BD130" s="2"/>
      <c r="BE130" s="2"/>
      <c r="BK130" s="2"/>
      <c r="BM130" s="2"/>
      <c r="BN130" s="2"/>
      <c r="BO130" s="2"/>
      <c r="BS130" s="81" t="str">
        <f>IF($J$24="Español","Presencia Perturbadora",(IF($J$24="Deutsch","Zwei Köpfe",(IF($J$24="Français","Tentacule","Two Heads")))))</f>
        <v>Presencia Perturbadora</v>
      </c>
      <c r="BT130" s="21" t="s">
        <v>171</v>
      </c>
      <c r="BU130" s="21" t="str">
        <f t="shared" si="89"/>
        <v/>
      </c>
      <c r="BV130" s="21" t="str">
        <f t="shared" si="89"/>
        <v/>
      </c>
      <c r="BW130" s="21" t="str">
        <f t="shared" si="89"/>
        <v/>
      </c>
      <c r="BX130" s="21" t="str">
        <f t="shared" si="89"/>
        <v/>
      </c>
      <c r="BY130" s="21" t="str">
        <f t="shared" si="89"/>
        <v/>
      </c>
      <c r="BZ130" s="21" t="str">
        <f t="shared" si="89"/>
        <v/>
      </c>
      <c r="CA130" s="21" t="str">
        <f t="shared" si="87"/>
        <v/>
      </c>
      <c r="CB130" s="21" t="str">
        <f t="shared" si="87"/>
        <v/>
      </c>
      <c r="CC130" s="13"/>
      <c r="CD130" s="2"/>
      <c r="CE130" s="2"/>
      <c r="CF130" s="2"/>
      <c r="CG130" s="2" t="str">
        <f t="shared" ref="CG130:CG139" si="90">IFERROR((IF($CG$62="M",BW131,IF($CG$62="PM",BY131,IF($CG$62="P",BU131,IF($CG$62="FULL",BS131,IF($CG$62="GPSM",CA135,"")))))),"")</f>
        <v/>
      </c>
      <c r="CH130" s="2" t="str">
        <f t="shared" ref="CH130:CH139" si="91">IFERROR((IF($CH$62="M",BW131,IF($CH$62="PM",BY131,IF($CH$62="P",BU131,IF($CH$62="FULL",BS131,IF($CH$62="GPSM",CA135,"")))))),"")</f>
        <v/>
      </c>
      <c r="CI130" s="2" t="str">
        <f t="shared" ref="CI130:CI139" si="92">IFERROR((IF($CI$62="M",BW131,IF($CI$62="PM",BY131,IF($CI$62="P",BU131,IF($CI$62="FULL",BS131,IF($CI$62="GPSM",CA135,"")))))),"")</f>
        <v/>
      </c>
      <c r="CJ130" s="2" t="str">
        <f t="shared" ref="CJ130:CJ139" si="93">IFERROR((IF($CJ$62="M",BW131,IF($CJ$62="PM",BY131,IF($CJ$62="P",BU131,IF($CJ$62="FULL",BS131,IF($CJ$62="GPSM",CA135,"")))))),"")</f>
        <v/>
      </c>
      <c r="CK130" s="2" t="str">
        <f t="shared" ref="CK130:CK139" si="94">IFERROR((IF($CK$62="M",BW131,IF($CK$62="PM",BY131,IF($CK$62="P",BU131,IF($CK$62="FULL",BS131,IF($CK$62="GPSM",CA135,"")))))),"")</f>
        <v/>
      </c>
      <c r="CL130" s="2" t="str">
        <f t="shared" ref="CL130:CL139" si="95">IFERROR((IF($CL$62="M",BW131,IF($CL$62="PM",BY131,IF($CL$62="P",BU131,IF($CL$62="FULL",BS131,IF($CL$62="GPSM",CA135,"")))))),"")</f>
        <v/>
      </c>
      <c r="CM130" s="2" t="str">
        <f t="shared" ref="CM130:CM139" si="96">IFERROR((IF($CM$62="M",BW131,IF($CM$62="PM",BY131,IF($CM$62="P",BU131,IF($CM$62="FULL",BS131,IF($CM$62="GPSM",CA135,"")))))),"")</f>
        <v/>
      </c>
      <c r="CN130" s="2" t="str">
        <f t="shared" ref="CN130:CN139" si="97">IFERROR((IF($CN$62="M",BW131,IF($CN$62="PM",BY131,IF($CN$62="P",BU131,IF($CN$62="FULL",BS131,IF($CN$62="GPSM",CA135,"")))))),"")</f>
        <v/>
      </c>
      <c r="CO130" s="2" t="str">
        <f t="shared" ref="CO130:CO139" si="98">IFERROR((IF($CO$62="M",BW131,IF($CO$62="PM",BY131,IF($CO$62="P",BU131,IF($CO$62="FULL",BS131,IF($CO$62="GPSM",CA135,"")))))),"")</f>
        <v/>
      </c>
      <c r="CP130" s="2" t="str">
        <f t="shared" ref="CP130:CP139" si="99">IFERROR((IF($CP$62="M",BW131,IF($CP$62="PM",BY131,IF($CP$62="P",BU131,IF($CP$62="FULL",BS131,IF($CP$62="GPSM",CA135,"")))))),"")</f>
        <v/>
      </c>
      <c r="CQ130" s="2" t="str">
        <f t="shared" ref="CQ130:CQ139" si="100">IFERROR((IF($CQ$62="M",BW131,IF($CQ$62="PM",BY131,IF($CQ$62="P",BU131,IF($CQ$62="FULL",BS131,IF($CQ$62="GPSM",CA135,"")))))),"")</f>
        <v/>
      </c>
      <c r="CR130" s="2" t="str">
        <f t="shared" ref="CR130:CR139" si="101">IFERROR((IF($CR$62="M",BW131,IF($CR$62="PM",BY131,IF($CR$62="P",BU131,IF($CR$62="FULL",BS131,IF($CR$62="GPSM",CA135,"")))))),"")</f>
        <v/>
      </c>
      <c r="CS130" s="2" t="str">
        <f t="shared" ref="CS130:CS139" si="102">IFERROR((IF($CS$62="M",BW131,IF($CS$62="PM",BY131,IF($CS$62="P",BU131,IF($CS$62="FULL",BS131,IF($CS$62="GPSM",CA135,"")))))),"")</f>
        <v/>
      </c>
      <c r="CT130" s="2" t="str">
        <f t="shared" ref="CT130:CT139" si="103">IFERROR((IF($CT$62="M",BW131,IF($CT$62="PM",BY131,IF($CT$62="P",BU131,IF($CT$62="FULL",BS131,IF($CT$62="GPSM",CA135,"")))))),"")</f>
        <v/>
      </c>
      <c r="CU130" s="2" t="str">
        <f t="shared" ref="CU130:CU139" si="104">IFERROR((IF($CU$62="M",BW131,IF($CU$62="PM",BY131,IF($CU$62="P",BU131,IF($CU$62="FULL",BS131,IF($CU$62="GPSM",CA135,"")))))),"")</f>
        <v/>
      </c>
      <c r="CV130" s="2" t="str">
        <f t="shared" ref="CV130:CV139" si="105">IFERROR((IF($CV$62="M",BW131,IF($CV$62="PM",BY131,IF($CV$62="P",BU131,IF($CV$62="FULL",BS131,IF($CV$62="GPSM",CA135,"")))))),"")</f>
        <v/>
      </c>
      <c r="CW130" s="2"/>
      <c r="CX130" s="2"/>
      <c r="CY130" s="2"/>
      <c r="CZ130" s="2"/>
    </row>
    <row r="131" spans="43:104" ht="15" hidden="1" customHeight="1" x14ac:dyDescent="0.2">
      <c r="AQ131" s="12">
        <v>66</v>
      </c>
      <c r="AR131" s="12">
        <v>925000</v>
      </c>
      <c r="AS131" s="12">
        <v>660000</v>
      </c>
      <c r="AT131" s="1"/>
      <c r="AU131" s="1"/>
      <c r="AV131" s="1"/>
      <c r="AW131" s="1"/>
      <c r="AX131" s="2"/>
      <c r="AY131" s="2"/>
      <c r="AZ131" s="2"/>
      <c r="BA131" s="2"/>
      <c r="BB131" s="2"/>
      <c r="BC131" s="2"/>
      <c r="BD131" s="2"/>
      <c r="BE131" s="2"/>
      <c r="BK131" s="2"/>
      <c r="BM131" s="2"/>
      <c r="BN131" s="2"/>
      <c r="BO131" s="2"/>
      <c r="BS131" s="81" t="str">
        <f>IF($J$24="Español","Tentáculos",(IF($J$24="Deutsch","Zusätzliche Arme",(IF($J$24="Français","Très longues jambes","Very Long Legs")))))</f>
        <v>Tentáculos</v>
      </c>
      <c r="BT131" s="21" t="s">
        <v>171</v>
      </c>
      <c r="BU131" s="21" t="str">
        <f t="shared" si="89"/>
        <v/>
      </c>
      <c r="BV131" s="21" t="str">
        <f t="shared" si="89"/>
        <v/>
      </c>
      <c r="BW131" s="21" t="str">
        <f t="shared" si="89"/>
        <v/>
      </c>
      <c r="BX131" s="21" t="str">
        <f t="shared" si="89"/>
        <v/>
      </c>
      <c r="BY131" s="21" t="str">
        <f t="shared" si="89"/>
        <v/>
      </c>
      <c r="BZ131" s="21" t="str">
        <f t="shared" si="89"/>
        <v/>
      </c>
      <c r="CA131" s="21" t="str">
        <f t="shared" si="87"/>
        <v/>
      </c>
      <c r="CB131" s="21" t="str">
        <f t="shared" si="87"/>
        <v/>
      </c>
      <c r="CC131" s="2"/>
      <c r="CD131" s="2"/>
      <c r="CE131" s="2"/>
      <c r="CF131" s="2"/>
      <c r="CG131" s="2" t="str">
        <f t="shared" si="90"/>
        <v/>
      </c>
      <c r="CH131" s="2" t="str">
        <f t="shared" si="91"/>
        <v/>
      </c>
      <c r="CI131" s="2" t="str">
        <f t="shared" si="92"/>
        <v/>
      </c>
      <c r="CJ131" s="2" t="str">
        <f t="shared" si="93"/>
        <v/>
      </c>
      <c r="CK131" s="2" t="str">
        <f t="shared" si="94"/>
        <v/>
      </c>
      <c r="CL131" s="2" t="str">
        <f t="shared" si="95"/>
        <v/>
      </c>
      <c r="CM131" s="2" t="str">
        <f t="shared" si="96"/>
        <v/>
      </c>
      <c r="CN131" s="2" t="str">
        <f t="shared" si="97"/>
        <v/>
      </c>
      <c r="CO131" s="2" t="str">
        <f t="shared" si="98"/>
        <v/>
      </c>
      <c r="CP131" s="2" t="str">
        <f t="shared" si="99"/>
        <v/>
      </c>
      <c r="CQ131" s="2" t="str">
        <f t="shared" si="100"/>
        <v/>
      </c>
      <c r="CR131" s="2" t="str">
        <f t="shared" si="101"/>
        <v/>
      </c>
      <c r="CS131" s="2" t="str">
        <f t="shared" si="102"/>
        <v/>
      </c>
      <c r="CT131" s="2" t="str">
        <f t="shared" si="103"/>
        <v/>
      </c>
      <c r="CU131" s="2" t="str">
        <f t="shared" si="104"/>
        <v/>
      </c>
      <c r="CV131" s="2" t="str">
        <f t="shared" si="105"/>
        <v/>
      </c>
      <c r="CW131" s="2"/>
      <c r="CX131" s="2"/>
      <c r="CY131" s="2"/>
      <c r="CZ131" s="2"/>
    </row>
    <row r="132" spans="43:104" ht="15" hidden="1" customHeight="1" x14ac:dyDescent="0.2">
      <c r="AQ132" s="13">
        <v>67</v>
      </c>
      <c r="AR132" s="12">
        <v>930000</v>
      </c>
      <c r="AS132" s="12">
        <v>670000</v>
      </c>
      <c r="AT132" s="1"/>
      <c r="AU132" s="1"/>
      <c r="AV132" s="1"/>
      <c r="AW132" s="1"/>
      <c r="AX132" s="2"/>
      <c r="AY132" s="2"/>
      <c r="AZ132" s="2"/>
      <c r="BA132" s="2"/>
      <c r="BB132" s="2"/>
      <c r="BC132" s="2"/>
      <c r="BD132" s="2"/>
      <c r="BE132" s="2"/>
      <c r="BK132" s="2"/>
      <c r="BM132" s="2"/>
      <c r="BN132" s="2"/>
      <c r="BO132" s="2"/>
      <c r="BS132" s="11" t="str">
        <f t="shared" ref="BS132:BY140" si="106">""</f>
        <v/>
      </c>
      <c r="BT132" s="2" t="str">
        <f t="shared" si="106"/>
        <v/>
      </c>
      <c r="BU132" s="4" t="str">
        <f t="shared" si="106"/>
        <v/>
      </c>
      <c r="BV132" s="4" t="str">
        <f t="shared" si="106"/>
        <v/>
      </c>
      <c r="BW132" s="4" t="str">
        <f t="shared" si="106"/>
        <v/>
      </c>
      <c r="BX132" s="4" t="str">
        <f t="shared" si="106"/>
        <v/>
      </c>
      <c r="BY132" s="69" t="str">
        <f t="shared" si="106"/>
        <v/>
      </c>
      <c r="BZ132" s="2"/>
      <c r="CA132" s="21" t="str">
        <f t="shared" si="87"/>
        <v/>
      </c>
      <c r="CB132" s="21" t="str">
        <f t="shared" si="87"/>
        <v/>
      </c>
      <c r="CC132" s="2"/>
      <c r="CD132" s="2"/>
      <c r="CE132" s="2"/>
      <c r="CF132" s="2"/>
      <c r="CG132" s="2" t="str">
        <f t="shared" si="90"/>
        <v/>
      </c>
      <c r="CH132" s="2" t="str">
        <f t="shared" si="91"/>
        <v/>
      </c>
      <c r="CI132" s="2" t="str">
        <f t="shared" si="92"/>
        <v/>
      </c>
      <c r="CJ132" s="2" t="str">
        <f t="shared" si="93"/>
        <v/>
      </c>
      <c r="CK132" s="2" t="str">
        <f t="shared" si="94"/>
        <v/>
      </c>
      <c r="CL132" s="2" t="str">
        <f t="shared" si="95"/>
        <v/>
      </c>
      <c r="CM132" s="2" t="str">
        <f t="shared" si="96"/>
        <v/>
      </c>
      <c r="CN132" s="2" t="str">
        <f t="shared" si="97"/>
        <v/>
      </c>
      <c r="CO132" s="2" t="str">
        <f t="shared" si="98"/>
        <v/>
      </c>
      <c r="CP132" s="2" t="str">
        <f t="shared" si="99"/>
        <v/>
      </c>
      <c r="CQ132" s="2" t="str">
        <f t="shared" si="100"/>
        <v/>
      </c>
      <c r="CR132" s="2" t="str">
        <f t="shared" si="101"/>
        <v/>
      </c>
      <c r="CS132" s="2" t="str">
        <f t="shared" si="102"/>
        <v/>
      </c>
      <c r="CT132" s="2" t="str">
        <f t="shared" si="103"/>
        <v/>
      </c>
      <c r="CU132" s="2" t="str">
        <f t="shared" si="104"/>
        <v/>
      </c>
      <c r="CV132" s="2" t="str">
        <f t="shared" si="105"/>
        <v/>
      </c>
      <c r="CW132" s="2"/>
      <c r="CX132" s="2"/>
      <c r="CY132" s="2"/>
      <c r="CZ132" s="2"/>
    </row>
    <row r="133" spans="43:104" ht="15" hidden="1" customHeight="1" x14ac:dyDescent="0.2">
      <c r="AQ133" s="13">
        <v>68</v>
      </c>
      <c r="AR133" s="12">
        <v>935000</v>
      </c>
      <c r="AS133" s="12">
        <v>680000</v>
      </c>
      <c r="AT133" s="1"/>
      <c r="AU133" s="1"/>
      <c r="AV133" s="1"/>
      <c r="AW133" s="1"/>
      <c r="AX133" s="2"/>
      <c r="AY133" s="2"/>
      <c r="AZ133" s="2"/>
      <c r="BA133" s="2"/>
      <c r="BB133" s="2"/>
      <c r="BC133" s="2"/>
      <c r="BD133" s="2"/>
      <c r="BE133" s="2"/>
      <c r="BK133" s="2"/>
      <c r="BM133" s="2"/>
      <c r="BN133" s="2"/>
      <c r="BO133" s="2"/>
      <c r="BS133" s="11" t="str">
        <f t="shared" si="106"/>
        <v/>
      </c>
      <c r="BT133" s="2" t="str">
        <f t="shared" si="106"/>
        <v/>
      </c>
      <c r="BU133" s="4" t="str">
        <f t="shared" si="106"/>
        <v/>
      </c>
      <c r="BV133" s="4" t="str">
        <f t="shared" si="106"/>
        <v/>
      </c>
      <c r="BW133" s="4" t="str">
        <f t="shared" si="106"/>
        <v/>
      </c>
      <c r="BX133" s="4" t="str">
        <f t="shared" si="106"/>
        <v/>
      </c>
      <c r="BY133" s="69" t="str">
        <f t="shared" si="106"/>
        <v/>
      </c>
      <c r="BZ133" s="2"/>
      <c r="CA133" s="21" t="str">
        <f t="shared" si="87"/>
        <v/>
      </c>
      <c r="CB133" s="21" t="str">
        <f t="shared" si="87"/>
        <v/>
      </c>
      <c r="CC133" s="13"/>
      <c r="CD133" s="2"/>
      <c r="CE133" s="2"/>
      <c r="CF133" s="2"/>
      <c r="CG133" s="2" t="str">
        <f t="shared" si="90"/>
        <v/>
      </c>
      <c r="CH133" s="2" t="str">
        <f t="shared" si="91"/>
        <v/>
      </c>
      <c r="CI133" s="2" t="str">
        <f t="shared" si="92"/>
        <v/>
      </c>
      <c r="CJ133" s="2" t="str">
        <f t="shared" si="93"/>
        <v/>
      </c>
      <c r="CK133" s="2" t="str">
        <f t="shared" si="94"/>
        <v/>
      </c>
      <c r="CL133" s="2" t="str">
        <f t="shared" si="95"/>
        <v/>
      </c>
      <c r="CM133" s="2" t="str">
        <f t="shared" si="96"/>
        <v/>
      </c>
      <c r="CN133" s="2" t="str">
        <f t="shared" si="97"/>
        <v/>
      </c>
      <c r="CO133" s="2" t="str">
        <f t="shared" si="98"/>
        <v/>
      </c>
      <c r="CP133" s="2" t="str">
        <f t="shared" si="99"/>
        <v/>
      </c>
      <c r="CQ133" s="2" t="str">
        <f t="shared" si="100"/>
        <v/>
      </c>
      <c r="CR133" s="2" t="str">
        <f t="shared" si="101"/>
        <v/>
      </c>
      <c r="CS133" s="2" t="str">
        <f t="shared" si="102"/>
        <v/>
      </c>
      <c r="CT133" s="2" t="str">
        <f t="shared" si="103"/>
        <v/>
      </c>
      <c r="CU133" s="2" t="str">
        <f t="shared" si="104"/>
        <v/>
      </c>
      <c r="CV133" s="2" t="str">
        <f t="shared" si="105"/>
        <v/>
      </c>
      <c r="CW133" s="2"/>
      <c r="CX133" s="2"/>
      <c r="CY133" s="2"/>
      <c r="CZ133" s="2"/>
    </row>
    <row r="134" spans="43:104" ht="15" hidden="1" customHeight="1" x14ac:dyDescent="0.2">
      <c r="AQ134" s="12">
        <v>69</v>
      </c>
      <c r="AR134" s="12">
        <v>940000</v>
      </c>
      <c r="AS134" s="12">
        <v>690000</v>
      </c>
      <c r="AT134" s="1"/>
      <c r="AU134" s="1"/>
      <c r="AV134" s="1"/>
      <c r="AW134" s="1"/>
      <c r="AX134" s="2"/>
      <c r="AY134" s="2"/>
      <c r="AZ134" s="2"/>
      <c r="BA134" s="2"/>
      <c r="BB134" s="2"/>
      <c r="BC134" s="2"/>
      <c r="BD134" s="2"/>
      <c r="BE134" s="2"/>
      <c r="BK134" s="2"/>
      <c r="BM134" s="2"/>
      <c r="BN134" s="2"/>
      <c r="BO134" s="2"/>
      <c r="BS134" s="11" t="str">
        <f t="shared" si="106"/>
        <v/>
      </c>
      <c r="BT134" s="2" t="str">
        <f t="shared" si="106"/>
        <v/>
      </c>
      <c r="BU134" s="4" t="str">
        <f t="shared" si="106"/>
        <v/>
      </c>
      <c r="BV134" s="4" t="str">
        <f t="shared" si="106"/>
        <v/>
      </c>
      <c r="BW134" s="4" t="str">
        <f t="shared" si="106"/>
        <v/>
      </c>
      <c r="BX134" s="4" t="str">
        <f t="shared" si="106"/>
        <v/>
      </c>
      <c r="BY134" s="69" t="str">
        <f t="shared" si="106"/>
        <v/>
      </c>
      <c r="BZ134" s="2"/>
      <c r="CA134" s="21" t="str">
        <f t="shared" si="87"/>
        <v/>
      </c>
      <c r="CB134" s="21" t="str">
        <f t="shared" si="87"/>
        <v/>
      </c>
      <c r="CC134" s="13"/>
      <c r="CD134" s="2"/>
      <c r="CE134" s="2"/>
      <c r="CF134" s="2"/>
      <c r="CG134" s="2" t="str">
        <f t="shared" si="90"/>
        <v/>
      </c>
      <c r="CH134" s="2" t="str">
        <f t="shared" si="91"/>
        <v/>
      </c>
      <c r="CI134" s="2" t="str">
        <f t="shared" si="92"/>
        <v/>
      </c>
      <c r="CJ134" s="2" t="str">
        <f t="shared" si="93"/>
        <v/>
      </c>
      <c r="CK134" s="2" t="str">
        <f t="shared" si="94"/>
        <v/>
      </c>
      <c r="CL134" s="2" t="str">
        <f t="shared" si="95"/>
        <v/>
      </c>
      <c r="CM134" s="2" t="str">
        <f t="shared" si="96"/>
        <v/>
      </c>
      <c r="CN134" s="2" t="str">
        <f t="shared" si="97"/>
        <v/>
      </c>
      <c r="CO134" s="2" t="str">
        <f t="shared" si="98"/>
        <v/>
      </c>
      <c r="CP134" s="2" t="str">
        <f t="shared" si="99"/>
        <v/>
      </c>
      <c r="CQ134" s="2" t="str">
        <f t="shared" si="100"/>
        <v/>
      </c>
      <c r="CR134" s="2" t="str">
        <f t="shared" si="101"/>
        <v/>
      </c>
      <c r="CS134" s="2" t="str">
        <f t="shared" si="102"/>
        <v/>
      </c>
      <c r="CT134" s="2" t="str">
        <f t="shared" si="103"/>
        <v/>
      </c>
      <c r="CU134" s="2" t="str">
        <f t="shared" si="104"/>
        <v/>
      </c>
      <c r="CV134" s="2" t="str">
        <f t="shared" si="105"/>
        <v/>
      </c>
      <c r="CW134" s="2"/>
      <c r="CX134" s="2"/>
      <c r="CY134" s="2"/>
      <c r="CZ134" s="2"/>
    </row>
    <row r="135" spans="43:104" ht="15" hidden="1" customHeight="1" x14ac:dyDescent="0.2">
      <c r="AQ135" s="13">
        <v>70</v>
      </c>
      <c r="AR135" s="12">
        <v>945000</v>
      </c>
      <c r="AS135" s="12">
        <v>700000</v>
      </c>
      <c r="AT135" s="1"/>
      <c r="AU135" s="1"/>
      <c r="AV135" s="1"/>
      <c r="AW135" s="1"/>
      <c r="AX135" s="2"/>
      <c r="AY135" s="2"/>
      <c r="AZ135" s="2"/>
      <c r="BA135" s="2"/>
      <c r="BB135" s="2"/>
      <c r="BC135" s="2"/>
      <c r="BD135" s="2"/>
      <c r="BE135" s="2"/>
      <c r="BK135" s="2"/>
      <c r="BM135" s="2"/>
      <c r="BN135" s="2"/>
      <c r="BO135" s="2"/>
      <c r="BS135" s="11" t="str">
        <f t="shared" si="106"/>
        <v/>
      </c>
      <c r="BT135" s="2" t="str">
        <f t="shared" si="106"/>
        <v/>
      </c>
      <c r="BU135" s="4" t="str">
        <f t="shared" si="106"/>
        <v/>
      </c>
      <c r="BV135" s="4" t="str">
        <f t="shared" si="106"/>
        <v/>
      </c>
      <c r="BW135" s="4" t="str">
        <f t="shared" si="106"/>
        <v/>
      </c>
      <c r="BX135" s="4" t="str">
        <f t="shared" si="106"/>
        <v/>
      </c>
      <c r="BY135" s="69" t="str">
        <f t="shared" si="106"/>
        <v/>
      </c>
      <c r="BZ135" s="2"/>
      <c r="CA135" s="21" t="str">
        <f t="shared" si="87"/>
        <v/>
      </c>
      <c r="CB135" s="21" t="str">
        <f t="shared" si="87"/>
        <v/>
      </c>
      <c r="CC135" s="13"/>
      <c r="CD135" s="2"/>
      <c r="CE135" s="2"/>
      <c r="CF135" s="2"/>
      <c r="CG135" s="2" t="str">
        <f t="shared" si="90"/>
        <v/>
      </c>
      <c r="CH135" s="2" t="str">
        <f t="shared" si="91"/>
        <v/>
      </c>
      <c r="CI135" s="2" t="str">
        <f t="shared" si="92"/>
        <v/>
      </c>
      <c r="CJ135" s="2" t="str">
        <f t="shared" si="93"/>
        <v/>
      </c>
      <c r="CK135" s="2" t="str">
        <f t="shared" si="94"/>
        <v/>
      </c>
      <c r="CL135" s="2" t="str">
        <f t="shared" si="95"/>
        <v/>
      </c>
      <c r="CM135" s="2" t="str">
        <f t="shared" si="96"/>
        <v/>
      </c>
      <c r="CN135" s="2" t="str">
        <f t="shared" si="97"/>
        <v/>
      </c>
      <c r="CO135" s="2" t="str">
        <f t="shared" si="98"/>
        <v/>
      </c>
      <c r="CP135" s="2" t="str">
        <f t="shared" si="99"/>
        <v/>
      </c>
      <c r="CQ135" s="2" t="str">
        <f t="shared" si="100"/>
        <v/>
      </c>
      <c r="CR135" s="2" t="str">
        <f t="shared" si="101"/>
        <v/>
      </c>
      <c r="CS135" s="2" t="str">
        <f t="shared" si="102"/>
        <v/>
      </c>
      <c r="CT135" s="2" t="str">
        <f t="shared" si="103"/>
        <v/>
      </c>
      <c r="CU135" s="2" t="str">
        <f t="shared" si="104"/>
        <v/>
      </c>
      <c r="CV135" s="2" t="str">
        <f t="shared" si="105"/>
        <v/>
      </c>
      <c r="CW135" s="2"/>
      <c r="CX135" s="2"/>
      <c r="CY135" s="2"/>
      <c r="CZ135" s="2"/>
    </row>
    <row r="136" spans="43:104" ht="15" hidden="1" customHeight="1" x14ac:dyDescent="0.2">
      <c r="AQ136" s="13">
        <v>71</v>
      </c>
      <c r="AR136" s="12">
        <v>950000</v>
      </c>
      <c r="AS136" s="12">
        <v>710000</v>
      </c>
      <c r="AT136" s="1"/>
      <c r="AU136" s="1"/>
      <c r="AV136" s="1"/>
      <c r="AW136" s="1"/>
      <c r="AX136" s="2"/>
      <c r="AY136" s="2"/>
      <c r="AZ136" s="2"/>
      <c r="BA136" s="2"/>
      <c r="BB136" s="2"/>
      <c r="BC136" s="2"/>
      <c r="BD136" s="2"/>
      <c r="BE136" s="2"/>
      <c r="BK136" s="2"/>
      <c r="BM136" s="2"/>
      <c r="BN136" s="2"/>
      <c r="BO136" s="2"/>
      <c r="BS136" s="11" t="str">
        <f t="shared" si="106"/>
        <v/>
      </c>
      <c r="BT136" s="2" t="str">
        <f t="shared" si="106"/>
        <v/>
      </c>
      <c r="BU136" s="4" t="str">
        <f t="shared" si="106"/>
        <v/>
      </c>
      <c r="BV136" s="4" t="str">
        <f t="shared" si="106"/>
        <v/>
      </c>
      <c r="BW136" s="4" t="str">
        <f t="shared" si="106"/>
        <v/>
      </c>
      <c r="BX136" s="4" t="str">
        <f t="shared" si="106"/>
        <v/>
      </c>
      <c r="BY136" s="69" t="str">
        <f t="shared" si="106"/>
        <v/>
      </c>
      <c r="BZ136" s="2"/>
      <c r="CA136" s="21" t="str">
        <f t="shared" si="87"/>
        <v/>
      </c>
      <c r="CB136" s="21" t="str">
        <f t="shared" si="87"/>
        <v/>
      </c>
      <c r="CC136" s="13"/>
      <c r="CD136" s="2"/>
      <c r="CE136" s="2"/>
      <c r="CF136" s="2"/>
      <c r="CG136" s="2" t="str">
        <f t="shared" si="90"/>
        <v/>
      </c>
      <c r="CH136" s="2" t="str">
        <f t="shared" si="91"/>
        <v/>
      </c>
      <c r="CI136" s="2" t="str">
        <f t="shared" si="92"/>
        <v/>
      </c>
      <c r="CJ136" s="2" t="str">
        <f t="shared" si="93"/>
        <v/>
      </c>
      <c r="CK136" s="2" t="str">
        <f t="shared" si="94"/>
        <v/>
      </c>
      <c r="CL136" s="2" t="str">
        <f t="shared" si="95"/>
        <v/>
      </c>
      <c r="CM136" s="2" t="str">
        <f t="shared" si="96"/>
        <v/>
      </c>
      <c r="CN136" s="2" t="str">
        <f t="shared" si="97"/>
        <v/>
      </c>
      <c r="CO136" s="2" t="str">
        <f t="shared" si="98"/>
        <v/>
      </c>
      <c r="CP136" s="2" t="str">
        <f t="shared" si="99"/>
        <v/>
      </c>
      <c r="CQ136" s="2" t="str">
        <f t="shared" si="100"/>
        <v/>
      </c>
      <c r="CR136" s="2" t="str">
        <f t="shared" si="101"/>
        <v/>
      </c>
      <c r="CS136" s="2" t="str">
        <f t="shared" si="102"/>
        <v/>
      </c>
      <c r="CT136" s="2" t="str">
        <f t="shared" si="103"/>
        <v/>
      </c>
      <c r="CU136" s="2" t="str">
        <f t="shared" si="104"/>
        <v/>
      </c>
      <c r="CV136" s="2" t="str">
        <f t="shared" si="105"/>
        <v/>
      </c>
      <c r="CW136" s="2"/>
      <c r="CX136" s="2"/>
      <c r="CY136" s="2"/>
      <c r="CZ136" s="2"/>
    </row>
    <row r="137" spans="43:104" ht="15" hidden="1" customHeight="1" x14ac:dyDescent="0.2">
      <c r="AQ137" s="12">
        <v>72</v>
      </c>
      <c r="AR137" s="12">
        <v>955000</v>
      </c>
      <c r="AS137" s="12">
        <v>720000</v>
      </c>
      <c r="AT137" s="1"/>
      <c r="AU137" s="1"/>
      <c r="AV137" s="1"/>
      <c r="AW137" s="1"/>
      <c r="AX137" s="2"/>
      <c r="AY137" s="2"/>
      <c r="AZ137" s="2"/>
      <c r="BA137" s="2"/>
      <c r="BB137" s="2"/>
      <c r="BC137" s="2"/>
      <c r="BD137" s="2"/>
      <c r="BE137" s="2"/>
      <c r="BK137" s="2"/>
      <c r="BM137" s="2"/>
      <c r="BN137" s="2"/>
      <c r="BO137" s="2"/>
      <c r="BS137" s="11" t="str">
        <f t="shared" si="106"/>
        <v/>
      </c>
      <c r="BT137" s="2" t="str">
        <f t="shared" si="106"/>
        <v/>
      </c>
      <c r="BU137" s="4" t="str">
        <f t="shared" si="106"/>
        <v/>
      </c>
      <c r="BV137" s="4" t="str">
        <f t="shared" si="106"/>
        <v/>
      </c>
      <c r="BW137" s="4" t="str">
        <f t="shared" si="106"/>
        <v/>
      </c>
      <c r="BX137" s="4" t="str">
        <f t="shared" si="106"/>
        <v/>
      </c>
      <c r="BY137" s="69" t="str">
        <f t="shared" si="106"/>
        <v/>
      </c>
      <c r="BZ137" s="2"/>
      <c r="CA137" s="21" t="str">
        <f t="shared" si="87"/>
        <v/>
      </c>
      <c r="CB137" s="21" t="str">
        <f t="shared" si="87"/>
        <v/>
      </c>
      <c r="CC137" s="13"/>
      <c r="CD137" s="2"/>
      <c r="CE137" s="2"/>
      <c r="CF137" s="2"/>
      <c r="CG137" s="2" t="str">
        <f t="shared" si="90"/>
        <v/>
      </c>
      <c r="CH137" s="2" t="str">
        <f t="shared" si="91"/>
        <v/>
      </c>
      <c r="CI137" s="2" t="str">
        <f t="shared" si="92"/>
        <v/>
      </c>
      <c r="CJ137" s="2" t="str">
        <f t="shared" si="93"/>
        <v/>
      </c>
      <c r="CK137" s="2" t="str">
        <f t="shared" si="94"/>
        <v/>
      </c>
      <c r="CL137" s="2" t="str">
        <f t="shared" si="95"/>
        <v/>
      </c>
      <c r="CM137" s="2" t="str">
        <f t="shared" si="96"/>
        <v/>
      </c>
      <c r="CN137" s="2" t="str">
        <f t="shared" si="97"/>
        <v/>
      </c>
      <c r="CO137" s="2" t="str">
        <f t="shared" si="98"/>
        <v/>
      </c>
      <c r="CP137" s="2" t="str">
        <f t="shared" si="99"/>
        <v/>
      </c>
      <c r="CQ137" s="2" t="str">
        <f t="shared" si="100"/>
        <v/>
      </c>
      <c r="CR137" s="2" t="str">
        <f t="shared" si="101"/>
        <v/>
      </c>
      <c r="CS137" s="2" t="str">
        <f t="shared" si="102"/>
        <v/>
      </c>
      <c r="CT137" s="2" t="str">
        <f t="shared" si="103"/>
        <v/>
      </c>
      <c r="CU137" s="2" t="str">
        <f t="shared" si="104"/>
        <v/>
      </c>
      <c r="CV137" s="2" t="str">
        <f t="shared" si="105"/>
        <v/>
      </c>
      <c r="CW137" s="2"/>
      <c r="CX137" s="2"/>
      <c r="CY137" s="2"/>
      <c r="CZ137" s="2"/>
    </row>
    <row r="138" spans="43:104" ht="15" hidden="1" customHeight="1" x14ac:dyDescent="0.2">
      <c r="AQ138" s="13">
        <v>73</v>
      </c>
      <c r="AR138" s="12">
        <v>960000</v>
      </c>
      <c r="AS138" s="12">
        <v>730000</v>
      </c>
      <c r="AT138" s="1"/>
      <c r="AU138" s="1"/>
      <c r="AV138" s="1"/>
      <c r="AW138" s="1"/>
      <c r="AX138" s="2"/>
      <c r="AY138" s="2"/>
      <c r="AZ138" s="2"/>
      <c r="BA138" s="2"/>
      <c r="BB138" s="2"/>
      <c r="BC138" s="2"/>
      <c r="BD138" s="2"/>
      <c r="BE138" s="2"/>
      <c r="BK138" s="2"/>
      <c r="BM138" s="2"/>
      <c r="BN138" s="2"/>
      <c r="BO138" s="2"/>
      <c r="BS138" s="11" t="str">
        <f t="shared" si="106"/>
        <v/>
      </c>
      <c r="BT138" s="2" t="str">
        <f t="shared" si="106"/>
        <v/>
      </c>
      <c r="BU138" s="4" t="str">
        <f t="shared" si="106"/>
        <v/>
      </c>
      <c r="BV138" s="4" t="str">
        <f t="shared" si="106"/>
        <v/>
      </c>
      <c r="BW138" s="4" t="str">
        <f t="shared" si="106"/>
        <v/>
      </c>
      <c r="BX138" s="4" t="str">
        <f t="shared" si="106"/>
        <v/>
      </c>
      <c r="BY138" s="69" t="str">
        <f t="shared" si="106"/>
        <v/>
      </c>
      <c r="BZ138" s="2"/>
      <c r="CA138" s="21" t="str">
        <f t="shared" si="87"/>
        <v/>
      </c>
      <c r="CB138" s="21" t="str">
        <f t="shared" si="87"/>
        <v/>
      </c>
      <c r="CC138" s="13"/>
      <c r="CD138" s="2"/>
      <c r="CE138" s="2"/>
      <c r="CF138" s="2"/>
      <c r="CG138" s="2" t="str">
        <f t="shared" si="90"/>
        <v/>
      </c>
      <c r="CH138" s="2" t="str">
        <f t="shared" si="91"/>
        <v/>
      </c>
      <c r="CI138" s="2" t="str">
        <f t="shared" si="92"/>
        <v/>
      </c>
      <c r="CJ138" s="2" t="str">
        <f t="shared" si="93"/>
        <v/>
      </c>
      <c r="CK138" s="2" t="str">
        <f t="shared" si="94"/>
        <v/>
      </c>
      <c r="CL138" s="2" t="str">
        <f t="shared" si="95"/>
        <v/>
      </c>
      <c r="CM138" s="2" t="str">
        <f t="shared" si="96"/>
        <v/>
      </c>
      <c r="CN138" s="2" t="str">
        <f t="shared" si="97"/>
        <v/>
      </c>
      <c r="CO138" s="2" t="str">
        <f t="shared" si="98"/>
        <v/>
      </c>
      <c r="CP138" s="2" t="str">
        <f t="shared" si="99"/>
        <v/>
      </c>
      <c r="CQ138" s="2" t="str">
        <f t="shared" si="100"/>
        <v/>
      </c>
      <c r="CR138" s="2" t="str">
        <f t="shared" si="101"/>
        <v/>
      </c>
      <c r="CS138" s="2" t="str">
        <f t="shared" si="102"/>
        <v/>
      </c>
      <c r="CT138" s="2" t="str">
        <f t="shared" si="103"/>
        <v/>
      </c>
      <c r="CU138" s="2" t="str">
        <f t="shared" si="104"/>
        <v/>
      </c>
      <c r="CV138" s="2" t="str">
        <f t="shared" si="105"/>
        <v/>
      </c>
      <c r="CW138" s="2"/>
      <c r="CX138" s="2"/>
      <c r="CY138" s="2"/>
      <c r="CZ138" s="2"/>
    </row>
    <row r="139" spans="43:104" ht="15" hidden="1" customHeight="1" x14ac:dyDescent="0.2">
      <c r="AQ139" s="13">
        <v>74</v>
      </c>
      <c r="AR139" s="12">
        <v>965000</v>
      </c>
      <c r="AS139" s="12">
        <v>740000</v>
      </c>
      <c r="AT139" s="1"/>
      <c r="AU139" s="1"/>
      <c r="AV139" s="1"/>
      <c r="AW139" s="1"/>
      <c r="AX139" s="2"/>
      <c r="AY139" s="2"/>
      <c r="AZ139" s="2"/>
      <c r="BA139" s="2"/>
      <c r="BB139" s="2"/>
      <c r="BC139" s="2"/>
      <c r="BD139" s="2"/>
      <c r="BE139" s="2"/>
      <c r="BK139" s="2"/>
      <c r="BL139" s="2"/>
      <c r="BM139" s="2"/>
      <c r="BN139" s="2"/>
      <c r="BO139" s="2"/>
      <c r="BS139" s="11" t="str">
        <f t="shared" si="106"/>
        <v/>
      </c>
      <c r="BT139" s="2" t="str">
        <f t="shared" si="106"/>
        <v/>
      </c>
      <c r="BU139" s="4" t="str">
        <f t="shared" si="106"/>
        <v/>
      </c>
      <c r="BV139" s="4" t="str">
        <f t="shared" si="106"/>
        <v/>
      </c>
      <c r="BW139" s="4" t="str">
        <f t="shared" si="106"/>
        <v/>
      </c>
      <c r="BX139" s="4" t="str">
        <f t="shared" si="106"/>
        <v/>
      </c>
      <c r="BY139" s="69" t="str">
        <f t="shared" si="106"/>
        <v/>
      </c>
      <c r="BZ139" s="2"/>
      <c r="CA139" s="21" t="str">
        <f t="shared" si="87"/>
        <v/>
      </c>
      <c r="CB139" s="21" t="str">
        <f t="shared" si="87"/>
        <v/>
      </c>
      <c r="CC139" s="2"/>
      <c r="CD139" s="2"/>
      <c r="CE139" s="1"/>
      <c r="CF139" s="2"/>
      <c r="CG139" s="2" t="str">
        <f t="shared" si="90"/>
        <v/>
      </c>
      <c r="CH139" s="2" t="str">
        <f t="shared" si="91"/>
        <v/>
      </c>
      <c r="CI139" s="2" t="str">
        <f t="shared" si="92"/>
        <v/>
      </c>
      <c r="CJ139" s="2" t="str">
        <f t="shared" si="93"/>
        <v/>
      </c>
      <c r="CK139" s="2" t="str">
        <f t="shared" si="94"/>
        <v/>
      </c>
      <c r="CL139" s="2" t="str">
        <f t="shared" si="95"/>
        <v/>
      </c>
      <c r="CM139" s="2" t="str">
        <f t="shared" si="96"/>
        <v/>
      </c>
      <c r="CN139" s="2" t="str">
        <f t="shared" si="97"/>
        <v/>
      </c>
      <c r="CO139" s="2" t="str">
        <f t="shared" si="98"/>
        <v/>
      </c>
      <c r="CP139" s="2" t="str">
        <f t="shared" si="99"/>
        <v/>
      </c>
      <c r="CQ139" s="2" t="str">
        <f t="shared" si="100"/>
        <v/>
      </c>
      <c r="CR139" s="2" t="str">
        <f t="shared" si="101"/>
        <v/>
      </c>
      <c r="CS139" s="2" t="str">
        <f t="shared" si="102"/>
        <v/>
      </c>
      <c r="CT139" s="2" t="str">
        <f t="shared" si="103"/>
        <v/>
      </c>
      <c r="CU139" s="2" t="str">
        <f t="shared" si="104"/>
        <v/>
      </c>
      <c r="CV139" s="2" t="str">
        <f t="shared" si="105"/>
        <v/>
      </c>
      <c r="CW139" s="2"/>
      <c r="CX139" s="2"/>
      <c r="CY139" s="2"/>
      <c r="CZ139" s="2"/>
    </row>
    <row r="140" spans="43:104" ht="15" hidden="1" customHeight="1" x14ac:dyDescent="0.2">
      <c r="AQ140" s="12">
        <v>75</v>
      </c>
      <c r="AR140" s="12">
        <v>970000</v>
      </c>
      <c r="AS140" s="12">
        <v>750000</v>
      </c>
      <c r="AT140" s="1"/>
      <c r="AU140" s="1"/>
      <c r="AV140" s="1"/>
      <c r="AW140" s="1"/>
      <c r="AX140" s="2"/>
      <c r="AY140" s="2"/>
      <c r="AZ140" s="2"/>
      <c r="BA140" s="2"/>
      <c r="BB140" s="2"/>
      <c r="BC140" s="2"/>
      <c r="BD140" s="2"/>
      <c r="BE140" s="2"/>
      <c r="BK140" s="79"/>
      <c r="BL140" s="2"/>
      <c r="BM140" s="2"/>
      <c r="BN140" s="2"/>
      <c r="BO140" s="2"/>
      <c r="BS140" s="11" t="str">
        <f t="shared" si="106"/>
        <v/>
      </c>
      <c r="BT140" s="2" t="str">
        <f t="shared" si="106"/>
        <v/>
      </c>
      <c r="BU140" s="4" t="str">
        <f t="shared" si="106"/>
        <v/>
      </c>
      <c r="BV140" s="4" t="str">
        <f t="shared" si="106"/>
        <v/>
      </c>
      <c r="BW140" s="4" t="str">
        <f t="shared" si="106"/>
        <v/>
      </c>
      <c r="BX140" s="4" t="str">
        <f t="shared" si="106"/>
        <v/>
      </c>
      <c r="BY140" s="69" t="str">
        <f t="shared" si="106"/>
        <v/>
      </c>
      <c r="BZ140" s="2"/>
      <c r="CA140" s="21" t="str">
        <f t="shared" si="87"/>
        <v/>
      </c>
      <c r="CB140" s="21" t="str">
        <f t="shared" si="87"/>
        <v/>
      </c>
      <c r="CC140" s="13"/>
      <c r="CD140" s="2"/>
      <c r="CE140" s="1"/>
      <c r="CF140" s="2"/>
      <c r="CG140" s="2" t="s">
        <v>1039</v>
      </c>
      <c r="CH140" s="2" t="s">
        <v>1039</v>
      </c>
      <c r="CI140" s="2" t="s">
        <v>1039</v>
      </c>
      <c r="CJ140" s="2" t="s">
        <v>1039</v>
      </c>
      <c r="CK140" s="2" t="s">
        <v>1039</v>
      </c>
      <c r="CL140" s="2" t="s">
        <v>1039</v>
      </c>
      <c r="CM140" s="2" t="s">
        <v>1039</v>
      </c>
      <c r="CN140" s="2" t="s">
        <v>1039</v>
      </c>
      <c r="CO140" s="2" t="s">
        <v>1039</v>
      </c>
      <c r="CP140" s="2" t="s">
        <v>1039</v>
      </c>
      <c r="CQ140" s="2" t="s">
        <v>1039</v>
      </c>
      <c r="CR140" s="2" t="s">
        <v>1039</v>
      </c>
      <c r="CS140" s="2" t="s">
        <v>1039</v>
      </c>
      <c r="CT140" s="2" t="s">
        <v>1039</v>
      </c>
      <c r="CU140" s="2" t="s">
        <v>1039</v>
      </c>
      <c r="CV140" s="2" t="s">
        <v>1039</v>
      </c>
      <c r="CW140" s="2"/>
      <c r="CX140" s="2"/>
      <c r="CY140" s="2"/>
      <c r="CZ140" s="2"/>
    </row>
    <row r="141" spans="43:104" ht="15" hidden="1" customHeight="1" x14ac:dyDescent="0.2">
      <c r="AQ141" s="13">
        <v>76</v>
      </c>
      <c r="AR141" s="12">
        <v>975000</v>
      </c>
      <c r="AS141" s="12">
        <v>760000</v>
      </c>
      <c r="AT141" s="1"/>
      <c r="AU141" s="1"/>
      <c r="AV141" s="1"/>
      <c r="AW141" s="1"/>
      <c r="AX141" s="2"/>
      <c r="AY141" s="2"/>
      <c r="AZ141" s="2"/>
      <c r="BA141" s="2"/>
      <c r="BB141" s="2"/>
      <c r="BC141" s="2"/>
      <c r="BD141" s="2"/>
      <c r="BE141" s="2"/>
      <c r="BK141" s="79"/>
      <c r="BL141" s="2"/>
      <c r="BM141" s="2"/>
      <c r="BN141" s="2"/>
      <c r="BO141" s="2"/>
      <c r="BS141" s="11" t="s">
        <v>1039</v>
      </c>
      <c r="BT141" s="2" t="s">
        <v>1039</v>
      </c>
      <c r="BU141" s="3" t="s">
        <v>1039</v>
      </c>
      <c r="BV141" s="3" t="s">
        <v>1039</v>
      </c>
      <c r="BW141" s="2" t="s">
        <v>1039</v>
      </c>
      <c r="BX141" s="2" t="s">
        <v>1039</v>
      </c>
      <c r="BY141" s="2" t="s">
        <v>1039</v>
      </c>
      <c r="BZ141" s="2"/>
      <c r="CA141" s="21" t="str">
        <f t="shared" si="87"/>
        <v/>
      </c>
      <c r="CB141" s="21" t="str">
        <f t="shared" si="87"/>
        <v/>
      </c>
      <c r="CC141" s="13"/>
      <c r="CD141" s="2"/>
      <c r="CE141" s="1"/>
      <c r="CF141" s="2"/>
      <c r="CG141" s="2"/>
      <c r="CH141" s="2"/>
      <c r="CI141" s="2"/>
      <c r="CJ141" s="2"/>
      <c r="CK141" s="2"/>
      <c r="CL141" s="2"/>
      <c r="CM141" s="2"/>
      <c r="CN141" s="2"/>
      <c r="CO141" s="2"/>
      <c r="CP141" s="2"/>
      <c r="CQ141" s="2"/>
      <c r="CR141" s="2"/>
      <c r="CS141" s="2"/>
      <c r="CT141" s="2"/>
      <c r="CU141" s="2"/>
      <c r="CV141" s="2"/>
      <c r="CW141" s="2"/>
      <c r="CX141" s="2"/>
      <c r="CY141" s="2"/>
      <c r="CZ141" s="2"/>
    </row>
    <row r="142" spans="43:104" ht="15" hidden="1" customHeight="1" x14ac:dyDescent="0.2">
      <c r="AQ142" s="13">
        <v>77</v>
      </c>
      <c r="AR142" s="12">
        <v>980000</v>
      </c>
      <c r="AS142" s="12">
        <v>770000</v>
      </c>
      <c r="AT142" s="1"/>
      <c r="AU142" s="1"/>
      <c r="AV142" s="1"/>
      <c r="AW142" s="1"/>
      <c r="AX142" s="2"/>
      <c r="AY142" s="2"/>
      <c r="AZ142" s="2"/>
      <c r="BA142" s="2"/>
      <c r="BB142" s="2"/>
      <c r="BC142" s="2"/>
      <c r="BD142" s="2"/>
      <c r="BE142" s="2"/>
      <c r="BK142" s="79"/>
      <c r="BL142" s="2"/>
      <c r="BM142" s="2"/>
      <c r="BN142" s="2"/>
      <c r="BO142" s="2"/>
      <c r="BS142" s="11"/>
      <c r="BT142" s="2"/>
      <c r="BU142" s="3"/>
      <c r="BV142" s="3"/>
      <c r="BW142" s="2"/>
      <c r="BX142" s="2"/>
      <c r="BY142" s="2"/>
      <c r="BZ142" s="2"/>
      <c r="CA142" s="21" t="str">
        <f t="shared" si="87"/>
        <v/>
      </c>
      <c r="CB142" s="21" t="str">
        <f t="shared" si="87"/>
        <v/>
      </c>
      <c r="CC142" s="2"/>
      <c r="CD142" s="2"/>
      <c r="CE142" s="1"/>
      <c r="CF142" s="2"/>
      <c r="CG142" s="2"/>
      <c r="CH142" s="2"/>
      <c r="CI142" s="2"/>
      <c r="CJ142" s="2"/>
      <c r="CK142" s="2"/>
      <c r="CL142" s="2"/>
      <c r="CM142" s="2"/>
      <c r="CN142" s="2"/>
      <c r="CO142" s="2"/>
      <c r="CP142" s="2"/>
      <c r="CQ142" s="2"/>
      <c r="CR142" s="2"/>
      <c r="CS142" s="2"/>
      <c r="CT142" s="2"/>
      <c r="CU142" s="2"/>
      <c r="CV142" s="2"/>
      <c r="CW142" s="2"/>
      <c r="CX142" s="2"/>
      <c r="CY142" s="2"/>
      <c r="CZ142" s="2"/>
    </row>
    <row r="143" spans="43:104" ht="15" hidden="1" customHeight="1" x14ac:dyDescent="0.2">
      <c r="AQ143" s="12">
        <v>78</v>
      </c>
      <c r="AR143" s="12">
        <v>985000</v>
      </c>
      <c r="AS143" s="12">
        <v>780000</v>
      </c>
      <c r="AT143" s="1"/>
      <c r="AU143" s="1"/>
      <c r="AV143" s="1"/>
      <c r="AW143" s="1"/>
      <c r="AX143" s="2"/>
      <c r="AY143" s="2"/>
      <c r="AZ143" s="2"/>
      <c r="BA143" s="2"/>
      <c r="BB143" s="2"/>
      <c r="BC143" s="2"/>
      <c r="BD143" s="2"/>
      <c r="BE143" s="2"/>
      <c r="BK143" s="79"/>
      <c r="BL143" s="2"/>
      <c r="BM143" s="2"/>
      <c r="BN143" s="2"/>
      <c r="BO143" s="2"/>
      <c r="BS143" s="11"/>
      <c r="BT143" s="2"/>
      <c r="BU143" s="3"/>
      <c r="BV143" s="3"/>
      <c r="BW143" s="2"/>
      <c r="BX143" s="2"/>
      <c r="BY143" s="2"/>
      <c r="BZ143" s="2"/>
      <c r="CA143" s="21" t="str">
        <f t="shared" si="87"/>
        <v/>
      </c>
      <c r="CB143" s="21" t="str">
        <f t="shared" si="87"/>
        <v/>
      </c>
      <c r="CC143" s="2"/>
      <c r="CD143" s="2"/>
      <c r="CE143" s="1"/>
      <c r="CF143" s="2"/>
      <c r="CG143" s="2"/>
      <c r="CH143" s="2"/>
      <c r="CI143" s="2"/>
      <c r="CJ143" s="2"/>
      <c r="CK143" s="2"/>
      <c r="CL143" s="2"/>
      <c r="CM143" s="2"/>
      <c r="CN143" s="2"/>
      <c r="CO143" s="2"/>
      <c r="CP143" s="2"/>
      <c r="CQ143" s="2"/>
      <c r="CR143" s="2"/>
      <c r="CS143" s="2"/>
      <c r="CT143" s="2"/>
      <c r="CU143" s="2"/>
      <c r="CV143" s="2"/>
      <c r="CW143" s="2"/>
      <c r="CX143" s="2"/>
      <c r="CY143" s="2"/>
      <c r="CZ143" s="2"/>
    </row>
    <row r="144" spans="43:104" ht="15" hidden="1" customHeight="1" x14ac:dyDescent="0.2">
      <c r="AQ144" s="13">
        <v>79</v>
      </c>
      <c r="AR144" s="12">
        <v>990000</v>
      </c>
      <c r="AS144" s="12">
        <v>790000</v>
      </c>
      <c r="AT144" s="1"/>
      <c r="AU144" s="1"/>
      <c r="AV144" s="1"/>
      <c r="AW144" s="1"/>
      <c r="AX144" s="2"/>
      <c r="AY144" s="2"/>
      <c r="AZ144" s="2"/>
      <c r="BA144" s="2"/>
      <c r="BB144" s="2"/>
      <c r="BC144" s="2"/>
      <c r="BD144" s="2"/>
      <c r="BE144" s="2"/>
      <c r="BK144" s="84"/>
      <c r="BL144" s="2"/>
      <c r="BM144" s="2"/>
      <c r="BN144" s="2"/>
      <c r="BO144" s="2"/>
      <c r="BS144" s="11"/>
      <c r="BT144" s="2"/>
      <c r="BU144" s="3"/>
      <c r="BV144" s="3"/>
      <c r="BW144" s="2"/>
      <c r="BX144" s="2"/>
      <c r="BY144" s="2"/>
      <c r="BZ144" s="2"/>
      <c r="CA144" s="21" t="str">
        <f t="shared" si="87"/>
        <v/>
      </c>
      <c r="CB144" s="21" t="str">
        <f t="shared" si="87"/>
        <v/>
      </c>
      <c r="CC144" s="2"/>
      <c r="CD144" s="2"/>
      <c r="CE144" s="1"/>
      <c r="CF144" s="2"/>
      <c r="CG144" s="2"/>
      <c r="CH144" s="2"/>
      <c r="CI144" s="2"/>
      <c r="CJ144" s="2"/>
      <c r="CK144" s="2"/>
      <c r="CL144" s="2"/>
      <c r="CM144" s="2"/>
      <c r="CN144" s="2"/>
      <c r="CO144" s="2"/>
      <c r="CP144" s="2"/>
      <c r="CQ144" s="2"/>
      <c r="CR144" s="2"/>
      <c r="CS144" s="2"/>
      <c r="CT144" s="2"/>
      <c r="CU144" s="2"/>
      <c r="CV144" s="2"/>
      <c r="CW144" s="2"/>
      <c r="CX144" s="2"/>
      <c r="CY144" s="2"/>
      <c r="CZ144" s="2"/>
    </row>
    <row r="145" spans="43:104" ht="15" hidden="1" customHeight="1" x14ac:dyDescent="0.2">
      <c r="AQ145" s="13">
        <v>80</v>
      </c>
      <c r="AR145" s="12">
        <v>995000</v>
      </c>
      <c r="AS145" s="12">
        <v>800000</v>
      </c>
      <c r="AT145" s="1"/>
      <c r="AU145" s="1"/>
      <c r="AV145" s="1"/>
      <c r="AW145" s="1"/>
      <c r="AX145" s="2"/>
      <c r="AY145" s="2"/>
      <c r="AZ145" s="2"/>
      <c r="BA145" s="2"/>
      <c r="BB145" s="2"/>
      <c r="BC145" s="2"/>
      <c r="BD145" s="2"/>
      <c r="BE145" s="2"/>
      <c r="BK145" s="84"/>
      <c r="BL145" s="2"/>
      <c r="BM145" s="2"/>
      <c r="BN145" s="2"/>
      <c r="BO145" s="2"/>
      <c r="BS145" s="11"/>
      <c r="BT145" s="2"/>
      <c r="BU145" s="3"/>
      <c r="BV145" s="3"/>
      <c r="BW145" s="2"/>
      <c r="BX145" s="2"/>
      <c r="BY145" s="2"/>
      <c r="BZ145" s="2"/>
      <c r="CA145" s="2" t="s">
        <v>1039</v>
      </c>
      <c r="CB145" s="2" t="s">
        <v>1039</v>
      </c>
      <c r="CC145" s="13"/>
      <c r="CD145" s="2"/>
      <c r="CE145" s="1"/>
      <c r="CF145" s="2"/>
      <c r="CG145" s="2"/>
      <c r="CH145" s="2"/>
      <c r="CI145" s="2"/>
      <c r="CJ145" s="2"/>
      <c r="CK145" s="2"/>
      <c r="CL145" s="2"/>
      <c r="CM145" s="2"/>
      <c r="CN145" s="2"/>
      <c r="CO145" s="2"/>
      <c r="CP145" s="2"/>
      <c r="CQ145" s="2"/>
      <c r="CR145" s="2"/>
      <c r="CS145" s="2"/>
      <c r="CT145" s="2"/>
      <c r="CU145" s="2"/>
      <c r="CV145" s="2"/>
      <c r="CW145" s="2"/>
      <c r="CX145" s="2"/>
      <c r="CY145" s="2"/>
      <c r="CZ145" s="2"/>
    </row>
    <row r="146" spans="43:104" ht="15" hidden="1" customHeight="1" x14ac:dyDescent="0.2">
      <c r="AQ146" s="12">
        <v>81</v>
      </c>
      <c r="AR146" s="12">
        <v>1000000</v>
      </c>
      <c r="AS146" s="12">
        <v>810000</v>
      </c>
      <c r="AT146" s="1"/>
      <c r="AU146" s="1"/>
      <c r="AV146" s="1"/>
      <c r="AW146" s="1"/>
      <c r="AX146" s="2"/>
      <c r="AY146" s="2"/>
      <c r="AZ146" s="2"/>
      <c r="BA146" s="2"/>
      <c r="BB146" s="2"/>
      <c r="BC146" s="2"/>
      <c r="BD146" s="2"/>
      <c r="BE146" s="2"/>
      <c r="BK146" s="84"/>
      <c r="BL146" s="2"/>
      <c r="BM146" s="2"/>
      <c r="BN146" s="2"/>
      <c r="BO146" s="2"/>
      <c r="BS146" s="11"/>
      <c r="BT146" s="2"/>
      <c r="BU146" s="3"/>
      <c r="BV146" s="3"/>
      <c r="BW146" s="2"/>
      <c r="BX146" s="2"/>
      <c r="BY146" s="2"/>
      <c r="BZ146" s="2"/>
      <c r="CA146" s="21"/>
      <c r="CB146" s="1"/>
      <c r="CC146" s="13"/>
      <c r="CD146" s="2"/>
      <c r="CE146" s="1"/>
      <c r="CF146" s="2"/>
      <c r="CG146" s="2"/>
      <c r="CH146" s="1"/>
      <c r="CI146" s="2"/>
      <c r="CJ146" s="2"/>
      <c r="CK146" s="2"/>
      <c r="CL146" s="2"/>
      <c r="CM146" s="2"/>
      <c r="CN146" s="2"/>
      <c r="CO146" s="2"/>
      <c r="CP146" s="2"/>
      <c r="CQ146" s="2"/>
      <c r="CR146" s="2"/>
      <c r="CS146" s="2"/>
      <c r="CT146" s="2"/>
      <c r="CU146" s="2"/>
      <c r="CV146" s="2"/>
      <c r="CW146" s="2"/>
      <c r="CX146" s="2"/>
      <c r="CY146" s="2"/>
      <c r="CZ146" s="2"/>
    </row>
    <row r="147" spans="43:104" ht="15" hidden="1" customHeight="1" x14ac:dyDescent="0.2">
      <c r="AQ147" s="13">
        <v>82</v>
      </c>
      <c r="AR147" s="12">
        <v>1005000</v>
      </c>
      <c r="AS147" s="12">
        <v>820000</v>
      </c>
      <c r="AT147" s="1"/>
      <c r="AU147" s="1"/>
      <c r="AV147" s="1"/>
      <c r="AW147" s="1"/>
      <c r="AX147" s="2"/>
      <c r="AY147" s="2"/>
      <c r="AZ147" s="2"/>
      <c r="BA147" s="2"/>
      <c r="BB147" s="2"/>
      <c r="BC147" s="2"/>
      <c r="BD147" s="2"/>
      <c r="BE147" s="2"/>
      <c r="BK147" s="84"/>
      <c r="BL147" s="2"/>
      <c r="BM147" s="2"/>
      <c r="BN147" s="2"/>
      <c r="BO147" s="2"/>
      <c r="BS147" s="11"/>
      <c r="BT147" s="2"/>
      <c r="BU147" s="3"/>
      <c r="BV147" s="3"/>
      <c r="BW147" s="2"/>
      <c r="BX147" s="2"/>
      <c r="BY147" s="2"/>
      <c r="BZ147" s="2"/>
      <c r="CA147" s="21"/>
      <c r="CB147" s="1"/>
      <c r="CC147" s="13"/>
      <c r="CD147" s="2"/>
      <c r="CE147" s="1"/>
      <c r="CF147" s="2"/>
      <c r="CG147" s="2"/>
      <c r="CH147" s="1"/>
      <c r="CI147" s="2"/>
      <c r="CJ147" s="2"/>
      <c r="CK147" s="2"/>
      <c r="CL147" s="2"/>
      <c r="CM147" s="2"/>
      <c r="CN147" s="2"/>
      <c r="CO147" s="2"/>
      <c r="CP147" s="2"/>
      <c r="CQ147" s="2"/>
      <c r="CR147" s="2"/>
      <c r="CS147" s="2"/>
      <c r="CT147" s="2"/>
      <c r="CU147" s="2"/>
      <c r="CV147" s="2"/>
      <c r="CW147" s="2"/>
      <c r="CX147" s="2"/>
      <c r="CY147" s="2"/>
      <c r="CZ147" s="2"/>
    </row>
    <row r="148" spans="43:104" ht="15" hidden="1" customHeight="1" x14ac:dyDescent="0.2">
      <c r="AQ148" s="13">
        <v>83</v>
      </c>
      <c r="AR148" s="12">
        <v>1010000</v>
      </c>
      <c r="AS148" s="12">
        <v>830000</v>
      </c>
      <c r="AT148" s="1"/>
      <c r="AU148" s="1"/>
      <c r="AV148" s="1"/>
      <c r="AW148" s="1"/>
      <c r="AX148" s="2"/>
      <c r="AY148" s="2"/>
      <c r="AZ148" s="2"/>
      <c r="BA148" s="2"/>
      <c r="BB148" s="2"/>
      <c r="BC148" s="2"/>
      <c r="BD148" s="2"/>
      <c r="BE148" s="2"/>
      <c r="BK148" s="84"/>
      <c r="BL148" s="2"/>
      <c r="BM148" s="2"/>
      <c r="BN148" s="2"/>
      <c r="BO148" s="2"/>
      <c r="BS148" s="11"/>
      <c r="BT148" s="2"/>
      <c r="BU148" s="3"/>
      <c r="BV148" s="3"/>
      <c r="BW148" s="2"/>
      <c r="BX148" s="2"/>
      <c r="BY148" s="2"/>
      <c r="BZ148" s="2"/>
      <c r="CA148" s="21"/>
      <c r="CB148" s="2"/>
      <c r="CC148" s="13"/>
      <c r="CD148" s="2"/>
      <c r="CE148" s="1"/>
      <c r="CF148" s="2"/>
      <c r="CG148" s="2"/>
      <c r="CH148" s="1"/>
      <c r="CI148" s="2"/>
      <c r="CJ148" s="2"/>
      <c r="CK148" s="2"/>
      <c r="CL148" s="2"/>
      <c r="CM148" s="2"/>
      <c r="CN148" s="2"/>
      <c r="CO148" s="2"/>
      <c r="CP148" s="2"/>
      <c r="CQ148" s="2"/>
      <c r="CR148" s="2"/>
      <c r="CS148" s="2"/>
      <c r="CT148" s="2"/>
      <c r="CU148" s="2"/>
      <c r="CV148" s="2"/>
      <c r="CW148" s="2"/>
      <c r="CX148" s="2"/>
      <c r="CY148" s="2"/>
      <c r="CZ148" s="2"/>
    </row>
    <row r="149" spans="43:104" ht="15" hidden="1" customHeight="1" x14ac:dyDescent="0.2">
      <c r="AQ149" s="12">
        <v>84</v>
      </c>
      <c r="AR149" s="12">
        <v>1015000</v>
      </c>
      <c r="AS149" s="12">
        <v>840000</v>
      </c>
      <c r="AT149" s="1"/>
      <c r="AU149" s="1"/>
      <c r="AV149" s="1"/>
      <c r="AW149" s="1"/>
      <c r="AX149" s="2"/>
      <c r="AY149" s="2"/>
      <c r="AZ149" s="2"/>
      <c r="BA149" s="2"/>
      <c r="BB149" s="2"/>
      <c r="BC149" s="2"/>
      <c r="BD149" s="2"/>
      <c r="BE149" s="2"/>
      <c r="BK149" s="84"/>
      <c r="BL149" s="2"/>
      <c r="BM149" s="2"/>
      <c r="BN149" s="2"/>
      <c r="BO149" s="2"/>
      <c r="BS149" s="11"/>
      <c r="BT149" s="2"/>
      <c r="BU149" s="3"/>
      <c r="BV149" s="3"/>
      <c r="BW149" s="2"/>
      <c r="BX149" s="2"/>
      <c r="BY149" s="2"/>
      <c r="BZ149" s="2"/>
      <c r="CA149" s="21"/>
      <c r="CB149" s="2"/>
      <c r="CC149" s="13"/>
      <c r="CD149" s="2"/>
      <c r="CE149" s="1"/>
      <c r="CF149" s="2"/>
      <c r="CG149" s="2"/>
      <c r="CH149" s="1"/>
      <c r="CI149" s="2"/>
      <c r="CJ149" s="2"/>
      <c r="CK149" s="2"/>
      <c r="CL149" s="2"/>
      <c r="CM149" s="2"/>
      <c r="CN149" s="2"/>
      <c r="CO149" s="2"/>
      <c r="CP149" s="2"/>
      <c r="CQ149" s="2"/>
      <c r="CR149" s="2"/>
      <c r="CS149" s="2"/>
      <c r="CT149" s="2"/>
      <c r="CU149" s="2"/>
      <c r="CV149" s="2"/>
      <c r="CW149" s="2"/>
      <c r="CX149" s="2"/>
      <c r="CY149" s="2"/>
      <c r="CZ149" s="2"/>
    </row>
    <row r="150" spans="43:104" ht="15" hidden="1" customHeight="1" x14ac:dyDescent="0.2">
      <c r="AQ150" s="13">
        <v>85</v>
      </c>
      <c r="AR150" s="12">
        <v>1020000</v>
      </c>
      <c r="AS150" s="12">
        <v>850000</v>
      </c>
      <c r="AT150" s="1"/>
      <c r="AU150" s="1"/>
      <c r="AV150" s="1"/>
      <c r="AW150" s="1"/>
      <c r="AX150" s="2"/>
      <c r="AY150" s="2"/>
      <c r="AZ150" s="2"/>
      <c r="BA150" s="2"/>
      <c r="BB150" s="2"/>
      <c r="BC150" s="2"/>
      <c r="BD150" s="2"/>
      <c r="BE150" s="2"/>
      <c r="BK150" s="84"/>
      <c r="BL150" s="2"/>
      <c r="BM150" s="2"/>
      <c r="BN150" s="2"/>
      <c r="BO150" s="2"/>
      <c r="BS150" s="11"/>
      <c r="BT150" s="2"/>
      <c r="BU150" s="3"/>
      <c r="BV150" s="3"/>
      <c r="BW150" s="2"/>
      <c r="BX150" s="2"/>
      <c r="BY150" s="2"/>
      <c r="BZ150" s="2"/>
      <c r="CA150" s="21"/>
      <c r="CB150" s="2"/>
      <c r="CC150" s="13"/>
      <c r="CD150" s="2"/>
      <c r="CE150" s="1"/>
      <c r="CF150" s="2"/>
      <c r="CG150" s="2"/>
      <c r="CH150" s="1"/>
      <c r="CI150" s="2"/>
      <c r="CJ150" s="2"/>
      <c r="CK150" s="2"/>
      <c r="CL150" s="2"/>
      <c r="CM150" s="2"/>
      <c r="CN150" s="2"/>
      <c r="CO150" s="2"/>
      <c r="CP150" s="2"/>
      <c r="CQ150" s="2"/>
      <c r="CR150" s="2"/>
      <c r="CS150" s="2"/>
      <c r="CT150" s="2"/>
      <c r="CU150" s="2"/>
      <c r="CV150" s="2"/>
      <c r="CW150" s="2"/>
      <c r="CX150" s="2"/>
      <c r="CY150" s="2"/>
      <c r="CZ150" s="2"/>
    </row>
    <row r="151" spans="43:104" ht="15" hidden="1" customHeight="1" x14ac:dyDescent="0.2">
      <c r="AQ151" s="13">
        <v>86</v>
      </c>
      <c r="AR151" s="12">
        <v>1025000</v>
      </c>
      <c r="AS151" s="12">
        <v>860000</v>
      </c>
      <c r="AT151" s="1"/>
      <c r="AU151" s="1"/>
      <c r="AV151" s="1"/>
      <c r="AW151" s="1"/>
      <c r="AX151" s="2"/>
      <c r="AY151" s="2"/>
      <c r="AZ151" s="2"/>
      <c r="BA151" s="2"/>
      <c r="BB151" s="2"/>
      <c r="BC151" s="2"/>
      <c r="BD151" s="2"/>
      <c r="BE151" s="2"/>
      <c r="BK151" s="84"/>
      <c r="BL151" s="2"/>
      <c r="BM151" s="2"/>
      <c r="BN151" s="2"/>
      <c r="BO151" s="2"/>
      <c r="BS151" s="11"/>
      <c r="BT151" s="2"/>
      <c r="BU151" s="3"/>
      <c r="BV151" s="3"/>
      <c r="BW151" s="2"/>
      <c r="BX151" s="2"/>
      <c r="BY151" s="2"/>
      <c r="BZ151" s="2"/>
      <c r="CA151" s="21"/>
      <c r="CB151" s="2"/>
      <c r="CC151" s="2"/>
      <c r="CD151" s="2"/>
      <c r="CE151" s="1"/>
      <c r="CF151" s="2"/>
      <c r="CG151" s="2"/>
      <c r="CH151" s="1"/>
      <c r="CI151" s="2"/>
      <c r="CJ151" s="2"/>
      <c r="CK151" s="2"/>
      <c r="CL151" s="2"/>
      <c r="CM151" s="2"/>
      <c r="CN151" s="2"/>
      <c r="CO151" s="2"/>
      <c r="CP151" s="2"/>
      <c r="CQ151" s="2"/>
      <c r="CR151" s="2"/>
      <c r="CS151" s="2"/>
      <c r="CT151" s="2"/>
      <c r="CU151" s="2"/>
      <c r="CV151" s="2"/>
      <c r="CW151" s="2"/>
      <c r="CX151" s="2"/>
      <c r="CY151" s="2"/>
      <c r="CZ151" s="2"/>
    </row>
    <row r="152" spans="43:104" ht="15" hidden="1" customHeight="1" x14ac:dyDescent="0.2">
      <c r="AQ152" s="12">
        <v>87</v>
      </c>
      <c r="AR152" s="12">
        <v>1030000</v>
      </c>
      <c r="AS152" s="12">
        <v>870000</v>
      </c>
      <c r="AT152" s="1"/>
      <c r="AU152" s="1"/>
      <c r="AV152" s="1"/>
      <c r="AW152" s="1"/>
      <c r="AX152" s="2"/>
      <c r="AY152" s="2"/>
      <c r="AZ152" s="2"/>
      <c r="BA152" s="2"/>
      <c r="BB152" s="2"/>
      <c r="BC152" s="2"/>
      <c r="BD152" s="2"/>
      <c r="BE152" s="2"/>
      <c r="BK152" s="84"/>
      <c r="BL152" s="2"/>
      <c r="BM152" s="2"/>
      <c r="BN152" s="2"/>
      <c r="BO152" s="2"/>
      <c r="BS152" s="11"/>
      <c r="BT152" s="2"/>
      <c r="BU152" s="3"/>
      <c r="BV152" s="3"/>
      <c r="BW152" s="2"/>
      <c r="BX152" s="2"/>
      <c r="BY152" s="2"/>
      <c r="BZ152" s="2"/>
      <c r="CA152" s="21"/>
      <c r="CB152" s="2"/>
      <c r="CC152" s="2"/>
      <c r="CD152" s="2"/>
      <c r="CE152" s="1"/>
      <c r="CF152" s="1"/>
      <c r="CG152" s="1"/>
      <c r="CH152" s="1"/>
      <c r="CI152" s="2"/>
      <c r="CJ152" s="2"/>
      <c r="CK152" s="2"/>
      <c r="CL152" s="2"/>
      <c r="CM152" s="2"/>
      <c r="CN152" s="2"/>
      <c r="CO152" s="2"/>
      <c r="CP152" s="2"/>
      <c r="CQ152" s="2"/>
      <c r="CR152" s="2"/>
      <c r="CS152" s="2"/>
      <c r="CT152" s="2"/>
      <c r="CU152" s="2"/>
      <c r="CV152" s="2"/>
      <c r="CW152" s="2"/>
      <c r="CX152" s="2"/>
      <c r="CY152" s="2"/>
      <c r="CZ152" s="2"/>
    </row>
    <row r="153" spans="43:104" ht="15" hidden="1" customHeight="1" x14ac:dyDescent="0.2">
      <c r="AQ153" s="13">
        <v>88</v>
      </c>
      <c r="AR153" s="12">
        <v>1035000</v>
      </c>
      <c r="AS153" s="12">
        <v>880000</v>
      </c>
      <c r="AT153" s="1"/>
      <c r="AU153" s="1"/>
      <c r="AV153" s="1"/>
      <c r="AW153" s="1"/>
      <c r="AX153" s="2"/>
      <c r="AY153" s="2"/>
      <c r="AZ153" s="2"/>
      <c r="BA153" s="2"/>
      <c r="BB153" s="2"/>
      <c r="BC153" s="2"/>
      <c r="BD153" s="2"/>
      <c r="BE153" s="2"/>
      <c r="BK153" s="84"/>
      <c r="BL153" s="2"/>
      <c r="BM153" s="2"/>
      <c r="BN153" s="2"/>
      <c r="BO153" s="2"/>
      <c r="BS153" s="11"/>
      <c r="BT153" s="2"/>
      <c r="BU153" s="3"/>
      <c r="BV153" s="3"/>
      <c r="BW153" s="2"/>
      <c r="BX153" s="2"/>
      <c r="BY153" s="2"/>
      <c r="BZ153" s="2"/>
      <c r="CA153" s="21"/>
      <c r="CB153" s="1"/>
      <c r="CC153" s="13"/>
      <c r="CD153" s="2"/>
      <c r="CE153" s="1"/>
      <c r="CF153" s="1"/>
      <c r="CG153" s="1"/>
      <c r="CH153" s="1"/>
      <c r="CI153" s="2"/>
      <c r="CJ153" s="2"/>
      <c r="CK153" s="2"/>
      <c r="CL153" s="2"/>
      <c r="CM153" s="2"/>
      <c r="CN153" s="2"/>
      <c r="CO153" s="2"/>
      <c r="CP153" s="2"/>
      <c r="CQ153" s="2"/>
      <c r="CR153" s="2"/>
      <c r="CS153" s="2"/>
      <c r="CT153" s="2"/>
      <c r="CU153" s="2"/>
      <c r="CV153" s="2"/>
      <c r="CW153" s="2"/>
      <c r="CX153" s="2"/>
      <c r="CY153" s="2"/>
      <c r="CZ153" s="2"/>
    </row>
    <row r="154" spans="43:104" ht="15" hidden="1" customHeight="1" x14ac:dyDescent="0.2">
      <c r="AQ154" s="13">
        <v>89</v>
      </c>
      <c r="AR154" s="12">
        <v>1040000</v>
      </c>
      <c r="AS154" s="12">
        <v>890000</v>
      </c>
      <c r="AT154" s="1"/>
      <c r="AU154" s="1"/>
      <c r="AV154" s="1"/>
      <c r="AW154" s="1"/>
      <c r="AX154" s="2"/>
      <c r="AY154" s="2"/>
      <c r="AZ154" s="2"/>
      <c r="BA154" s="2"/>
      <c r="BB154" s="2"/>
      <c r="BC154" s="2"/>
      <c r="BD154" s="2"/>
      <c r="BE154" s="2"/>
      <c r="BK154" s="84"/>
      <c r="BL154" s="2"/>
      <c r="BM154" s="2"/>
      <c r="BN154" s="2"/>
      <c r="BO154" s="2"/>
      <c r="BS154" s="11"/>
      <c r="BT154" s="2"/>
      <c r="BU154" s="3"/>
      <c r="BV154" s="3"/>
      <c r="BW154" s="2"/>
      <c r="BX154" s="2"/>
      <c r="BY154" s="2"/>
      <c r="BZ154" s="2"/>
      <c r="CA154" s="21"/>
      <c r="CB154" s="1"/>
      <c r="CC154" s="13"/>
      <c r="CD154" s="2"/>
      <c r="CE154" s="1"/>
      <c r="CF154" s="1"/>
      <c r="CG154" s="1"/>
      <c r="CH154" s="1"/>
      <c r="CI154" s="2"/>
      <c r="CJ154" s="2"/>
      <c r="CK154" s="2"/>
      <c r="CL154" s="2"/>
      <c r="CM154" s="2"/>
      <c r="CN154" s="2"/>
      <c r="CO154" s="2"/>
      <c r="CP154" s="2"/>
      <c r="CQ154" s="2"/>
      <c r="CR154" s="2"/>
      <c r="CS154" s="2"/>
      <c r="CT154" s="2"/>
      <c r="CU154" s="2"/>
      <c r="CV154" s="2"/>
      <c r="CW154" s="2"/>
      <c r="CX154" s="2"/>
      <c r="CY154" s="2"/>
      <c r="CZ154" s="2"/>
    </row>
    <row r="155" spans="43:104" ht="15" hidden="1" customHeight="1" x14ac:dyDescent="0.2">
      <c r="AQ155" s="12">
        <v>90</v>
      </c>
      <c r="AR155" s="12">
        <v>1045000</v>
      </c>
      <c r="AS155" s="12">
        <v>900000</v>
      </c>
      <c r="AT155" s="1"/>
      <c r="AU155" s="1"/>
      <c r="AV155" s="1"/>
      <c r="AW155" s="1"/>
      <c r="AX155" s="2"/>
      <c r="AY155" s="2"/>
      <c r="AZ155" s="2"/>
      <c r="BA155" s="2"/>
      <c r="BB155" s="2"/>
      <c r="BC155" s="2"/>
      <c r="BD155" s="2"/>
      <c r="BE155" s="2"/>
      <c r="BK155" s="84"/>
      <c r="BL155" s="2"/>
      <c r="BM155" s="2"/>
      <c r="BN155" s="2"/>
      <c r="BO155" s="2"/>
      <c r="BS155" s="11"/>
      <c r="BT155" s="2"/>
      <c r="BU155" s="3"/>
      <c r="BV155" s="3"/>
      <c r="BW155" s="2"/>
      <c r="BX155" s="2"/>
      <c r="BY155" s="2"/>
      <c r="BZ155" s="2"/>
      <c r="CA155" s="21"/>
      <c r="CB155" s="1"/>
      <c r="CC155" s="13"/>
      <c r="CD155" s="2"/>
      <c r="CE155" s="1"/>
      <c r="CF155" s="1"/>
      <c r="CG155" s="1"/>
      <c r="CH155" s="1"/>
      <c r="CI155" s="2"/>
      <c r="CJ155" s="2"/>
      <c r="CK155" s="2"/>
      <c r="CL155" s="2"/>
      <c r="CM155" s="2"/>
      <c r="CN155" s="2"/>
      <c r="CO155" s="2"/>
      <c r="CP155" s="2"/>
      <c r="CQ155" s="2"/>
      <c r="CR155" s="2"/>
      <c r="CS155" s="2"/>
      <c r="CT155" s="2"/>
      <c r="CU155" s="2"/>
      <c r="CV155" s="2"/>
      <c r="CW155" s="2"/>
      <c r="CX155" s="2"/>
      <c r="CY155" s="2"/>
      <c r="CZ155" s="2"/>
    </row>
    <row r="156" spans="43:104" ht="15" hidden="1" customHeight="1" x14ac:dyDescent="0.2">
      <c r="AQ156" s="13">
        <v>91</v>
      </c>
      <c r="AR156" s="12">
        <v>1050000</v>
      </c>
      <c r="AS156" s="12">
        <v>910000</v>
      </c>
      <c r="AT156" s="1"/>
      <c r="AU156" s="1"/>
      <c r="AV156" s="1"/>
      <c r="AW156" s="1"/>
      <c r="AX156" s="2"/>
      <c r="AY156" s="2"/>
      <c r="AZ156" s="2"/>
      <c r="BA156" s="2"/>
      <c r="BB156" s="2"/>
      <c r="BC156" s="2"/>
      <c r="BD156" s="2"/>
      <c r="BE156" s="2"/>
      <c r="BK156" s="84"/>
      <c r="BL156" s="2"/>
      <c r="BM156" s="2"/>
      <c r="BN156" s="2"/>
      <c r="BO156" s="2"/>
      <c r="BS156" s="11"/>
      <c r="BT156" s="2"/>
      <c r="BU156" s="3"/>
      <c r="BV156" s="3"/>
      <c r="BW156" s="2"/>
      <c r="BX156" s="2"/>
      <c r="BY156" s="2"/>
      <c r="BZ156" s="2"/>
      <c r="CA156" s="21" t="str">
        <f t="shared" ref="CA156:CA163" si="107">""</f>
        <v/>
      </c>
      <c r="CB156" s="1"/>
      <c r="CC156" s="13"/>
      <c r="CD156" s="2"/>
      <c r="CE156" s="1"/>
      <c r="CF156" s="1"/>
      <c r="CG156" s="1"/>
      <c r="CH156" s="1"/>
      <c r="CI156" s="2"/>
      <c r="CJ156" s="2"/>
      <c r="CK156" s="2"/>
      <c r="CL156" s="2"/>
      <c r="CM156" s="2"/>
      <c r="CN156" s="2"/>
      <c r="CO156" s="2"/>
      <c r="CP156" s="2"/>
      <c r="CQ156" s="2"/>
      <c r="CR156" s="2"/>
      <c r="CS156" s="2"/>
      <c r="CT156" s="2"/>
      <c r="CU156" s="2"/>
      <c r="CV156" s="2"/>
      <c r="CW156" s="2"/>
      <c r="CX156" s="2"/>
      <c r="CY156" s="2"/>
      <c r="CZ156" s="2"/>
    </row>
    <row r="157" spans="43:104" ht="15" hidden="1" customHeight="1" x14ac:dyDescent="0.2">
      <c r="AQ157" s="13">
        <v>92</v>
      </c>
      <c r="AR157" s="12">
        <v>1055000</v>
      </c>
      <c r="AS157" s="12">
        <v>920000</v>
      </c>
      <c r="AT157" s="1"/>
      <c r="AU157" s="1"/>
      <c r="AV157" s="1"/>
      <c r="AW157" s="1"/>
      <c r="AX157" s="2"/>
      <c r="AY157" s="2"/>
      <c r="AZ157" s="2"/>
      <c r="BA157" s="2"/>
      <c r="BB157" s="2"/>
      <c r="BC157" s="2"/>
      <c r="BD157" s="2"/>
      <c r="BE157" s="2"/>
      <c r="BK157" s="84"/>
      <c r="BL157" s="2"/>
      <c r="BM157" s="2"/>
      <c r="BN157" s="2"/>
      <c r="BO157" s="2"/>
      <c r="BS157" s="11"/>
      <c r="BT157" s="2"/>
      <c r="BU157" s="3"/>
      <c r="BV157" s="3"/>
      <c r="BW157" s="2"/>
      <c r="BX157" s="2"/>
      <c r="BY157" s="2"/>
      <c r="BZ157" s="2"/>
      <c r="CA157" s="21" t="str">
        <f t="shared" si="107"/>
        <v/>
      </c>
      <c r="CB157" s="1"/>
      <c r="CC157" s="2"/>
      <c r="CD157" s="2"/>
      <c r="CE157" s="1"/>
      <c r="CF157" s="1"/>
      <c r="CG157" s="1"/>
      <c r="CH157" s="1"/>
      <c r="CI157" s="2"/>
      <c r="CJ157" s="2"/>
      <c r="CK157" s="2"/>
      <c r="CL157" s="2"/>
      <c r="CM157" s="2"/>
      <c r="CN157" s="2"/>
      <c r="CO157" s="2"/>
      <c r="CP157" s="2"/>
      <c r="CQ157" s="2"/>
      <c r="CR157" s="2"/>
      <c r="CS157" s="2"/>
      <c r="CT157" s="2"/>
      <c r="CU157" s="2"/>
      <c r="CV157" s="2"/>
      <c r="CW157" s="2"/>
      <c r="CX157" s="2"/>
      <c r="CY157" s="2"/>
      <c r="CZ157" s="2"/>
    </row>
    <row r="158" spans="43:104" ht="15" hidden="1" customHeight="1" x14ac:dyDescent="0.2">
      <c r="AQ158" s="12">
        <v>93</v>
      </c>
      <c r="AR158" s="12">
        <v>1060000</v>
      </c>
      <c r="AS158" s="12">
        <v>930000</v>
      </c>
      <c r="AT158" s="1"/>
      <c r="AU158" s="1"/>
      <c r="AV158" s="1"/>
      <c r="AW158" s="1"/>
      <c r="AX158" s="2"/>
      <c r="AY158" s="2"/>
      <c r="AZ158" s="2"/>
      <c r="BA158" s="2"/>
      <c r="BB158" s="2"/>
      <c r="BC158" s="2"/>
      <c r="BD158" s="2"/>
      <c r="BE158" s="2"/>
      <c r="BK158" s="84"/>
      <c r="BL158" s="2"/>
      <c r="BM158" s="2"/>
      <c r="BN158" s="2"/>
      <c r="BO158" s="2"/>
      <c r="BS158" s="11"/>
      <c r="BT158" s="2"/>
      <c r="BU158" s="3"/>
      <c r="BV158" s="3"/>
      <c r="BW158" s="2"/>
      <c r="BX158" s="2"/>
      <c r="BY158" s="2"/>
      <c r="BZ158" s="2"/>
      <c r="CA158" s="21" t="str">
        <f t="shared" si="107"/>
        <v/>
      </c>
      <c r="CB158" s="1"/>
      <c r="CC158" s="13"/>
      <c r="CD158" s="2"/>
      <c r="CE158" s="1"/>
      <c r="CF158" s="1"/>
      <c r="CG158" s="1"/>
      <c r="CH158" s="1"/>
      <c r="CI158" s="2"/>
      <c r="CJ158" s="2"/>
      <c r="CK158" s="2"/>
      <c r="CL158" s="2"/>
      <c r="CM158" s="2"/>
      <c r="CN158" s="2"/>
      <c r="CO158" s="2"/>
      <c r="CP158" s="2"/>
      <c r="CQ158" s="2"/>
      <c r="CR158" s="2"/>
      <c r="CS158" s="2"/>
      <c r="CT158" s="2"/>
      <c r="CU158" s="2"/>
      <c r="CV158" s="2"/>
      <c r="CW158" s="2"/>
      <c r="CX158" s="2"/>
      <c r="CY158" s="2"/>
      <c r="CZ158" s="2"/>
    </row>
    <row r="159" spans="43:104" ht="15" hidden="1" customHeight="1" x14ac:dyDescent="0.2">
      <c r="AQ159" s="13">
        <v>94</v>
      </c>
      <c r="AR159" s="12">
        <v>1065000</v>
      </c>
      <c r="AS159" s="12">
        <v>940000</v>
      </c>
      <c r="AT159" s="1"/>
      <c r="AU159" s="1"/>
      <c r="AV159" s="1"/>
      <c r="AW159" s="1"/>
      <c r="AX159" s="2"/>
      <c r="AY159" s="2"/>
      <c r="AZ159" s="2"/>
      <c r="BA159" s="2"/>
      <c r="BB159" s="2"/>
      <c r="BC159" s="2"/>
      <c r="BD159" s="2"/>
      <c r="BE159" s="2"/>
      <c r="BK159" s="84"/>
      <c r="BL159" s="2"/>
      <c r="BM159" s="2"/>
      <c r="BN159" s="2"/>
      <c r="BO159" s="2"/>
      <c r="BS159" s="11"/>
      <c r="BT159" s="2"/>
      <c r="BU159" s="3"/>
      <c r="BV159" s="3"/>
      <c r="BW159" s="2"/>
      <c r="BX159" s="2"/>
      <c r="BY159" s="2"/>
      <c r="BZ159" s="2"/>
      <c r="CA159" s="21" t="str">
        <f t="shared" si="107"/>
        <v/>
      </c>
      <c r="CB159" s="1"/>
      <c r="CC159" s="13"/>
      <c r="CD159" s="2"/>
      <c r="CE159" s="1"/>
      <c r="CF159" s="1"/>
      <c r="CG159" s="1"/>
      <c r="CH159" s="1"/>
      <c r="CI159" s="2"/>
      <c r="CJ159" s="2"/>
      <c r="CK159" s="2"/>
      <c r="CL159" s="2"/>
      <c r="CM159" s="2"/>
      <c r="CN159" s="2"/>
      <c r="CO159" s="2"/>
      <c r="CP159" s="2"/>
      <c r="CQ159" s="2"/>
      <c r="CR159" s="2"/>
      <c r="CS159" s="2"/>
      <c r="CT159" s="2"/>
      <c r="CU159" s="2"/>
      <c r="CV159" s="2"/>
      <c r="CW159" s="2"/>
      <c r="CX159" s="2"/>
      <c r="CY159" s="2"/>
      <c r="CZ159" s="2"/>
    </row>
    <row r="160" spans="43:104" ht="15" hidden="1" customHeight="1" x14ac:dyDescent="0.2">
      <c r="AQ160" s="13">
        <v>95</v>
      </c>
      <c r="AR160" s="12">
        <v>1070000</v>
      </c>
      <c r="AS160" s="12">
        <v>950000</v>
      </c>
      <c r="AT160" s="1"/>
      <c r="AU160" s="1"/>
      <c r="AV160" s="1"/>
      <c r="AW160" s="1"/>
      <c r="AX160" s="2"/>
      <c r="AY160" s="2"/>
      <c r="AZ160" s="2"/>
      <c r="BA160" s="2"/>
      <c r="BB160" s="2"/>
      <c r="BC160" s="2"/>
      <c r="BD160" s="2"/>
      <c r="BE160" s="2"/>
      <c r="BK160" s="84"/>
      <c r="BL160" s="2"/>
      <c r="BM160" s="2"/>
      <c r="BN160" s="2"/>
      <c r="BO160" s="2"/>
      <c r="BS160" s="11"/>
      <c r="BT160" s="2"/>
      <c r="BU160" s="3"/>
      <c r="BV160" s="3"/>
      <c r="BW160" s="2"/>
      <c r="BX160" s="2"/>
      <c r="BY160" s="2"/>
      <c r="BZ160" s="2"/>
      <c r="CA160" s="21" t="str">
        <f t="shared" si="107"/>
        <v/>
      </c>
      <c r="CB160" s="2"/>
      <c r="CC160" s="13"/>
      <c r="CD160" s="2"/>
      <c r="CE160" s="1"/>
      <c r="CF160" s="1"/>
      <c r="CG160" s="1"/>
      <c r="CH160" s="1"/>
      <c r="CI160" s="2"/>
      <c r="CJ160" s="2"/>
      <c r="CK160" s="2"/>
      <c r="CL160" s="2"/>
      <c r="CM160" s="2"/>
      <c r="CN160" s="2"/>
      <c r="CO160" s="2"/>
      <c r="CP160" s="2"/>
      <c r="CQ160" s="2"/>
      <c r="CR160" s="2"/>
      <c r="CS160" s="2"/>
      <c r="CT160" s="2"/>
      <c r="CU160" s="2"/>
      <c r="CV160" s="2"/>
      <c r="CW160" s="2"/>
      <c r="CX160" s="2"/>
      <c r="CY160" s="2"/>
      <c r="CZ160" s="2"/>
    </row>
    <row r="161" spans="43:104" ht="15" hidden="1" customHeight="1" x14ac:dyDescent="0.2">
      <c r="AQ161" s="12">
        <v>96</v>
      </c>
      <c r="AR161" s="12">
        <v>1075000</v>
      </c>
      <c r="AS161" s="12">
        <v>960000</v>
      </c>
      <c r="AT161" s="1"/>
      <c r="AU161" s="1"/>
      <c r="AV161" s="1"/>
      <c r="AW161" s="1"/>
      <c r="AX161" s="2"/>
      <c r="AY161" s="2"/>
      <c r="AZ161" s="2"/>
      <c r="BA161" s="2"/>
      <c r="BB161" s="2"/>
      <c r="BC161" s="2"/>
      <c r="BD161" s="2"/>
      <c r="BE161" s="2"/>
      <c r="BK161" s="84"/>
      <c r="BL161" s="2"/>
      <c r="BM161" s="2"/>
      <c r="BN161" s="2"/>
      <c r="BO161" s="2"/>
      <c r="BS161" s="11"/>
      <c r="BT161" s="2"/>
      <c r="BU161" s="3"/>
      <c r="BV161" s="3"/>
      <c r="BW161" s="2"/>
      <c r="BX161" s="2"/>
      <c r="BY161" s="2"/>
      <c r="BZ161" s="2"/>
      <c r="CA161" s="21" t="str">
        <f t="shared" si="107"/>
        <v/>
      </c>
      <c r="CB161" s="2"/>
      <c r="CC161" s="13"/>
      <c r="CD161" s="2"/>
      <c r="CE161" s="1"/>
      <c r="CF161" s="1"/>
      <c r="CG161" s="1"/>
      <c r="CH161" s="1"/>
      <c r="CI161" s="2"/>
      <c r="CJ161" s="2"/>
      <c r="CK161" s="2"/>
      <c r="CL161" s="2"/>
      <c r="CM161" s="2"/>
      <c r="CN161" s="2"/>
      <c r="CO161" s="2"/>
      <c r="CP161" s="2"/>
      <c r="CQ161" s="2"/>
      <c r="CR161" s="2"/>
      <c r="CS161" s="2"/>
      <c r="CT161" s="2"/>
      <c r="CU161" s="2"/>
      <c r="CV161" s="2"/>
      <c r="CW161" s="2"/>
      <c r="CX161" s="2"/>
      <c r="CY161" s="2"/>
      <c r="CZ161" s="2"/>
    </row>
    <row r="162" spans="43:104" ht="15" hidden="1" customHeight="1" x14ac:dyDescent="0.2">
      <c r="AQ162" s="13">
        <v>97</v>
      </c>
      <c r="AR162" s="12">
        <v>1080000</v>
      </c>
      <c r="AS162" s="12">
        <v>970000</v>
      </c>
      <c r="AT162" s="1"/>
      <c r="AU162" s="1"/>
      <c r="AV162" s="1"/>
      <c r="AW162" s="1"/>
      <c r="AX162" s="2"/>
      <c r="AY162" s="2"/>
      <c r="AZ162" s="2"/>
      <c r="BA162" s="2"/>
      <c r="BB162" s="2"/>
      <c r="BC162" s="2"/>
      <c r="BD162" s="2"/>
      <c r="BE162" s="2"/>
      <c r="BK162" s="84"/>
      <c r="BL162" s="2"/>
      <c r="BM162" s="2"/>
      <c r="BN162" s="2"/>
      <c r="BO162" s="2"/>
      <c r="BS162" s="11"/>
      <c r="BT162" s="2"/>
      <c r="BU162" s="3"/>
      <c r="BV162" s="3"/>
      <c r="BW162" s="2"/>
      <c r="BX162" s="2"/>
      <c r="BY162" s="2"/>
      <c r="BZ162" s="2"/>
      <c r="CA162" s="21" t="str">
        <f t="shared" si="107"/>
        <v/>
      </c>
      <c r="CB162" s="2"/>
      <c r="CC162" s="13"/>
      <c r="CD162" s="2"/>
      <c r="CE162" s="1"/>
      <c r="CF162" s="1"/>
      <c r="CG162" s="1"/>
      <c r="CH162" s="1"/>
      <c r="CI162" s="2"/>
      <c r="CJ162" s="2"/>
      <c r="CK162" s="2"/>
      <c r="CL162" s="2"/>
      <c r="CM162" s="2"/>
      <c r="CN162" s="2"/>
      <c r="CO162" s="2"/>
      <c r="CP162" s="2"/>
      <c r="CQ162" s="2"/>
      <c r="CR162" s="2"/>
      <c r="CS162" s="2"/>
      <c r="CT162" s="2"/>
      <c r="CU162" s="2"/>
      <c r="CV162" s="2"/>
      <c r="CW162" s="2"/>
      <c r="CX162" s="2"/>
      <c r="CY162" s="2"/>
      <c r="CZ162" s="2"/>
    </row>
    <row r="163" spans="43:104" ht="15" hidden="1" customHeight="1" x14ac:dyDescent="0.2">
      <c r="AQ163" s="13">
        <v>98</v>
      </c>
      <c r="AR163" s="12">
        <v>1085000</v>
      </c>
      <c r="AS163" s="12">
        <v>980000</v>
      </c>
      <c r="AT163" s="1"/>
      <c r="AU163" s="1"/>
      <c r="AV163" s="1"/>
      <c r="AW163" s="1"/>
      <c r="AX163" s="2"/>
      <c r="AY163" s="2"/>
      <c r="AZ163" s="2"/>
      <c r="BA163" s="2"/>
      <c r="BB163" s="2"/>
      <c r="BC163" s="2"/>
      <c r="BD163" s="2"/>
      <c r="BE163" s="2"/>
      <c r="BK163" s="84"/>
      <c r="BL163" s="2"/>
      <c r="BM163" s="2"/>
      <c r="BN163" s="2"/>
      <c r="BO163" s="2"/>
      <c r="BS163" s="11"/>
      <c r="BT163" s="2"/>
      <c r="BU163" s="3"/>
      <c r="BV163" s="3"/>
      <c r="BW163" s="2"/>
      <c r="BX163" s="2"/>
      <c r="BY163" s="2"/>
      <c r="BZ163" s="2"/>
      <c r="CA163" s="21" t="str">
        <f t="shared" si="107"/>
        <v/>
      </c>
      <c r="CB163" s="2"/>
      <c r="CC163" s="13"/>
      <c r="CD163" s="2"/>
      <c r="CE163" s="1"/>
      <c r="CF163" s="1"/>
      <c r="CG163" s="1"/>
      <c r="CH163" s="1"/>
      <c r="CI163" s="2"/>
      <c r="CJ163" s="2"/>
      <c r="CK163" s="2"/>
      <c r="CL163" s="2"/>
      <c r="CM163" s="2"/>
      <c r="CN163" s="2"/>
      <c r="CO163" s="2"/>
      <c r="CP163" s="2"/>
      <c r="CQ163" s="2"/>
      <c r="CR163" s="2"/>
      <c r="CS163" s="2"/>
      <c r="CT163" s="2"/>
      <c r="CU163" s="2"/>
      <c r="CV163" s="2"/>
      <c r="CW163" s="2"/>
      <c r="CX163" s="2"/>
      <c r="CY163" s="2"/>
      <c r="CZ163" s="2"/>
    </row>
    <row r="164" spans="43:104" ht="15" hidden="1" customHeight="1" x14ac:dyDescent="0.2">
      <c r="AQ164" s="12">
        <v>99</v>
      </c>
      <c r="AR164" s="12">
        <v>1090000</v>
      </c>
      <c r="AS164" s="12">
        <v>990000</v>
      </c>
      <c r="AT164" s="1"/>
      <c r="AU164" s="1"/>
      <c r="AV164" s="1"/>
      <c r="AW164" s="1"/>
      <c r="AX164" s="2"/>
      <c r="AY164" s="2"/>
      <c r="AZ164" s="2"/>
      <c r="BA164" s="2"/>
      <c r="BB164" s="2"/>
      <c r="BC164" s="2"/>
      <c r="BD164" s="2"/>
      <c r="BE164" s="2"/>
      <c r="BK164" s="84"/>
      <c r="BL164" s="2"/>
      <c r="BM164" s="2"/>
      <c r="BN164" s="2"/>
      <c r="BO164" s="2"/>
      <c r="BS164" s="11"/>
      <c r="BT164" s="2"/>
      <c r="BU164" s="3"/>
      <c r="BV164" s="3"/>
      <c r="BW164" s="2"/>
      <c r="BX164" s="2"/>
      <c r="BY164" s="2"/>
      <c r="BZ164" s="2"/>
      <c r="CA164" s="46"/>
      <c r="CB164" s="1"/>
      <c r="CC164" s="2"/>
      <c r="CD164" s="2"/>
      <c r="CE164" s="1"/>
      <c r="CF164" s="1"/>
      <c r="CG164" s="1"/>
      <c r="CH164" s="1"/>
      <c r="CI164" s="2"/>
      <c r="CJ164" s="2"/>
      <c r="CK164" s="2"/>
      <c r="CL164" s="2"/>
      <c r="CM164" s="2"/>
      <c r="CN164" s="2"/>
      <c r="CO164" s="2"/>
      <c r="CP164" s="2"/>
      <c r="CQ164" s="2"/>
      <c r="CR164" s="2"/>
      <c r="CS164" s="2"/>
      <c r="CT164" s="2"/>
      <c r="CU164" s="2"/>
      <c r="CV164" s="2"/>
      <c r="CW164" s="2"/>
      <c r="CX164" s="2"/>
      <c r="CY164" s="2"/>
      <c r="CZ164" s="2"/>
    </row>
    <row r="165" spans="43:104" ht="15" hidden="1" customHeight="1" x14ac:dyDescent="0.2">
      <c r="AQ165" s="12"/>
      <c r="AR165" s="12">
        <v>1095000</v>
      </c>
      <c r="AS165" s="12">
        <v>1000000</v>
      </c>
      <c r="AT165" s="1"/>
      <c r="AU165" s="1"/>
      <c r="AV165" s="1"/>
      <c r="AW165" s="1"/>
      <c r="AX165" s="2"/>
      <c r="AY165" s="2"/>
      <c r="AZ165" s="2"/>
      <c r="BA165" s="2"/>
      <c r="BB165" s="2"/>
      <c r="BC165" s="2"/>
      <c r="BD165" s="2"/>
      <c r="BE165" s="2"/>
      <c r="BK165" s="84"/>
      <c r="BL165" s="2"/>
      <c r="BM165" s="2"/>
      <c r="BN165" s="2"/>
      <c r="BO165" s="2"/>
      <c r="BS165" s="11"/>
      <c r="BT165" s="2"/>
      <c r="BU165" s="3"/>
      <c r="BV165" s="3"/>
      <c r="BW165" s="2"/>
      <c r="BX165" s="2"/>
      <c r="BY165" s="2"/>
      <c r="BZ165" s="2"/>
      <c r="CA165" s="46"/>
      <c r="CB165" s="1"/>
      <c r="CC165" s="1"/>
      <c r="CD165" s="1"/>
      <c r="CE165" s="1"/>
      <c r="CF165" s="1"/>
      <c r="CG165" s="1"/>
      <c r="CH165" s="1"/>
      <c r="CI165" s="2"/>
      <c r="CJ165" s="2"/>
      <c r="CK165" s="2"/>
      <c r="CL165" s="2"/>
      <c r="CM165" s="2"/>
      <c r="CN165" s="2"/>
      <c r="CO165" s="2"/>
      <c r="CP165" s="2"/>
      <c r="CQ165" s="2"/>
      <c r="CR165" s="2"/>
      <c r="CS165" s="2"/>
      <c r="CT165" s="2"/>
      <c r="CU165" s="2"/>
      <c r="CV165" s="2"/>
      <c r="CW165" s="2"/>
      <c r="CX165" s="2"/>
      <c r="CY165" s="2"/>
      <c r="CZ165" s="2"/>
    </row>
    <row r="166" spans="43:104" ht="15" hidden="1" customHeight="1" x14ac:dyDescent="0.2">
      <c r="AQ166" s="12"/>
      <c r="AR166" s="12">
        <v>1100000</v>
      </c>
      <c r="AS166" s="12">
        <v>1010000</v>
      </c>
      <c r="AT166" s="1"/>
      <c r="AU166" s="1"/>
      <c r="AV166" s="1"/>
      <c r="AW166" s="1"/>
      <c r="AX166" s="2"/>
      <c r="AY166" s="2"/>
      <c r="AZ166" s="2"/>
      <c r="BA166" s="2"/>
      <c r="BB166" s="2"/>
      <c r="BC166" s="2"/>
      <c r="BD166" s="2"/>
      <c r="BE166" s="2"/>
      <c r="BK166" s="84"/>
      <c r="BL166" s="2"/>
      <c r="BM166" s="2"/>
      <c r="BN166" s="2"/>
      <c r="BO166" s="2"/>
      <c r="BS166" s="11"/>
      <c r="BT166" s="2"/>
      <c r="BU166" s="3"/>
      <c r="BV166" s="3"/>
      <c r="BW166" s="2"/>
      <c r="BX166" s="2"/>
      <c r="BY166" s="2"/>
      <c r="BZ166" s="2"/>
      <c r="CA166" s="46"/>
      <c r="CB166" s="1"/>
      <c r="CC166" s="1"/>
      <c r="CD166" s="1"/>
      <c r="CE166" s="1"/>
      <c r="CF166" s="1"/>
      <c r="CG166" s="1"/>
      <c r="CH166" s="1"/>
      <c r="CI166" s="2"/>
      <c r="CJ166" s="2"/>
      <c r="CK166" s="2"/>
      <c r="CL166" s="2"/>
      <c r="CM166" s="2"/>
      <c r="CN166" s="2"/>
      <c r="CO166" s="2"/>
      <c r="CP166" s="2"/>
      <c r="CQ166" s="2"/>
      <c r="CR166" s="2"/>
      <c r="CS166" s="2"/>
      <c r="CT166" s="2"/>
      <c r="CU166" s="2"/>
      <c r="CV166" s="2"/>
      <c r="CW166" s="2"/>
      <c r="CX166" s="2"/>
      <c r="CY166" s="2"/>
      <c r="CZ166" s="2"/>
    </row>
    <row r="167" spans="43:104" ht="15" hidden="1" customHeight="1" x14ac:dyDescent="0.2">
      <c r="AQ167" s="13"/>
      <c r="AR167" s="12">
        <v>1105000</v>
      </c>
      <c r="AS167" s="12">
        <v>1020000</v>
      </c>
      <c r="AT167" s="1"/>
      <c r="AU167" s="1"/>
      <c r="AV167" s="1"/>
      <c r="AW167" s="1"/>
      <c r="AX167" s="2"/>
      <c r="AY167" s="2"/>
      <c r="AZ167" s="2"/>
      <c r="BA167" s="2"/>
      <c r="BB167" s="2"/>
      <c r="BC167" s="2"/>
      <c r="BD167" s="2"/>
      <c r="BE167" s="2"/>
      <c r="BK167" s="84"/>
      <c r="BL167" s="2"/>
      <c r="BM167" s="2"/>
      <c r="BN167" s="2"/>
      <c r="BO167" s="2"/>
      <c r="BS167" s="11"/>
      <c r="BT167" s="2"/>
      <c r="BU167" s="3"/>
      <c r="BV167" s="3"/>
      <c r="BW167" s="2"/>
      <c r="BX167" s="2"/>
      <c r="BY167" s="2"/>
      <c r="BZ167" s="2"/>
      <c r="CA167" s="46"/>
      <c r="CB167" s="1"/>
      <c r="CC167" s="1"/>
      <c r="CD167" s="1"/>
      <c r="CE167" s="1"/>
      <c r="CF167" s="1"/>
      <c r="CG167" s="1"/>
      <c r="CH167" s="1"/>
      <c r="CI167" s="2"/>
      <c r="CJ167" s="2"/>
      <c r="CK167" s="2"/>
      <c r="CL167" s="2"/>
      <c r="CM167" s="2"/>
      <c r="CN167" s="2"/>
      <c r="CO167" s="2"/>
      <c r="CP167" s="2"/>
      <c r="CQ167" s="2"/>
      <c r="CR167" s="2"/>
      <c r="CS167" s="2"/>
      <c r="CT167" s="2"/>
      <c r="CU167" s="2"/>
      <c r="CV167" s="2"/>
      <c r="CW167" s="2"/>
      <c r="CX167" s="2"/>
      <c r="CY167" s="2"/>
      <c r="CZ167" s="2"/>
    </row>
    <row r="168" spans="43:104" ht="15" hidden="1" customHeight="1" x14ac:dyDescent="0.2">
      <c r="AQ168" s="13"/>
      <c r="AR168" s="12">
        <v>1110000</v>
      </c>
      <c r="AS168" s="12">
        <v>1030000</v>
      </c>
      <c r="AT168" s="1"/>
      <c r="AU168" s="1"/>
      <c r="AV168" s="1"/>
      <c r="AW168" s="1"/>
      <c r="AX168" s="2"/>
      <c r="AY168" s="2"/>
      <c r="AZ168" s="2"/>
      <c r="BA168" s="2"/>
      <c r="BB168" s="2"/>
      <c r="BC168" s="2"/>
      <c r="BD168" s="2"/>
      <c r="BE168" s="2"/>
      <c r="BK168" s="84"/>
      <c r="BL168" s="2"/>
      <c r="BM168" s="2"/>
      <c r="BN168" s="2"/>
      <c r="BO168" s="2"/>
      <c r="BS168" s="11"/>
      <c r="BT168" s="2"/>
      <c r="BU168" s="3"/>
      <c r="BV168" s="3"/>
      <c r="BW168" s="2"/>
      <c r="BX168" s="2"/>
      <c r="BY168" s="2"/>
      <c r="BZ168" s="2"/>
      <c r="CA168" s="46"/>
      <c r="CB168" s="1"/>
      <c r="CC168" s="7"/>
      <c r="CD168" s="1"/>
      <c r="CE168" s="1"/>
      <c r="CF168" s="1"/>
      <c r="CG168" s="1"/>
      <c r="CH168" s="1"/>
      <c r="CI168" s="2"/>
      <c r="CJ168" s="2"/>
      <c r="CK168" s="2"/>
      <c r="CL168" s="2"/>
      <c r="CM168" s="2"/>
      <c r="CN168" s="2"/>
      <c r="CO168" s="2"/>
      <c r="CP168" s="2"/>
      <c r="CQ168" s="2"/>
      <c r="CR168" s="2"/>
      <c r="CS168" s="2"/>
      <c r="CT168" s="2"/>
      <c r="CU168" s="2"/>
      <c r="CV168" s="2"/>
      <c r="CW168" s="2"/>
      <c r="CX168" s="2"/>
      <c r="CY168" s="2"/>
      <c r="CZ168" s="2"/>
    </row>
    <row r="169" spans="43:104" ht="15" hidden="1" customHeight="1" x14ac:dyDescent="0.2">
      <c r="AQ169" s="85"/>
      <c r="AR169" s="12">
        <v>1115000</v>
      </c>
      <c r="AS169" s="12">
        <v>1040000</v>
      </c>
      <c r="AT169" s="1"/>
      <c r="AU169" s="1"/>
      <c r="AV169" s="1"/>
      <c r="AW169" s="1"/>
      <c r="AX169" s="2"/>
      <c r="AY169" s="2"/>
      <c r="AZ169" s="2"/>
      <c r="BA169" s="2"/>
      <c r="BB169" s="2"/>
      <c r="BC169" s="2"/>
      <c r="BD169" s="2"/>
      <c r="BE169" s="2"/>
      <c r="BK169" s="84"/>
      <c r="BL169" s="2"/>
      <c r="BM169" s="2"/>
      <c r="BN169" s="2"/>
      <c r="BO169" s="2"/>
      <c r="BS169" s="11"/>
      <c r="BT169" s="2"/>
      <c r="BU169" s="3"/>
      <c r="BV169" s="3"/>
      <c r="BW169" s="2"/>
      <c r="BX169" s="2"/>
      <c r="BY169" s="2"/>
      <c r="BZ169" s="2"/>
      <c r="CA169" s="2"/>
      <c r="CB169" s="2"/>
      <c r="CC169" s="2"/>
      <c r="CD169" s="1"/>
      <c r="CE169" s="1"/>
      <c r="CF169" s="1"/>
      <c r="CG169" s="1"/>
      <c r="CH169" s="1"/>
      <c r="CI169" s="2"/>
      <c r="CJ169" s="2"/>
      <c r="CK169" s="2"/>
      <c r="CL169" s="2"/>
      <c r="CM169" s="2"/>
      <c r="CN169" s="2"/>
      <c r="CO169" s="2"/>
      <c r="CP169" s="2"/>
      <c r="CQ169" s="2"/>
      <c r="CR169" s="2"/>
      <c r="CS169" s="2"/>
      <c r="CT169" s="2"/>
      <c r="CU169" s="2"/>
      <c r="CV169" s="2"/>
      <c r="CW169" s="2"/>
      <c r="CX169" s="2"/>
      <c r="CY169" s="2"/>
      <c r="CZ169" s="2"/>
    </row>
    <row r="170" spans="43:104" ht="15" hidden="1" customHeight="1" x14ac:dyDescent="0.2">
      <c r="AQ170" s="12"/>
      <c r="AR170" s="12">
        <v>1120000</v>
      </c>
      <c r="AS170" s="12">
        <v>1050000</v>
      </c>
      <c r="AT170" s="1"/>
      <c r="AU170" s="1"/>
      <c r="AV170" s="1"/>
      <c r="AW170" s="1"/>
      <c r="AX170" s="2"/>
      <c r="AY170" s="2"/>
      <c r="AZ170" s="2"/>
      <c r="BA170" s="2"/>
      <c r="BB170" s="2"/>
      <c r="BC170" s="2"/>
      <c r="BD170" s="2"/>
      <c r="BE170" s="2"/>
      <c r="BK170" s="84"/>
      <c r="BL170" s="2"/>
      <c r="BM170" s="2"/>
      <c r="BN170" s="2"/>
      <c r="BO170" s="2"/>
      <c r="BS170" s="11"/>
      <c r="BT170" s="2"/>
      <c r="BU170" s="3"/>
      <c r="BV170" s="3"/>
      <c r="BW170" s="2"/>
      <c r="BX170" s="2"/>
      <c r="BY170" s="2"/>
      <c r="BZ170" s="2"/>
      <c r="CA170" s="2"/>
      <c r="CB170" s="2"/>
      <c r="CC170" s="2"/>
      <c r="CD170" s="1"/>
      <c r="CE170" s="1"/>
      <c r="CF170" s="1"/>
      <c r="CG170" s="1"/>
      <c r="CH170" s="1"/>
      <c r="CI170" s="2"/>
      <c r="CJ170" s="2"/>
      <c r="CK170" s="2"/>
      <c r="CL170" s="2"/>
      <c r="CM170" s="2"/>
      <c r="CN170" s="2"/>
      <c r="CO170" s="2"/>
      <c r="CP170" s="2"/>
      <c r="CQ170" s="2"/>
      <c r="CR170" s="2"/>
      <c r="CS170" s="2"/>
      <c r="CT170" s="2"/>
      <c r="CU170" s="2"/>
      <c r="CV170" s="2"/>
      <c r="CW170" s="2"/>
      <c r="CX170" s="2"/>
      <c r="CY170" s="2"/>
      <c r="CZ170" s="2"/>
    </row>
    <row r="171" spans="43:104" ht="15" hidden="1" customHeight="1" x14ac:dyDescent="0.2">
      <c r="AQ171" s="12"/>
      <c r="AR171" s="12">
        <v>1125000</v>
      </c>
      <c r="AS171" s="12">
        <v>1060000</v>
      </c>
      <c r="AT171" s="1"/>
      <c r="AU171" s="1"/>
      <c r="AV171" s="1"/>
      <c r="AW171" s="1"/>
      <c r="AX171" s="2"/>
      <c r="AY171" s="2"/>
      <c r="AZ171" s="2"/>
      <c r="BA171" s="2"/>
      <c r="BB171" s="2"/>
      <c r="BC171" s="2"/>
      <c r="BD171" s="2"/>
      <c r="BE171" s="2"/>
      <c r="BK171" s="84"/>
      <c r="BL171" s="2"/>
      <c r="BM171" s="2"/>
      <c r="BN171" s="2"/>
      <c r="BO171" s="2"/>
      <c r="BS171" s="11"/>
      <c r="BT171" s="2"/>
      <c r="BU171" s="3"/>
      <c r="BV171" s="3"/>
      <c r="BW171" s="2"/>
      <c r="BX171" s="2"/>
      <c r="BY171" s="2"/>
      <c r="BZ171" s="2"/>
      <c r="CA171" s="2"/>
      <c r="CB171" s="2"/>
      <c r="CC171" s="2"/>
      <c r="CD171" s="1"/>
      <c r="CE171" s="1"/>
      <c r="CF171" s="1"/>
      <c r="CG171" s="1"/>
      <c r="CH171" s="1"/>
      <c r="CI171" s="2"/>
      <c r="CJ171" s="2"/>
      <c r="CK171" s="2"/>
      <c r="CL171" s="2"/>
      <c r="CM171" s="2"/>
      <c r="CN171" s="2"/>
      <c r="CO171" s="2"/>
      <c r="CP171" s="2"/>
      <c r="CQ171" s="2"/>
      <c r="CR171" s="2"/>
      <c r="CS171" s="2"/>
      <c r="CT171" s="2"/>
      <c r="CU171" s="2"/>
      <c r="CV171" s="2"/>
      <c r="CW171" s="2"/>
      <c r="CX171" s="2"/>
      <c r="CY171" s="2"/>
      <c r="CZ171" s="2"/>
    </row>
    <row r="172" spans="43:104" ht="15" hidden="1" customHeight="1" x14ac:dyDescent="0.2">
      <c r="AQ172" s="13"/>
      <c r="AR172" s="12">
        <v>1130000</v>
      </c>
      <c r="AS172" s="12">
        <v>1070000</v>
      </c>
      <c r="AT172" s="1"/>
      <c r="AU172" s="1"/>
      <c r="AV172" s="1"/>
      <c r="AW172" s="1"/>
      <c r="AX172" s="2"/>
      <c r="AY172" s="2"/>
      <c r="AZ172" s="2"/>
      <c r="BA172" s="2"/>
      <c r="BB172" s="2"/>
      <c r="BC172" s="2"/>
      <c r="BD172" s="2"/>
      <c r="BE172" s="2"/>
      <c r="BK172" s="84"/>
      <c r="BL172" s="2"/>
      <c r="BM172" s="2"/>
      <c r="BN172" s="2"/>
      <c r="BO172" s="2"/>
      <c r="BS172" s="11"/>
      <c r="BT172" s="2"/>
      <c r="BU172" s="3"/>
      <c r="BV172" s="3"/>
      <c r="BW172" s="2"/>
      <c r="BX172" s="2"/>
      <c r="BY172" s="2"/>
      <c r="BZ172" s="2"/>
      <c r="CA172" s="2"/>
      <c r="CB172" s="2"/>
      <c r="CC172" s="2"/>
      <c r="CD172" s="1"/>
      <c r="CE172" s="1"/>
      <c r="CF172" s="1"/>
      <c r="CG172" s="1"/>
      <c r="CH172" s="1"/>
      <c r="CI172" s="2"/>
      <c r="CJ172" s="2"/>
      <c r="CK172" s="2"/>
      <c r="CL172" s="2"/>
      <c r="CM172" s="2"/>
      <c r="CN172" s="2"/>
      <c r="CO172" s="2"/>
      <c r="CP172" s="2"/>
      <c r="CQ172" s="2"/>
      <c r="CR172" s="2"/>
      <c r="CS172" s="2"/>
      <c r="CT172" s="2"/>
      <c r="CU172" s="2"/>
      <c r="CV172" s="2"/>
      <c r="CW172" s="2"/>
      <c r="CX172" s="2"/>
      <c r="CY172" s="2"/>
      <c r="CZ172" s="2"/>
    </row>
    <row r="173" spans="43:104" ht="15" hidden="1" customHeight="1" x14ac:dyDescent="0.2">
      <c r="AQ173" s="13"/>
      <c r="AR173" s="12">
        <v>1135000</v>
      </c>
      <c r="AS173" s="12">
        <v>1080000</v>
      </c>
      <c r="AT173" s="1"/>
      <c r="AU173" s="1"/>
      <c r="AV173" s="1"/>
      <c r="AW173" s="1"/>
      <c r="AX173" s="2"/>
      <c r="AY173" s="2"/>
      <c r="AZ173" s="2"/>
      <c r="BA173" s="2"/>
      <c r="BB173" s="2"/>
      <c r="BC173" s="2"/>
      <c r="BD173" s="2"/>
      <c r="BE173" s="2"/>
      <c r="BK173" s="84"/>
      <c r="BL173" s="2"/>
      <c r="BM173" s="2"/>
      <c r="BN173" s="2"/>
      <c r="BO173" s="2"/>
      <c r="BS173" s="11"/>
      <c r="BT173" s="2"/>
      <c r="BU173" s="3"/>
      <c r="BV173" s="3"/>
      <c r="BW173" s="2"/>
      <c r="BX173" s="2"/>
      <c r="BY173" s="2"/>
      <c r="BZ173" s="2"/>
      <c r="CA173" s="2"/>
      <c r="CB173" s="2"/>
      <c r="CC173" s="2"/>
      <c r="CD173" s="1"/>
      <c r="CE173" s="1"/>
      <c r="CF173" s="1"/>
      <c r="CG173" s="1"/>
      <c r="CH173" s="1"/>
      <c r="CI173" s="2"/>
      <c r="CJ173" s="2"/>
      <c r="CK173" s="2"/>
      <c r="CL173" s="2"/>
      <c r="CM173" s="2"/>
      <c r="CN173" s="2"/>
      <c r="CO173" s="2"/>
      <c r="CP173" s="2"/>
      <c r="CQ173" s="2"/>
      <c r="CR173" s="2"/>
      <c r="CS173" s="2"/>
      <c r="CT173" s="2"/>
      <c r="CU173" s="2"/>
      <c r="CV173" s="2"/>
      <c r="CW173" s="2"/>
      <c r="CX173" s="2"/>
      <c r="CY173" s="2"/>
      <c r="CZ173" s="2"/>
    </row>
    <row r="174" spans="43:104" ht="15" hidden="1" customHeight="1" x14ac:dyDescent="0.2">
      <c r="AQ174" s="85"/>
      <c r="AR174" s="12">
        <v>1140000</v>
      </c>
      <c r="AS174" s="12">
        <v>1090000</v>
      </c>
      <c r="AT174" s="1"/>
      <c r="AU174" s="1"/>
      <c r="AV174" s="1"/>
      <c r="AW174" s="1"/>
      <c r="AX174" s="2"/>
      <c r="AY174" s="2"/>
      <c r="AZ174" s="2"/>
      <c r="BA174" s="2"/>
      <c r="BB174" s="2"/>
      <c r="BC174" s="2"/>
      <c r="BD174" s="2"/>
      <c r="BE174" s="2"/>
      <c r="BK174" s="84"/>
      <c r="BL174" s="2"/>
      <c r="BM174" s="2"/>
      <c r="BN174" s="2"/>
      <c r="BO174" s="2"/>
      <c r="BS174" s="11"/>
      <c r="BT174" s="2"/>
      <c r="BU174" s="3"/>
      <c r="BV174" s="3"/>
      <c r="BW174" s="2"/>
      <c r="BX174" s="2"/>
      <c r="BY174" s="2"/>
      <c r="BZ174" s="2"/>
      <c r="CA174" s="2"/>
      <c r="CB174" s="2"/>
      <c r="CC174" s="2"/>
      <c r="CD174" s="1"/>
      <c r="CE174" s="1"/>
      <c r="CF174" s="1"/>
      <c r="CG174" s="1"/>
      <c r="CH174" s="1"/>
      <c r="CI174" s="2"/>
      <c r="CJ174" s="2"/>
      <c r="CK174" s="2"/>
      <c r="CL174" s="2"/>
      <c r="CM174" s="2"/>
      <c r="CN174" s="2"/>
      <c r="CO174" s="2"/>
      <c r="CP174" s="2"/>
      <c r="CQ174" s="2"/>
      <c r="CR174" s="2"/>
      <c r="CS174" s="2"/>
      <c r="CT174" s="2"/>
      <c r="CU174" s="2"/>
      <c r="CV174" s="2"/>
      <c r="CW174" s="2"/>
      <c r="CX174" s="2"/>
      <c r="CY174" s="2"/>
      <c r="CZ174" s="2"/>
    </row>
    <row r="175" spans="43:104" ht="15" hidden="1" customHeight="1" x14ac:dyDescent="0.2">
      <c r="AQ175" s="12"/>
      <c r="AR175" s="12">
        <v>1145000</v>
      </c>
      <c r="AS175" s="12">
        <v>1100000</v>
      </c>
      <c r="AT175" s="1"/>
      <c r="AU175" s="1"/>
      <c r="AV175" s="1"/>
      <c r="AW175" s="1"/>
      <c r="AX175" s="2"/>
      <c r="AY175" s="2"/>
      <c r="AZ175" s="2"/>
      <c r="BA175" s="2"/>
      <c r="BB175" s="2"/>
      <c r="BC175" s="2"/>
      <c r="BD175" s="2"/>
      <c r="BE175" s="2"/>
      <c r="BK175" s="84"/>
      <c r="BL175" s="2"/>
      <c r="BM175" s="2"/>
      <c r="BN175" s="2"/>
      <c r="BO175" s="2"/>
      <c r="BS175" s="11"/>
      <c r="BT175" s="2"/>
      <c r="BU175" s="3"/>
      <c r="BV175" s="3"/>
      <c r="BW175" s="2"/>
      <c r="BX175" s="2"/>
      <c r="BY175" s="2"/>
      <c r="BZ175" s="2"/>
      <c r="CA175" s="46"/>
      <c r="CB175" s="1"/>
      <c r="CC175" s="1"/>
      <c r="CD175" s="1"/>
      <c r="CE175" s="1"/>
      <c r="CF175" s="1"/>
      <c r="CG175" s="1"/>
      <c r="CH175" s="1"/>
      <c r="CI175" s="2"/>
      <c r="CJ175" s="2"/>
      <c r="CK175" s="2"/>
      <c r="CL175" s="2"/>
      <c r="CM175" s="2"/>
      <c r="CN175" s="2"/>
      <c r="CO175" s="2"/>
      <c r="CP175" s="2"/>
      <c r="CQ175" s="2"/>
      <c r="CR175" s="2"/>
      <c r="CS175" s="2"/>
      <c r="CT175" s="2"/>
      <c r="CU175" s="2"/>
      <c r="CV175" s="2"/>
      <c r="CW175" s="2"/>
      <c r="CX175" s="2"/>
      <c r="CY175" s="2"/>
      <c r="CZ175" s="2"/>
    </row>
    <row r="176" spans="43:104" ht="15" hidden="1" customHeight="1" x14ac:dyDescent="0.2">
      <c r="AQ176" s="12"/>
      <c r="AR176" s="12">
        <v>1150000</v>
      </c>
      <c r="AS176" s="12">
        <v>1110000</v>
      </c>
      <c r="AT176" s="1"/>
      <c r="AU176" s="1"/>
      <c r="AV176" s="1"/>
      <c r="AW176" s="1"/>
      <c r="AX176" s="2"/>
      <c r="AY176" s="2"/>
      <c r="AZ176" s="2"/>
      <c r="BA176" s="2"/>
      <c r="BB176" s="2"/>
      <c r="BC176" s="2"/>
      <c r="BD176" s="2"/>
      <c r="BE176" s="2"/>
      <c r="BK176" s="84"/>
      <c r="BL176" s="2"/>
      <c r="BM176" s="2"/>
      <c r="BN176" s="2"/>
      <c r="BO176" s="2"/>
      <c r="BS176" s="11"/>
      <c r="BT176" s="2"/>
      <c r="BU176" s="3"/>
      <c r="BV176" s="3"/>
      <c r="BW176" s="2"/>
      <c r="BX176" s="2"/>
      <c r="BY176" s="2"/>
      <c r="BZ176" s="2"/>
      <c r="CA176" s="46"/>
      <c r="CB176" s="1"/>
      <c r="CC176" s="1"/>
      <c r="CD176" s="1"/>
      <c r="CE176" s="1"/>
      <c r="CF176" s="1"/>
      <c r="CG176" s="1"/>
      <c r="CH176" s="1"/>
      <c r="CI176" s="2"/>
      <c r="CJ176" s="2"/>
      <c r="CK176" s="2"/>
      <c r="CL176" s="2"/>
      <c r="CM176" s="2"/>
      <c r="CN176" s="2"/>
      <c r="CO176" s="2"/>
      <c r="CP176" s="2"/>
      <c r="CQ176" s="2"/>
      <c r="CR176" s="2"/>
      <c r="CS176" s="2"/>
      <c r="CT176" s="2"/>
      <c r="CU176" s="2"/>
      <c r="CV176" s="2"/>
      <c r="CW176" s="2"/>
      <c r="CX176" s="2"/>
      <c r="CY176" s="2"/>
      <c r="CZ176" s="2"/>
    </row>
    <row r="177" spans="43:104" ht="15" hidden="1" customHeight="1" x14ac:dyDescent="0.2">
      <c r="AQ177" s="13"/>
      <c r="AR177" s="12">
        <v>1155000</v>
      </c>
      <c r="AS177" s="12">
        <v>1120000</v>
      </c>
      <c r="AT177" s="2"/>
      <c r="AU177" s="2"/>
      <c r="AV177" s="2"/>
      <c r="AW177" s="2"/>
      <c r="AX177" s="2"/>
      <c r="AY177" s="2"/>
      <c r="AZ177" s="2"/>
      <c r="BA177" s="2"/>
      <c r="BB177" s="2"/>
      <c r="BC177" s="2"/>
      <c r="BD177" s="2"/>
      <c r="BE177" s="2"/>
      <c r="BK177" s="84"/>
      <c r="BL177" s="2"/>
      <c r="BM177" s="2"/>
      <c r="BN177" s="2"/>
      <c r="BO177" s="2"/>
      <c r="BS177" s="11"/>
      <c r="BT177" s="2"/>
      <c r="BU177" s="3"/>
      <c r="BV177" s="3"/>
      <c r="BW177" s="2"/>
      <c r="BX177" s="2"/>
      <c r="BY177" s="2"/>
      <c r="BZ177" s="2"/>
      <c r="CA177" s="46"/>
      <c r="CB177" s="1"/>
      <c r="CC177" s="7"/>
      <c r="CD177" s="1"/>
      <c r="CE177" s="1"/>
      <c r="CF177" s="1"/>
      <c r="CG177" s="1"/>
      <c r="CH177" s="1"/>
      <c r="CI177" s="2"/>
      <c r="CJ177" s="2"/>
      <c r="CK177" s="2"/>
      <c r="CL177" s="2"/>
      <c r="CM177" s="2"/>
      <c r="CN177" s="2"/>
      <c r="CO177" s="2"/>
      <c r="CP177" s="2"/>
      <c r="CQ177" s="2"/>
      <c r="CR177" s="2"/>
      <c r="CS177" s="2"/>
      <c r="CT177" s="2"/>
      <c r="CU177" s="2"/>
      <c r="CV177" s="2"/>
      <c r="CW177" s="2"/>
      <c r="CX177" s="2"/>
      <c r="CY177" s="2"/>
      <c r="CZ177" s="2"/>
    </row>
    <row r="178" spans="43:104" ht="15" hidden="1" customHeight="1" x14ac:dyDescent="0.2">
      <c r="AQ178" s="13"/>
      <c r="AR178" s="12">
        <v>1160000</v>
      </c>
      <c r="AS178" s="12">
        <v>1130000</v>
      </c>
      <c r="AT178" s="2"/>
      <c r="AU178" s="2"/>
      <c r="AV178" s="2"/>
      <c r="AW178" s="2"/>
      <c r="AX178" s="2"/>
      <c r="AY178" s="2"/>
      <c r="AZ178" s="2"/>
      <c r="BA178" s="2"/>
      <c r="BB178" s="2"/>
      <c r="BC178" s="2"/>
      <c r="BD178" s="2"/>
      <c r="BE178" s="2"/>
      <c r="BK178" s="84"/>
      <c r="BL178" s="2"/>
      <c r="BM178" s="2"/>
      <c r="BN178" s="2"/>
      <c r="BO178" s="2"/>
      <c r="BS178" s="11"/>
      <c r="BT178" s="2"/>
      <c r="BU178" s="3"/>
      <c r="BV178" s="3"/>
      <c r="BW178" s="2"/>
      <c r="BX178" s="2"/>
      <c r="BY178" s="2"/>
      <c r="BZ178" s="2"/>
      <c r="CA178" s="2"/>
      <c r="CB178" s="2"/>
      <c r="CC178" s="2"/>
      <c r="CD178" s="1"/>
      <c r="CE178" s="1"/>
      <c r="CF178" s="1"/>
      <c r="CG178" s="1"/>
      <c r="CH178" s="1"/>
      <c r="CI178" s="2"/>
      <c r="CJ178" s="2"/>
      <c r="CK178" s="2"/>
      <c r="CL178" s="2"/>
      <c r="CM178" s="2"/>
      <c r="CN178" s="2"/>
      <c r="CO178" s="2"/>
      <c r="CP178" s="2"/>
      <c r="CQ178" s="2"/>
      <c r="CR178" s="2"/>
      <c r="CS178" s="2"/>
      <c r="CT178" s="2"/>
      <c r="CU178" s="2"/>
      <c r="CV178" s="2"/>
      <c r="CW178" s="2"/>
      <c r="CX178" s="2"/>
      <c r="CY178" s="2"/>
      <c r="CZ178" s="2"/>
    </row>
    <row r="179" spans="43:104" ht="15" hidden="1" customHeight="1" x14ac:dyDescent="0.2">
      <c r="AQ179" s="85"/>
      <c r="AR179" s="12">
        <v>1165000</v>
      </c>
      <c r="AS179" s="12">
        <v>1140000</v>
      </c>
      <c r="AT179" s="2"/>
      <c r="AU179" s="2"/>
      <c r="AV179" s="2"/>
      <c r="AW179" s="2"/>
      <c r="AX179" s="2"/>
      <c r="AY179" s="2"/>
      <c r="AZ179" s="2"/>
      <c r="BA179" s="2"/>
      <c r="BB179" s="2"/>
      <c r="BC179" s="2"/>
      <c r="BD179" s="2"/>
      <c r="BE179" s="2"/>
      <c r="BK179" s="84"/>
      <c r="BL179" s="2"/>
      <c r="BM179" s="2"/>
      <c r="BN179" s="2"/>
      <c r="BO179" s="2"/>
      <c r="BS179" s="11"/>
      <c r="BT179" s="2"/>
      <c r="BU179" s="3"/>
      <c r="BV179" s="3"/>
      <c r="BW179" s="2"/>
      <c r="BX179" s="2"/>
      <c r="BY179" s="2"/>
      <c r="BZ179" s="2"/>
      <c r="CA179" s="2"/>
      <c r="CB179" s="2"/>
      <c r="CC179" s="2"/>
      <c r="CD179" s="1"/>
      <c r="CE179" s="1"/>
      <c r="CF179" s="1"/>
      <c r="CG179" s="1"/>
      <c r="CH179" s="1"/>
      <c r="CI179" s="2"/>
      <c r="CJ179" s="2"/>
      <c r="CK179" s="2"/>
      <c r="CL179" s="2"/>
      <c r="CM179" s="2"/>
      <c r="CN179" s="2"/>
      <c r="CO179" s="2"/>
      <c r="CP179" s="2"/>
      <c r="CQ179" s="2"/>
      <c r="CR179" s="2"/>
      <c r="CS179" s="2"/>
      <c r="CT179" s="2"/>
      <c r="CU179" s="2"/>
      <c r="CV179" s="2"/>
      <c r="CW179" s="2"/>
      <c r="CX179" s="2"/>
      <c r="CY179" s="2"/>
      <c r="CZ179" s="2"/>
    </row>
    <row r="180" spans="43:104" ht="15" hidden="1" customHeight="1" x14ac:dyDescent="0.2">
      <c r="AQ180" s="12"/>
      <c r="AR180" s="12">
        <v>1170000</v>
      </c>
      <c r="AS180" s="12">
        <v>1150000</v>
      </c>
      <c r="AT180" s="2"/>
      <c r="AU180" s="2"/>
      <c r="AV180" s="2"/>
      <c r="AW180" s="2"/>
      <c r="AX180" s="2"/>
      <c r="AY180" s="2"/>
      <c r="AZ180" s="2"/>
      <c r="BA180" s="2"/>
      <c r="BB180" s="2"/>
      <c r="BC180" s="2"/>
      <c r="BD180" s="2"/>
      <c r="BE180" s="2"/>
      <c r="BK180" s="84"/>
      <c r="BL180" s="2"/>
      <c r="BM180" s="2"/>
      <c r="BN180" s="2"/>
      <c r="BO180" s="2"/>
      <c r="BS180" s="11"/>
      <c r="BT180" s="2"/>
      <c r="BU180" s="3"/>
      <c r="BV180" s="3"/>
      <c r="BW180" s="2"/>
      <c r="BX180" s="2"/>
      <c r="BY180" s="2"/>
      <c r="BZ180" s="2"/>
      <c r="CA180" s="2"/>
      <c r="CB180" s="2"/>
      <c r="CC180" s="2"/>
      <c r="CD180" s="1"/>
      <c r="CE180" s="1"/>
      <c r="CF180" s="1"/>
      <c r="CG180" s="1"/>
      <c r="CH180" s="1"/>
      <c r="CI180" s="2"/>
      <c r="CJ180" s="2"/>
      <c r="CK180" s="2"/>
      <c r="CL180" s="2"/>
      <c r="CM180" s="2"/>
      <c r="CN180" s="2"/>
      <c r="CO180" s="2"/>
      <c r="CP180" s="2"/>
      <c r="CQ180" s="2"/>
      <c r="CR180" s="2"/>
      <c r="CS180" s="2"/>
      <c r="CT180" s="2"/>
      <c r="CU180" s="2"/>
      <c r="CV180" s="2"/>
      <c r="CW180" s="2"/>
      <c r="CX180" s="2"/>
      <c r="CY180" s="2"/>
      <c r="CZ180" s="2"/>
    </row>
    <row r="181" spans="43:104" ht="15" hidden="1" customHeight="1" x14ac:dyDescent="0.2">
      <c r="AQ181" s="12"/>
      <c r="AR181" s="12">
        <v>1175000</v>
      </c>
      <c r="AS181" s="12">
        <v>1160000</v>
      </c>
      <c r="AT181" s="2"/>
      <c r="AU181" s="2"/>
      <c r="AV181" s="2"/>
      <c r="AW181" s="2"/>
      <c r="AX181" s="2"/>
      <c r="AY181" s="2"/>
      <c r="AZ181" s="2"/>
      <c r="BA181" s="2"/>
      <c r="BB181" s="2"/>
      <c r="BC181" s="2"/>
      <c r="BD181" s="2"/>
      <c r="BE181" s="2"/>
      <c r="BK181" s="84"/>
      <c r="BL181" s="2"/>
      <c r="BM181" s="2"/>
      <c r="BN181" s="2"/>
      <c r="BO181" s="2"/>
      <c r="BS181" s="11"/>
      <c r="BT181" s="2"/>
      <c r="BU181" s="3"/>
      <c r="BV181" s="3"/>
      <c r="BW181" s="2"/>
      <c r="BX181" s="2"/>
      <c r="BY181" s="2"/>
      <c r="BZ181" s="2"/>
      <c r="CA181" s="2"/>
      <c r="CB181" s="2"/>
      <c r="CC181" s="2"/>
      <c r="CD181" s="1"/>
      <c r="CE181" s="1"/>
      <c r="CF181" s="1"/>
      <c r="CG181" s="1"/>
      <c r="CH181" s="1"/>
      <c r="CI181" s="2"/>
      <c r="CJ181" s="2"/>
      <c r="CK181" s="2"/>
      <c r="CL181" s="2"/>
      <c r="CM181" s="2"/>
      <c r="CN181" s="2"/>
      <c r="CO181" s="2"/>
      <c r="CP181" s="2"/>
      <c r="CQ181" s="2"/>
      <c r="CR181" s="2"/>
      <c r="CS181" s="2"/>
      <c r="CT181" s="2"/>
      <c r="CU181" s="2"/>
      <c r="CV181" s="2"/>
      <c r="CW181" s="2"/>
      <c r="CX181" s="2"/>
      <c r="CY181" s="2"/>
      <c r="CZ181" s="2"/>
    </row>
    <row r="182" spans="43:104" ht="15" hidden="1" customHeight="1" x14ac:dyDescent="0.2">
      <c r="AQ182" s="13"/>
      <c r="AR182" s="12">
        <v>1180000</v>
      </c>
      <c r="AS182" s="12">
        <v>1170000</v>
      </c>
      <c r="AT182" s="2"/>
      <c r="AU182" s="2"/>
      <c r="AV182" s="2"/>
      <c r="AW182" s="2"/>
      <c r="AX182" s="2"/>
      <c r="AY182" s="2"/>
      <c r="AZ182" s="2"/>
      <c r="BA182" s="2"/>
      <c r="BB182" s="2"/>
      <c r="BC182" s="2"/>
      <c r="BD182" s="2"/>
      <c r="BE182" s="2"/>
      <c r="BK182" s="84"/>
      <c r="BL182" s="2"/>
      <c r="BM182" s="2"/>
      <c r="BN182" s="2"/>
      <c r="BO182" s="2"/>
      <c r="BS182" s="11"/>
      <c r="BT182" s="2"/>
      <c r="BU182" s="3"/>
      <c r="BV182" s="3"/>
      <c r="BW182" s="2"/>
      <c r="BX182" s="2"/>
      <c r="BY182" s="2"/>
      <c r="BZ182" s="2"/>
      <c r="CA182" s="46"/>
      <c r="CB182" s="1"/>
      <c r="CC182" s="1"/>
      <c r="CD182" s="1"/>
      <c r="CE182" s="1"/>
      <c r="CF182" s="1"/>
      <c r="CG182" s="1"/>
      <c r="CH182" s="1"/>
      <c r="CI182" s="2"/>
      <c r="CJ182" s="2"/>
      <c r="CK182" s="2"/>
      <c r="CL182" s="2"/>
      <c r="CM182" s="2"/>
      <c r="CN182" s="2"/>
      <c r="CO182" s="2"/>
      <c r="CP182" s="2"/>
      <c r="CQ182" s="2"/>
      <c r="CR182" s="2"/>
      <c r="CS182" s="2"/>
      <c r="CT182" s="2"/>
      <c r="CU182" s="2"/>
      <c r="CV182" s="2"/>
      <c r="CW182" s="2"/>
      <c r="CX182" s="2"/>
      <c r="CY182" s="2"/>
      <c r="CZ182" s="2"/>
    </row>
    <row r="183" spans="43:104" ht="15" hidden="1" customHeight="1" x14ac:dyDescent="0.2">
      <c r="AQ183" s="13"/>
      <c r="AR183" s="12">
        <v>1185000</v>
      </c>
      <c r="AS183" s="12">
        <v>1180000</v>
      </c>
      <c r="AT183" s="2"/>
      <c r="AU183" s="2"/>
      <c r="AV183" s="2"/>
      <c r="AW183" s="2"/>
      <c r="AX183" s="2"/>
      <c r="AY183" s="2"/>
      <c r="AZ183" s="2"/>
      <c r="BA183" s="2"/>
      <c r="BB183" s="2"/>
      <c r="BC183" s="2"/>
      <c r="BD183" s="2"/>
      <c r="BE183" s="2"/>
      <c r="BK183" s="84"/>
      <c r="BL183" s="2"/>
      <c r="BM183" s="2"/>
      <c r="BN183" s="2"/>
      <c r="BO183" s="2"/>
      <c r="BS183" s="11"/>
      <c r="BT183" s="2"/>
      <c r="BU183" s="3"/>
      <c r="BV183" s="3"/>
      <c r="BW183" s="2"/>
      <c r="BX183" s="2"/>
      <c r="BY183" s="2"/>
      <c r="BZ183" s="2"/>
      <c r="CA183" s="2"/>
      <c r="CB183" s="2"/>
      <c r="CC183" s="2"/>
      <c r="CD183" s="1"/>
      <c r="CE183" s="1"/>
      <c r="CF183" s="1"/>
      <c r="CG183" s="1"/>
      <c r="CH183" s="1"/>
      <c r="CI183" s="2"/>
      <c r="CJ183" s="2"/>
      <c r="CK183" s="2"/>
      <c r="CL183" s="2"/>
      <c r="CM183" s="2"/>
      <c r="CN183" s="2"/>
      <c r="CO183" s="2"/>
      <c r="CP183" s="2"/>
      <c r="CQ183" s="2"/>
      <c r="CR183" s="2"/>
      <c r="CS183" s="2"/>
      <c r="CT183" s="2"/>
      <c r="CU183" s="2"/>
      <c r="CV183" s="2"/>
      <c r="CW183" s="2"/>
      <c r="CX183" s="2"/>
      <c r="CY183" s="2"/>
      <c r="CZ183" s="2"/>
    </row>
    <row r="184" spans="43:104" ht="15" hidden="1" customHeight="1" x14ac:dyDescent="0.2">
      <c r="AQ184" s="85"/>
      <c r="AR184" s="12">
        <v>1190000</v>
      </c>
      <c r="AS184" s="12">
        <v>1190000</v>
      </c>
      <c r="AT184" s="2"/>
      <c r="AU184" s="2"/>
      <c r="AV184" s="2"/>
      <c r="AW184" s="2"/>
      <c r="AX184" s="2"/>
      <c r="AY184" s="2"/>
      <c r="AZ184" s="2"/>
      <c r="BA184" s="2"/>
      <c r="BB184" s="2"/>
      <c r="BC184" s="2"/>
      <c r="BD184" s="2"/>
      <c r="BE184" s="2"/>
      <c r="BK184" s="84"/>
      <c r="BL184" s="2"/>
      <c r="BM184" s="2"/>
      <c r="BN184" s="2"/>
      <c r="BO184" s="2"/>
      <c r="BS184" s="11"/>
      <c r="BT184" s="2"/>
      <c r="BU184" s="3"/>
      <c r="BV184" s="3"/>
      <c r="BW184" s="2"/>
      <c r="BX184" s="2"/>
      <c r="BY184" s="2"/>
      <c r="BZ184" s="2"/>
      <c r="CA184" s="2"/>
      <c r="CB184" s="2"/>
      <c r="CC184" s="2"/>
      <c r="CD184" s="1"/>
      <c r="CE184" s="1"/>
      <c r="CF184" s="1"/>
      <c r="CG184" s="1"/>
      <c r="CH184" s="1"/>
      <c r="CI184" s="2"/>
      <c r="CJ184" s="2"/>
      <c r="CK184" s="2"/>
      <c r="CL184" s="2"/>
      <c r="CM184" s="2"/>
      <c r="CN184" s="2"/>
      <c r="CO184" s="2"/>
      <c r="CP184" s="2"/>
      <c r="CQ184" s="2"/>
      <c r="CR184" s="2"/>
      <c r="CS184" s="2"/>
      <c r="CT184" s="2"/>
      <c r="CU184" s="2"/>
      <c r="CV184" s="2"/>
      <c r="CW184" s="2"/>
      <c r="CX184" s="2"/>
      <c r="CY184" s="2"/>
      <c r="CZ184" s="2"/>
    </row>
    <row r="185" spans="43:104" ht="15" hidden="1" customHeight="1" x14ac:dyDescent="0.2">
      <c r="AQ185" s="12"/>
      <c r="AR185" s="12">
        <v>1195000</v>
      </c>
      <c r="AS185" s="12">
        <v>1200000</v>
      </c>
      <c r="AT185" s="2"/>
      <c r="AU185" s="2"/>
      <c r="AV185" s="2"/>
      <c r="AW185" s="2"/>
      <c r="AX185" s="2"/>
      <c r="AY185" s="2"/>
      <c r="AZ185" s="2"/>
      <c r="BA185" s="2"/>
      <c r="BB185" s="2"/>
      <c r="BC185" s="2"/>
      <c r="BD185" s="2"/>
      <c r="BE185" s="2"/>
      <c r="BK185" s="84"/>
      <c r="BL185" s="2"/>
      <c r="BM185" s="2"/>
      <c r="BN185" s="2"/>
      <c r="BO185" s="2"/>
      <c r="BS185" s="11"/>
      <c r="BT185" s="2"/>
      <c r="BU185" s="3"/>
      <c r="BV185" s="3"/>
      <c r="BW185" s="2"/>
      <c r="BX185" s="2"/>
      <c r="BY185" s="2"/>
      <c r="BZ185" s="2"/>
      <c r="CA185" s="2"/>
      <c r="CB185" s="2"/>
      <c r="CC185" s="2"/>
      <c r="CD185" s="1"/>
      <c r="CE185" s="1"/>
      <c r="CF185" s="1"/>
      <c r="CG185" s="1"/>
      <c r="CH185" s="1"/>
      <c r="CI185" s="2"/>
      <c r="CJ185" s="2"/>
      <c r="CK185" s="2"/>
      <c r="CL185" s="2"/>
      <c r="CM185" s="2"/>
      <c r="CN185" s="2"/>
      <c r="CO185" s="2"/>
      <c r="CP185" s="2"/>
      <c r="CQ185" s="2"/>
      <c r="CR185" s="2"/>
      <c r="CS185" s="2"/>
      <c r="CT185" s="2"/>
      <c r="CU185" s="2"/>
      <c r="CV185" s="2"/>
      <c r="CW185" s="2"/>
      <c r="CX185" s="2"/>
      <c r="CY185" s="2"/>
      <c r="CZ185" s="2"/>
    </row>
    <row r="186" spans="43:104" ht="15" hidden="1" customHeight="1" x14ac:dyDescent="0.2">
      <c r="AQ186" s="12"/>
      <c r="AR186" s="12">
        <v>1200000</v>
      </c>
      <c r="AS186" s="12">
        <v>1210000</v>
      </c>
      <c r="AT186" s="2"/>
      <c r="AU186" s="2"/>
      <c r="AV186" s="2"/>
      <c r="AW186" s="2"/>
      <c r="AX186" s="2"/>
      <c r="AY186" s="2"/>
      <c r="AZ186" s="2"/>
      <c r="BA186" s="2"/>
      <c r="BB186" s="2"/>
      <c r="BC186" s="2"/>
      <c r="BD186" s="2"/>
      <c r="BE186" s="2"/>
      <c r="BK186" s="84"/>
      <c r="BL186" s="2"/>
      <c r="BM186" s="2"/>
      <c r="BN186" s="2"/>
      <c r="BO186" s="2"/>
      <c r="BS186" s="11"/>
      <c r="BT186" s="2"/>
      <c r="BU186" s="3"/>
      <c r="BV186" s="3"/>
      <c r="BW186" s="2"/>
      <c r="BX186" s="2"/>
      <c r="BY186" s="2"/>
      <c r="BZ186" s="2"/>
      <c r="CA186" s="46"/>
      <c r="CB186" s="1"/>
      <c r="CC186" s="1"/>
      <c r="CD186" s="1"/>
      <c r="CE186" s="1"/>
      <c r="CF186" s="1"/>
      <c r="CG186" s="1"/>
      <c r="CH186" s="1"/>
      <c r="CI186" s="2"/>
      <c r="CJ186" s="2"/>
      <c r="CK186" s="2"/>
      <c r="CL186" s="2"/>
      <c r="CM186" s="2"/>
      <c r="CN186" s="2"/>
      <c r="CO186" s="2"/>
      <c r="CP186" s="2"/>
      <c r="CQ186" s="2"/>
      <c r="CR186" s="2"/>
      <c r="CS186" s="2"/>
      <c r="CT186" s="2"/>
      <c r="CU186" s="2"/>
      <c r="CV186" s="2"/>
      <c r="CW186" s="2"/>
      <c r="CX186" s="2"/>
      <c r="CY186" s="2"/>
      <c r="CZ186" s="2"/>
    </row>
    <row r="187" spans="43:104" ht="15" hidden="1" customHeight="1" x14ac:dyDescent="0.2">
      <c r="AQ187" s="13"/>
      <c r="AR187" s="12">
        <v>1205000</v>
      </c>
      <c r="AS187" s="12">
        <v>1220000</v>
      </c>
      <c r="AT187" s="2"/>
      <c r="AU187" s="2"/>
      <c r="AV187" s="2"/>
      <c r="AW187" s="2"/>
      <c r="AX187" s="2"/>
      <c r="AY187" s="2"/>
      <c r="AZ187" s="2"/>
      <c r="BA187" s="2"/>
      <c r="BB187" s="2"/>
      <c r="BC187" s="2"/>
      <c r="BD187" s="2"/>
      <c r="BE187" s="2"/>
      <c r="BK187" s="84"/>
      <c r="BL187" s="2"/>
      <c r="BM187" s="2"/>
      <c r="BN187" s="2"/>
      <c r="BO187" s="2"/>
      <c r="BS187" s="11"/>
      <c r="BT187" s="2"/>
      <c r="BU187" s="3"/>
      <c r="BV187" s="3"/>
      <c r="BW187" s="2"/>
      <c r="BX187" s="2"/>
      <c r="BY187" s="2"/>
      <c r="BZ187" s="2"/>
      <c r="CA187" s="46"/>
      <c r="CB187" s="1"/>
      <c r="CC187" s="1"/>
      <c r="CD187" s="1"/>
      <c r="CE187" s="1"/>
      <c r="CF187" s="1"/>
      <c r="CG187" s="1"/>
      <c r="CH187" s="1"/>
      <c r="CI187" s="2"/>
      <c r="CJ187" s="2"/>
      <c r="CK187" s="2"/>
      <c r="CL187" s="2"/>
      <c r="CM187" s="2"/>
      <c r="CN187" s="2"/>
      <c r="CO187" s="2"/>
      <c r="CP187" s="2"/>
      <c r="CQ187" s="2"/>
      <c r="CR187" s="2"/>
      <c r="CS187" s="2"/>
      <c r="CT187" s="2"/>
      <c r="CU187" s="2"/>
      <c r="CV187" s="2"/>
      <c r="CW187" s="2"/>
      <c r="CX187" s="2"/>
      <c r="CY187" s="2"/>
      <c r="CZ187" s="2"/>
    </row>
    <row r="188" spans="43:104" ht="15" hidden="1" customHeight="1" x14ac:dyDescent="0.2">
      <c r="AQ188" s="13"/>
      <c r="AR188" s="12">
        <v>1210000</v>
      </c>
      <c r="AS188" s="12">
        <v>1230000</v>
      </c>
      <c r="AT188" s="2"/>
      <c r="AU188" s="2"/>
      <c r="AV188" s="2"/>
      <c r="AW188" s="2"/>
      <c r="AX188" s="2"/>
      <c r="AY188" s="2"/>
      <c r="AZ188" s="2"/>
      <c r="BA188" s="2"/>
      <c r="BB188" s="2"/>
      <c r="BC188" s="2"/>
      <c r="BD188" s="2"/>
      <c r="BE188" s="2"/>
      <c r="BK188" s="84"/>
      <c r="BL188" s="2"/>
      <c r="BM188" s="2"/>
      <c r="BN188" s="2"/>
      <c r="BO188" s="2"/>
      <c r="BS188" s="11"/>
      <c r="BT188" s="2"/>
      <c r="BU188" s="3"/>
      <c r="BV188" s="3"/>
      <c r="BW188" s="2"/>
      <c r="BX188" s="2"/>
      <c r="BY188" s="2"/>
      <c r="BZ188" s="2"/>
      <c r="CA188" s="46"/>
      <c r="CB188" s="1"/>
      <c r="CC188" s="1"/>
      <c r="CD188" s="1"/>
      <c r="CE188" s="1"/>
      <c r="CF188" s="1"/>
      <c r="CG188" s="1"/>
      <c r="CH188" s="1"/>
      <c r="CI188" s="2"/>
      <c r="CJ188" s="2"/>
      <c r="CK188" s="2"/>
      <c r="CL188" s="2"/>
      <c r="CM188" s="2"/>
      <c r="CN188" s="2"/>
      <c r="CO188" s="2"/>
      <c r="CP188" s="2"/>
      <c r="CQ188" s="2"/>
      <c r="CR188" s="2"/>
      <c r="CS188" s="2"/>
      <c r="CT188" s="2"/>
      <c r="CU188" s="2"/>
      <c r="CV188" s="2"/>
      <c r="CW188" s="2"/>
      <c r="CX188" s="2"/>
      <c r="CY188" s="2"/>
      <c r="CZ188" s="2"/>
    </row>
    <row r="189" spans="43:104" ht="15" hidden="1" customHeight="1" x14ac:dyDescent="0.2">
      <c r="AQ189" s="85"/>
      <c r="AR189" s="12">
        <v>1215000</v>
      </c>
      <c r="AS189" s="12">
        <v>1240000</v>
      </c>
      <c r="AT189" s="2"/>
      <c r="AU189" s="2"/>
      <c r="AV189" s="2"/>
      <c r="AW189" s="2"/>
      <c r="AX189" s="2"/>
      <c r="AY189" s="2"/>
      <c r="AZ189" s="2"/>
      <c r="BA189" s="2"/>
      <c r="BB189" s="2"/>
      <c r="BC189" s="2"/>
      <c r="BD189" s="2"/>
      <c r="BE189" s="2"/>
      <c r="BK189" s="84"/>
      <c r="BL189" s="2"/>
      <c r="BM189" s="2"/>
      <c r="BN189" s="2"/>
      <c r="BO189" s="2"/>
      <c r="BS189" s="11"/>
      <c r="BT189" s="2"/>
      <c r="BU189" s="3"/>
      <c r="BV189" s="3"/>
      <c r="BW189" s="2"/>
      <c r="BX189" s="2"/>
      <c r="BY189" s="2"/>
      <c r="BZ189" s="2"/>
      <c r="CA189" s="46"/>
      <c r="CB189" s="1"/>
      <c r="CC189" s="1"/>
      <c r="CD189" s="1"/>
      <c r="CE189" s="1"/>
      <c r="CF189" s="1"/>
      <c r="CG189" s="1"/>
      <c r="CH189" s="1"/>
      <c r="CI189" s="2"/>
      <c r="CJ189" s="2"/>
      <c r="CK189" s="2"/>
      <c r="CL189" s="2"/>
      <c r="CM189" s="2"/>
      <c r="CN189" s="2"/>
      <c r="CO189" s="2"/>
      <c r="CP189" s="2"/>
      <c r="CQ189" s="2"/>
      <c r="CR189" s="2"/>
      <c r="CS189" s="2"/>
      <c r="CT189" s="2"/>
      <c r="CU189" s="2"/>
      <c r="CV189" s="2"/>
      <c r="CW189" s="2"/>
      <c r="CX189" s="2"/>
      <c r="CY189" s="2"/>
      <c r="CZ189" s="2"/>
    </row>
    <row r="190" spans="43:104" ht="15" hidden="1" customHeight="1" x14ac:dyDescent="0.2">
      <c r="AQ190" s="12"/>
      <c r="AR190" s="12">
        <v>1220000</v>
      </c>
      <c r="AS190" s="12">
        <v>1250000</v>
      </c>
      <c r="AT190" s="2"/>
      <c r="AU190" s="2"/>
      <c r="AV190" s="2"/>
      <c r="AW190" s="2"/>
      <c r="AX190" s="2"/>
      <c r="AY190" s="2"/>
      <c r="AZ190" s="2"/>
      <c r="BA190" s="2"/>
      <c r="BB190" s="2"/>
      <c r="BC190" s="2"/>
      <c r="BD190" s="2"/>
      <c r="BE190" s="2"/>
      <c r="BK190" s="84"/>
      <c r="BL190" s="2"/>
      <c r="BM190" s="2"/>
      <c r="BN190" s="2"/>
      <c r="BO190" s="2"/>
      <c r="BS190" s="11"/>
      <c r="BT190" s="2"/>
      <c r="BU190" s="3"/>
      <c r="BV190" s="3"/>
      <c r="BW190" s="2"/>
      <c r="BX190" s="2"/>
      <c r="BY190" s="2"/>
      <c r="BZ190" s="2"/>
      <c r="CA190" s="46"/>
      <c r="CB190" s="1"/>
      <c r="CC190" s="1"/>
      <c r="CD190" s="1"/>
      <c r="CE190" s="1"/>
      <c r="CF190" s="1"/>
      <c r="CG190" s="1"/>
      <c r="CH190" s="1"/>
      <c r="CI190" s="2"/>
      <c r="CJ190" s="2"/>
      <c r="CK190" s="2"/>
      <c r="CL190" s="2"/>
      <c r="CM190" s="2"/>
      <c r="CN190" s="2"/>
      <c r="CO190" s="2"/>
      <c r="CP190" s="2"/>
      <c r="CQ190" s="2"/>
      <c r="CR190" s="2"/>
      <c r="CS190" s="2"/>
      <c r="CT190" s="2"/>
      <c r="CU190" s="2"/>
      <c r="CV190" s="2"/>
      <c r="CW190" s="2"/>
      <c r="CX190" s="2"/>
      <c r="CY190" s="2"/>
      <c r="CZ190" s="2"/>
    </row>
    <row r="191" spans="43:104" ht="15" hidden="1" customHeight="1" x14ac:dyDescent="0.2">
      <c r="AQ191" s="12"/>
      <c r="AR191" s="12">
        <v>1225000</v>
      </c>
      <c r="AS191" s="12">
        <v>1260000</v>
      </c>
      <c r="AT191" s="2"/>
      <c r="AU191" s="2"/>
      <c r="AV191" s="2"/>
      <c r="AW191" s="2"/>
      <c r="AX191" s="2"/>
      <c r="AY191" s="2"/>
      <c r="AZ191" s="2"/>
      <c r="BA191" s="2"/>
      <c r="BB191" s="2"/>
      <c r="BC191" s="2"/>
      <c r="BD191" s="2"/>
      <c r="BE191" s="2"/>
      <c r="BK191" s="84"/>
      <c r="BL191" s="2"/>
      <c r="BM191" s="2"/>
      <c r="BN191" s="2"/>
      <c r="BO191" s="2"/>
      <c r="BS191" s="11"/>
      <c r="BT191" s="2"/>
      <c r="BU191" s="3"/>
      <c r="BV191" s="3"/>
      <c r="BW191" s="2"/>
      <c r="BX191" s="2"/>
      <c r="BY191" s="2"/>
      <c r="BZ191" s="2"/>
      <c r="CA191" s="46"/>
      <c r="CB191" s="1"/>
      <c r="CC191" s="1"/>
      <c r="CD191" s="1"/>
      <c r="CE191" s="1"/>
      <c r="CF191" s="1"/>
      <c r="CG191" s="1"/>
      <c r="CH191" s="1"/>
      <c r="CI191" s="2"/>
      <c r="CJ191" s="2"/>
      <c r="CK191" s="2"/>
      <c r="CL191" s="2"/>
      <c r="CM191" s="2"/>
      <c r="CN191" s="2"/>
      <c r="CO191" s="2"/>
      <c r="CP191" s="2"/>
      <c r="CQ191" s="2"/>
      <c r="CR191" s="2"/>
      <c r="CS191" s="2"/>
      <c r="CT191" s="2"/>
      <c r="CU191" s="2"/>
      <c r="CV191" s="2"/>
      <c r="CW191" s="2"/>
      <c r="CX191" s="2"/>
      <c r="CY191" s="2"/>
      <c r="CZ191" s="2"/>
    </row>
    <row r="192" spans="43:104" ht="15" hidden="1" customHeight="1" x14ac:dyDescent="0.2">
      <c r="AQ192" s="13"/>
      <c r="AR192" s="12">
        <v>1230000</v>
      </c>
      <c r="AS192" s="12">
        <v>1270000</v>
      </c>
      <c r="AT192" s="2"/>
      <c r="AU192" s="2"/>
      <c r="AV192" s="2"/>
      <c r="AW192" s="2"/>
      <c r="AX192" s="2"/>
      <c r="AY192" s="2"/>
      <c r="AZ192" s="2"/>
      <c r="BA192" s="2"/>
      <c r="BB192" s="2"/>
      <c r="BC192" s="2"/>
      <c r="BD192" s="2"/>
      <c r="BE192" s="2"/>
      <c r="BK192" s="84"/>
      <c r="BL192" s="2"/>
      <c r="BM192" s="2"/>
      <c r="BN192" s="2"/>
      <c r="BO192" s="2"/>
      <c r="BS192" s="11"/>
      <c r="BT192" s="2"/>
      <c r="BU192" s="3"/>
      <c r="BV192" s="3"/>
      <c r="BW192" s="2"/>
      <c r="BX192" s="2"/>
      <c r="BY192" s="2"/>
      <c r="BZ192" s="2"/>
      <c r="CA192" s="46"/>
      <c r="CB192" s="1"/>
      <c r="CC192" s="7"/>
      <c r="CD192" s="1"/>
      <c r="CE192" s="1"/>
      <c r="CF192" s="1"/>
      <c r="CG192" s="1"/>
      <c r="CH192" s="1"/>
      <c r="CI192" s="2"/>
      <c r="CJ192" s="2"/>
      <c r="CK192" s="2"/>
      <c r="CL192" s="2"/>
      <c r="CM192" s="2"/>
      <c r="CN192" s="2"/>
      <c r="CO192" s="2"/>
      <c r="CP192" s="2"/>
      <c r="CQ192" s="2"/>
      <c r="CR192" s="2"/>
      <c r="CS192" s="2"/>
      <c r="CT192" s="2"/>
      <c r="CU192" s="2"/>
      <c r="CV192" s="2"/>
      <c r="CW192" s="2"/>
      <c r="CX192" s="2"/>
      <c r="CY192" s="2"/>
      <c r="CZ192" s="2"/>
    </row>
    <row r="193" spans="43:104" ht="15" hidden="1" customHeight="1" x14ac:dyDescent="0.2">
      <c r="AQ193" s="13"/>
      <c r="AR193" s="12">
        <v>1235000</v>
      </c>
      <c r="AS193" s="12">
        <v>1280000</v>
      </c>
      <c r="AT193" s="2"/>
      <c r="AU193" s="2"/>
      <c r="AV193" s="2"/>
      <c r="AW193" s="2"/>
      <c r="AX193" s="2"/>
      <c r="AY193" s="2"/>
      <c r="AZ193" s="2"/>
      <c r="BA193" s="2"/>
      <c r="BB193" s="2"/>
      <c r="BC193" s="2"/>
      <c r="BD193" s="2"/>
      <c r="BE193" s="2"/>
      <c r="BK193" s="84"/>
      <c r="BL193" s="2"/>
      <c r="BM193" s="2"/>
      <c r="BN193" s="2"/>
      <c r="BO193" s="2"/>
      <c r="BS193" s="11"/>
      <c r="BT193" s="2"/>
      <c r="BU193" s="3"/>
      <c r="BV193" s="3"/>
      <c r="BW193" s="2"/>
      <c r="BX193" s="2"/>
      <c r="BY193" s="2"/>
      <c r="BZ193" s="2"/>
      <c r="CA193" s="2"/>
      <c r="CB193" s="2"/>
      <c r="CC193" s="2"/>
      <c r="CD193" s="1"/>
      <c r="CE193" s="1"/>
      <c r="CF193" s="1"/>
      <c r="CG193" s="1"/>
      <c r="CH193" s="1"/>
      <c r="CI193" s="2"/>
      <c r="CJ193" s="2"/>
      <c r="CK193" s="2"/>
      <c r="CL193" s="2"/>
      <c r="CM193" s="2"/>
      <c r="CN193" s="2"/>
      <c r="CO193" s="2"/>
      <c r="CP193" s="2"/>
      <c r="CQ193" s="2"/>
      <c r="CR193" s="2"/>
      <c r="CS193" s="2"/>
      <c r="CT193" s="2"/>
      <c r="CU193" s="2"/>
      <c r="CV193" s="2"/>
      <c r="CW193" s="2"/>
      <c r="CX193" s="2"/>
      <c r="CY193" s="2"/>
      <c r="CZ193" s="2"/>
    </row>
    <row r="194" spans="43:104" ht="15" hidden="1" customHeight="1" x14ac:dyDescent="0.2">
      <c r="AQ194" s="85"/>
      <c r="AR194" s="12">
        <v>1240000</v>
      </c>
      <c r="AS194" s="12">
        <v>1290000</v>
      </c>
      <c r="AT194" s="2"/>
      <c r="AU194" s="2"/>
      <c r="AV194" s="2"/>
      <c r="AW194" s="2"/>
      <c r="AX194" s="2"/>
      <c r="AY194" s="2"/>
      <c r="AZ194" s="2"/>
      <c r="BA194" s="2"/>
      <c r="BB194" s="2"/>
      <c r="BC194" s="2"/>
      <c r="BD194" s="2"/>
      <c r="BE194" s="2"/>
      <c r="BK194" s="84"/>
      <c r="BL194" s="2"/>
      <c r="BM194" s="2"/>
      <c r="BN194" s="2"/>
      <c r="BO194" s="2"/>
      <c r="BS194" s="11"/>
      <c r="BT194" s="2"/>
      <c r="BU194" s="3"/>
      <c r="BV194" s="3"/>
      <c r="BW194" s="2"/>
      <c r="BX194" s="2"/>
      <c r="BY194" s="2"/>
      <c r="BZ194" s="2"/>
      <c r="CA194" s="2"/>
      <c r="CB194" s="2"/>
      <c r="CC194" s="2"/>
      <c r="CD194" s="1"/>
      <c r="CE194" s="1"/>
      <c r="CF194" s="1"/>
      <c r="CG194" s="1"/>
      <c r="CH194" s="1"/>
      <c r="CI194" s="2"/>
      <c r="CJ194" s="2"/>
      <c r="CK194" s="2"/>
      <c r="CL194" s="2"/>
      <c r="CM194" s="2"/>
      <c r="CN194" s="2"/>
      <c r="CO194" s="2"/>
      <c r="CP194" s="2"/>
      <c r="CQ194" s="2"/>
      <c r="CR194" s="2"/>
      <c r="CS194" s="2"/>
      <c r="CT194" s="2"/>
      <c r="CU194" s="2"/>
      <c r="CV194" s="2"/>
      <c r="CW194" s="2"/>
      <c r="CX194" s="2"/>
      <c r="CY194" s="2"/>
      <c r="CZ194" s="2"/>
    </row>
    <row r="195" spans="43:104" ht="15" hidden="1" customHeight="1" x14ac:dyDescent="0.2">
      <c r="AQ195" s="12"/>
      <c r="AR195" s="12">
        <v>1245000</v>
      </c>
      <c r="AS195" s="12">
        <v>1300000</v>
      </c>
      <c r="AT195" s="2"/>
      <c r="AU195" s="2"/>
      <c r="AV195" s="2"/>
      <c r="AW195" s="2"/>
      <c r="AX195" s="2"/>
      <c r="AY195" s="2"/>
      <c r="AZ195" s="2"/>
      <c r="BA195" s="2"/>
      <c r="BB195" s="2"/>
      <c r="BC195" s="2"/>
      <c r="BD195" s="2"/>
      <c r="BE195" s="2"/>
      <c r="BK195" s="84"/>
      <c r="BL195" s="2"/>
      <c r="BM195" s="2"/>
      <c r="BN195" s="2"/>
      <c r="BO195" s="2"/>
      <c r="BS195" s="11"/>
      <c r="BT195" s="2"/>
      <c r="BU195" s="3"/>
      <c r="BV195" s="3"/>
      <c r="BW195" s="2"/>
      <c r="BX195" s="2"/>
      <c r="BY195" s="2"/>
      <c r="BZ195" s="2"/>
      <c r="CA195" s="2"/>
      <c r="CB195" s="2"/>
      <c r="CC195" s="2"/>
      <c r="CD195" s="1"/>
      <c r="CE195" s="1"/>
      <c r="CF195" s="1"/>
      <c r="CG195" s="1"/>
      <c r="CH195" s="1"/>
      <c r="CI195" s="2"/>
      <c r="CJ195" s="2"/>
      <c r="CK195" s="2"/>
      <c r="CL195" s="2"/>
      <c r="CM195" s="2"/>
      <c r="CN195" s="2"/>
      <c r="CO195" s="2"/>
      <c r="CP195" s="2"/>
      <c r="CQ195" s="2"/>
      <c r="CR195" s="2"/>
      <c r="CS195" s="2"/>
      <c r="CT195" s="2"/>
      <c r="CU195" s="2"/>
      <c r="CV195" s="2"/>
      <c r="CW195" s="2"/>
      <c r="CX195" s="2"/>
      <c r="CY195" s="2"/>
      <c r="CZ195" s="2"/>
    </row>
    <row r="196" spans="43:104" ht="15" hidden="1" customHeight="1" x14ac:dyDescent="0.2">
      <c r="AQ196" s="12"/>
      <c r="AR196" s="12">
        <v>1250000</v>
      </c>
      <c r="AS196" s="12">
        <v>1310000</v>
      </c>
      <c r="AT196" s="2"/>
      <c r="AU196" s="2"/>
      <c r="AV196" s="2"/>
      <c r="AW196" s="2"/>
      <c r="AX196" s="2"/>
      <c r="AY196" s="2"/>
      <c r="AZ196" s="2"/>
      <c r="BA196" s="2"/>
      <c r="BB196" s="2"/>
      <c r="BC196" s="2"/>
      <c r="BD196" s="2"/>
      <c r="BE196" s="2"/>
      <c r="BK196" s="84"/>
      <c r="BL196" s="2"/>
      <c r="BM196" s="2"/>
      <c r="BN196" s="2"/>
      <c r="BO196" s="2"/>
      <c r="BS196" s="11"/>
      <c r="BT196" s="2"/>
      <c r="BU196" s="3"/>
      <c r="BV196" s="3"/>
      <c r="BW196" s="2"/>
      <c r="BX196" s="2"/>
      <c r="BY196" s="2"/>
      <c r="BZ196" s="2"/>
      <c r="CA196" s="2"/>
      <c r="CB196" s="2"/>
      <c r="CC196" s="2"/>
      <c r="CD196" s="1"/>
      <c r="CE196" s="1"/>
      <c r="CF196" s="1"/>
      <c r="CG196" s="1"/>
      <c r="CH196" s="1"/>
      <c r="CI196" s="2"/>
      <c r="CJ196" s="2"/>
      <c r="CK196" s="2"/>
      <c r="CL196" s="2"/>
      <c r="CM196" s="2"/>
      <c r="CN196" s="2"/>
      <c r="CO196" s="2"/>
      <c r="CP196" s="2"/>
      <c r="CQ196" s="2"/>
      <c r="CR196" s="2"/>
      <c r="CS196" s="2"/>
      <c r="CT196" s="2"/>
      <c r="CU196" s="2"/>
      <c r="CV196" s="2"/>
      <c r="CW196" s="2"/>
      <c r="CX196" s="2"/>
      <c r="CY196" s="2"/>
      <c r="CZ196" s="2"/>
    </row>
    <row r="197" spans="43:104" ht="15" hidden="1" customHeight="1" x14ac:dyDescent="0.2">
      <c r="AQ197" s="13"/>
      <c r="AR197" s="12">
        <v>1255000</v>
      </c>
      <c r="AS197" s="12">
        <v>1320000</v>
      </c>
      <c r="AT197" s="2"/>
      <c r="AU197" s="2"/>
      <c r="AV197" s="2"/>
      <c r="AW197" s="2"/>
      <c r="AX197" s="2"/>
      <c r="AY197" s="2"/>
      <c r="AZ197" s="2"/>
      <c r="BA197" s="2"/>
      <c r="BB197" s="2"/>
      <c r="BC197" s="2"/>
      <c r="BD197" s="2"/>
      <c r="BE197" s="2"/>
      <c r="BK197" s="84"/>
      <c r="BL197" s="2"/>
      <c r="BM197" s="2"/>
      <c r="BN197" s="2"/>
      <c r="BO197" s="2"/>
      <c r="BS197" s="11"/>
      <c r="BT197" s="2"/>
      <c r="BU197" s="2"/>
      <c r="BV197" s="3"/>
      <c r="BW197" s="2"/>
      <c r="BX197" s="2"/>
      <c r="BY197" s="2"/>
      <c r="BZ197" s="46"/>
      <c r="CA197" s="1"/>
      <c r="CB197" s="1"/>
      <c r="CC197" s="1"/>
      <c r="CD197" s="1"/>
      <c r="CE197" s="1"/>
      <c r="CF197" s="1"/>
      <c r="CG197" s="1"/>
      <c r="CH197" s="1"/>
      <c r="CI197" s="2"/>
      <c r="CJ197" s="2"/>
      <c r="CK197" s="2"/>
      <c r="CL197" s="2"/>
      <c r="CM197" s="2"/>
      <c r="CN197" s="2"/>
      <c r="CO197" s="2"/>
      <c r="CP197" s="2"/>
      <c r="CQ197" s="2"/>
      <c r="CR197" s="2"/>
      <c r="CS197" s="2"/>
      <c r="CT197" s="2"/>
      <c r="CU197" s="2"/>
      <c r="CV197" s="2"/>
      <c r="CW197" s="2"/>
      <c r="CX197" s="2"/>
      <c r="CY197" s="2"/>
      <c r="CZ197" s="2"/>
    </row>
    <row r="198" spans="43:104" ht="15" hidden="1" customHeight="1" x14ac:dyDescent="0.2">
      <c r="AQ198" s="13"/>
      <c r="AR198" s="12">
        <v>1260000</v>
      </c>
      <c r="AS198" s="12">
        <v>1330000</v>
      </c>
      <c r="AT198" s="2"/>
      <c r="AU198" s="2"/>
      <c r="AV198" s="2"/>
      <c r="AW198" s="2"/>
      <c r="AX198" s="2"/>
      <c r="AY198" s="2"/>
      <c r="AZ198" s="2"/>
      <c r="BA198" s="2"/>
      <c r="BB198" s="2"/>
      <c r="BC198" s="2"/>
      <c r="BD198" s="2"/>
      <c r="BE198" s="2"/>
      <c r="BK198" s="84"/>
      <c r="BL198" s="2"/>
      <c r="BM198" s="2"/>
      <c r="BN198" s="2"/>
      <c r="BO198" s="2"/>
      <c r="BS198" s="11"/>
      <c r="BT198" s="2"/>
      <c r="BU198" s="3"/>
      <c r="BV198" s="3"/>
      <c r="BW198" s="2"/>
      <c r="BX198" s="2"/>
      <c r="BY198" s="2"/>
      <c r="BZ198" s="2"/>
      <c r="CA198" s="46"/>
      <c r="CB198" s="1"/>
      <c r="CC198" s="1"/>
      <c r="CD198" s="1"/>
      <c r="CE198" s="1"/>
      <c r="CF198" s="1"/>
      <c r="CG198" s="1"/>
      <c r="CH198" s="1"/>
      <c r="CI198" s="2"/>
      <c r="CJ198" s="2"/>
      <c r="CK198" s="2"/>
      <c r="CL198" s="2"/>
      <c r="CM198" s="2"/>
      <c r="CN198" s="2"/>
      <c r="CO198" s="2"/>
      <c r="CP198" s="2"/>
      <c r="CQ198" s="2"/>
      <c r="CR198" s="2"/>
      <c r="CS198" s="2"/>
      <c r="CT198" s="2"/>
      <c r="CU198" s="2"/>
      <c r="CV198" s="2"/>
      <c r="CW198" s="2"/>
      <c r="CX198" s="2"/>
      <c r="CY198" s="2"/>
      <c r="CZ198" s="2"/>
    </row>
    <row r="199" spans="43:104" ht="15" hidden="1" customHeight="1" x14ac:dyDescent="0.2">
      <c r="AQ199" s="85"/>
      <c r="AR199" s="12">
        <v>1265000</v>
      </c>
      <c r="AS199" s="12">
        <v>1340000</v>
      </c>
      <c r="AT199" s="2"/>
      <c r="AU199" s="2"/>
      <c r="AV199" s="2"/>
      <c r="AW199" s="2"/>
      <c r="AX199" s="2"/>
      <c r="AY199" s="2"/>
      <c r="AZ199" s="2"/>
      <c r="BA199" s="2"/>
      <c r="BB199" s="2"/>
      <c r="BC199" s="2"/>
      <c r="BD199" s="2"/>
      <c r="BE199" s="2"/>
      <c r="BK199" s="84"/>
      <c r="BL199" s="2"/>
      <c r="BM199" s="2"/>
      <c r="BN199" s="2"/>
      <c r="BO199" s="2"/>
      <c r="BS199" s="11"/>
      <c r="BT199" s="2"/>
      <c r="BU199" s="3"/>
      <c r="BV199" s="3"/>
      <c r="BW199" s="2"/>
      <c r="BX199" s="2"/>
      <c r="BY199" s="2"/>
      <c r="BZ199" s="2"/>
      <c r="CA199" s="46"/>
      <c r="CB199" s="1"/>
      <c r="CC199" s="1"/>
      <c r="CD199" s="1"/>
      <c r="CE199" s="1"/>
      <c r="CF199" s="1"/>
      <c r="CG199" s="1"/>
      <c r="CH199" s="1"/>
      <c r="CI199" s="2"/>
      <c r="CJ199" s="2"/>
      <c r="CK199" s="2"/>
      <c r="CL199" s="2"/>
      <c r="CM199" s="2"/>
      <c r="CN199" s="2"/>
      <c r="CO199" s="2"/>
      <c r="CP199" s="2"/>
      <c r="CQ199" s="2"/>
      <c r="CR199" s="2"/>
      <c r="CS199" s="2"/>
      <c r="CT199" s="2"/>
      <c r="CU199" s="2"/>
      <c r="CV199" s="2"/>
      <c r="CW199" s="2"/>
      <c r="CX199" s="2"/>
      <c r="CY199" s="2"/>
      <c r="CZ199" s="2"/>
    </row>
    <row r="200" spans="43:104" ht="15" hidden="1" customHeight="1" x14ac:dyDescent="0.2">
      <c r="AQ200" s="12"/>
      <c r="AR200" s="12">
        <v>1270000</v>
      </c>
      <c r="AS200" s="12">
        <v>1350000</v>
      </c>
      <c r="AT200" s="2"/>
      <c r="AU200" s="2"/>
      <c r="AV200" s="2"/>
      <c r="AW200" s="2"/>
      <c r="AX200" s="2"/>
      <c r="AY200" s="2"/>
      <c r="AZ200" s="2"/>
      <c r="BA200" s="2"/>
      <c r="BB200" s="2"/>
      <c r="BC200" s="2"/>
      <c r="BD200" s="2"/>
      <c r="BE200" s="2"/>
      <c r="BK200" s="84"/>
      <c r="BL200" s="2"/>
      <c r="BM200" s="2"/>
      <c r="BN200" s="2"/>
      <c r="BO200" s="2"/>
      <c r="BS200" s="11"/>
      <c r="BT200" s="2"/>
      <c r="BU200" s="3"/>
      <c r="BV200" s="3"/>
      <c r="BW200" s="2"/>
      <c r="BX200" s="2"/>
      <c r="BY200" s="2"/>
      <c r="BZ200" s="2"/>
      <c r="CA200" s="46"/>
      <c r="CB200" s="1"/>
      <c r="CC200" s="1"/>
      <c r="CD200" s="1"/>
      <c r="CE200" s="1"/>
      <c r="CF200" s="1"/>
      <c r="CG200" s="1"/>
      <c r="CH200" s="1"/>
      <c r="CI200" s="2"/>
      <c r="CJ200" s="2"/>
      <c r="CK200" s="2"/>
      <c r="CL200" s="2"/>
      <c r="CM200" s="2"/>
      <c r="CN200" s="2"/>
      <c r="CO200" s="2"/>
      <c r="CP200" s="2"/>
      <c r="CQ200" s="2"/>
      <c r="CR200" s="2"/>
      <c r="CS200" s="2"/>
      <c r="CT200" s="2"/>
      <c r="CU200" s="2"/>
      <c r="CV200" s="2"/>
      <c r="CW200" s="2"/>
      <c r="CX200" s="2"/>
      <c r="CY200" s="2"/>
      <c r="CZ200" s="2"/>
    </row>
    <row r="201" spans="43:104" ht="15" hidden="1" customHeight="1" x14ac:dyDescent="0.2">
      <c r="AQ201" s="12"/>
      <c r="AR201" s="12">
        <v>1275000</v>
      </c>
      <c r="AS201" s="12">
        <v>1360000</v>
      </c>
      <c r="AT201" s="2"/>
      <c r="AU201" s="2"/>
      <c r="AV201" s="2"/>
      <c r="AW201" s="2"/>
      <c r="AX201" s="2"/>
      <c r="AY201" s="2"/>
      <c r="AZ201" s="2"/>
      <c r="BA201" s="2"/>
      <c r="BB201" s="2"/>
      <c r="BC201" s="2"/>
      <c r="BD201" s="2"/>
      <c r="BE201" s="2"/>
      <c r="BK201" s="84"/>
      <c r="BL201" s="2"/>
      <c r="BM201" s="2"/>
      <c r="BN201" s="2"/>
      <c r="BO201" s="2"/>
      <c r="BS201" s="11"/>
      <c r="BT201" s="2"/>
      <c r="BU201" s="3"/>
      <c r="BV201" s="3"/>
      <c r="BW201" s="2"/>
      <c r="BX201" s="2"/>
      <c r="BY201" s="2"/>
      <c r="BZ201" s="2"/>
      <c r="CA201" s="46"/>
      <c r="CB201" s="1"/>
      <c r="CC201" s="1"/>
      <c r="CD201" s="1"/>
      <c r="CE201" s="1"/>
      <c r="CF201" s="1"/>
      <c r="CG201" s="1"/>
      <c r="CH201" s="1"/>
      <c r="CI201" s="2"/>
      <c r="CJ201" s="2"/>
      <c r="CK201" s="2"/>
      <c r="CL201" s="2"/>
      <c r="CM201" s="2"/>
      <c r="CN201" s="2"/>
      <c r="CO201" s="2"/>
      <c r="CP201" s="2"/>
      <c r="CQ201" s="2"/>
      <c r="CR201" s="2"/>
      <c r="CS201" s="2"/>
      <c r="CT201" s="2"/>
      <c r="CU201" s="2"/>
      <c r="CV201" s="2"/>
      <c r="CW201" s="2"/>
      <c r="CX201" s="2"/>
      <c r="CY201" s="2"/>
      <c r="CZ201" s="2"/>
    </row>
    <row r="202" spans="43:104" ht="15" hidden="1" customHeight="1" x14ac:dyDescent="0.2">
      <c r="AQ202" s="13"/>
      <c r="AR202" s="12">
        <v>1280000</v>
      </c>
      <c r="AS202" s="12">
        <v>1370000</v>
      </c>
      <c r="AT202" s="2"/>
      <c r="AU202" s="2"/>
      <c r="AV202" s="2"/>
      <c r="AW202" s="2"/>
      <c r="AX202" s="2"/>
      <c r="AY202" s="2"/>
      <c r="AZ202" s="2"/>
      <c r="BA202" s="2"/>
      <c r="BB202" s="2"/>
      <c r="BC202" s="2"/>
      <c r="BD202" s="2"/>
      <c r="BE202" s="2"/>
      <c r="BK202" s="84"/>
      <c r="BL202" s="2"/>
      <c r="BM202" s="2"/>
      <c r="BN202" s="2"/>
      <c r="BO202" s="2"/>
      <c r="BS202" s="11"/>
      <c r="BT202" s="2"/>
      <c r="BU202" s="3"/>
      <c r="BV202" s="3"/>
      <c r="BW202" s="2"/>
      <c r="BX202" s="2"/>
      <c r="BY202" s="2"/>
      <c r="BZ202" s="2"/>
      <c r="CA202" s="46"/>
      <c r="CB202" s="1"/>
      <c r="CC202" s="7"/>
      <c r="CD202" s="1"/>
      <c r="CE202" s="1"/>
      <c r="CF202" s="1"/>
      <c r="CG202" s="1"/>
      <c r="CH202" s="1"/>
      <c r="CI202" s="2"/>
      <c r="CJ202" s="2"/>
      <c r="CK202" s="2"/>
      <c r="CL202" s="2"/>
      <c r="CM202" s="2"/>
      <c r="CN202" s="2"/>
      <c r="CO202" s="2"/>
      <c r="CP202" s="2"/>
      <c r="CQ202" s="2"/>
      <c r="CR202" s="2"/>
      <c r="CS202" s="2"/>
      <c r="CT202" s="2"/>
      <c r="CU202" s="2"/>
      <c r="CV202" s="2"/>
      <c r="CW202" s="2"/>
      <c r="CX202" s="2"/>
      <c r="CY202" s="2"/>
      <c r="CZ202" s="2"/>
    </row>
    <row r="203" spans="43:104" ht="15" hidden="1" customHeight="1" x14ac:dyDescent="0.2">
      <c r="AQ203" s="13"/>
      <c r="AR203" s="12">
        <v>1285000</v>
      </c>
      <c r="AS203" s="12">
        <v>1380000</v>
      </c>
      <c r="AT203" s="2"/>
      <c r="AU203" s="2"/>
      <c r="AV203" s="2"/>
      <c r="AW203" s="2"/>
      <c r="AX203" s="2"/>
      <c r="AY203" s="2"/>
      <c r="AZ203" s="2"/>
      <c r="BA203" s="2"/>
      <c r="BB203" s="2"/>
      <c r="BC203" s="2"/>
      <c r="BD203" s="2"/>
      <c r="BE203" s="2"/>
      <c r="BK203" s="84"/>
      <c r="BL203" s="2"/>
      <c r="BM203" s="2"/>
      <c r="BN203" s="2"/>
      <c r="BO203" s="2"/>
      <c r="BS203" s="11"/>
      <c r="BT203" s="2"/>
      <c r="BU203" s="3"/>
      <c r="BV203" s="3"/>
      <c r="BW203" s="2"/>
      <c r="BX203" s="2"/>
      <c r="BY203" s="2"/>
      <c r="BZ203" s="2"/>
      <c r="CA203" s="2"/>
      <c r="CB203" s="2"/>
      <c r="CC203" s="2"/>
      <c r="CD203" s="1"/>
      <c r="CE203" s="1"/>
      <c r="CF203" s="1"/>
      <c r="CG203" s="1"/>
      <c r="CH203" s="1"/>
      <c r="CI203" s="2"/>
      <c r="CJ203" s="2"/>
      <c r="CK203" s="2"/>
      <c r="CL203" s="2"/>
      <c r="CM203" s="2"/>
      <c r="CN203" s="2"/>
      <c r="CO203" s="2"/>
      <c r="CP203" s="2"/>
      <c r="CQ203" s="2"/>
      <c r="CR203" s="2"/>
      <c r="CS203" s="2"/>
      <c r="CT203" s="2"/>
      <c r="CU203" s="2"/>
      <c r="CV203" s="2"/>
      <c r="CW203" s="2"/>
      <c r="CX203" s="2"/>
      <c r="CY203" s="2"/>
      <c r="CZ203" s="2"/>
    </row>
    <row r="204" spans="43:104" ht="15" hidden="1" customHeight="1" x14ac:dyDescent="0.2">
      <c r="AQ204" s="85"/>
      <c r="AR204" s="12">
        <v>1290000</v>
      </c>
      <c r="AS204" s="12">
        <v>1390000</v>
      </c>
      <c r="AT204" s="2"/>
      <c r="AU204" s="2"/>
      <c r="AV204" s="2"/>
      <c r="AW204" s="2"/>
      <c r="AX204" s="2"/>
      <c r="AY204" s="2"/>
      <c r="AZ204" s="2"/>
      <c r="BA204" s="2"/>
      <c r="BB204" s="2"/>
      <c r="BC204" s="2"/>
      <c r="BD204" s="2"/>
      <c r="BE204" s="2"/>
      <c r="BK204" s="84"/>
      <c r="BL204" s="2"/>
      <c r="BM204" s="2"/>
      <c r="BN204" s="2"/>
      <c r="BO204" s="2"/>
      <c r="BS204" s="11"/>
      <c r="BT204" s="2"/>
      <c r="BU204" s="3"/>
      <c r="BV204" s="3"/>
      <c r="BW204" s="2"/>
      <c r="BX204" s="2"/>
      <c r="BY204" s="2"/>
      <c r="BZ204" s="2"/>
      <c r="CA204" s="2"/>
      <c r="CB204" s="2"/>
      <c r="CC204" s="2"/>
      <c r="CD204" s="1"/>
      <c r="CE204" s="1"/>
      <c r="CF204" s="1"/>
      <c r="CG204" s="1"/>
      <c r="CH204" s="1"/>
      <c r="CI204" s="2"/>
      <c r="CJ204" s="2"/>
      <c r="CK204" s="2"/>
      <c r="CL204" s="2"/>
      <c r="CM204" s="2"/>
      <c r="CN204" s="2"/>
      <c r="CO204" s="2"/>
      <c r="CP204" s="2"/>
      <c r="CQ204" s="2"/>
      <c r="CR204" s="2"/>
      <c r="CS204" s="2"/>
      <c r="CT204" s="2"/>
      <c r="CU204" s="2"/>
      <c r="CV204" s="2"/>
      <c r="CW204" s="2"/>
      <c r="CX204" s="2"/>
      <c r="CY204" s="2"/>
      <c r="CZ204" s="2"/>
    </row>
    <row r="205" spans="43:104" ht="15" hidden="1" customHeight="1" x14ac:dyDescent="0.2">
      <c r="AQ205" s="12"/>
      <c r="AR205" s="12">
        <v>1295000</v>
      </c>
      <c r="AS205" s="12">
        <v>1400000</v>
      </c>
      <c r="AT205" s="2"/>
      <c r="AU205" s="2"/>
      <c r="AV205" s="2"/>
      <c r="AW205" s="2"/>
      <c r="AX205" s="2"/>
      <c r="AY205" s="2"/>
      <c r="AZ205" s="2"/>
      <c r="BA205" s="2"/>
      <c r="BB205" s="2"/>
      <c r="BC205" s="2"/>
      <c r="BD205" s="2"/>
      <c r="BE205" s="2"/>
      <c r="BK205" s="84"/>
      <c r="BL205" s="2"/>
      <c r="BM205" s="2"/>
      <c r="BN205" s="2"/>
      <c r="BO205" s="2"/>
      <c r="BS205" s="11"/>
      <c r="BT205" s="2"/>
      <c r="BU205" s="3"/>
      <c r="BV205" s="3"/>
      <c r="BW205" s="2"/>
      <c r="BX205" s="2"/>
      <c r="BY205" s="2"/>
      <c r="BZ205" s="2"/>
      <c r="CA205" s="2"/>
      <c r="CB205" s="2"/>
      <c r="CC205" s="2"/>
      <c r="CD205" s="1"/>
      <c r="CE205" s="1"/>
      <c r="CF205" s="1"/>
      <c r="CG205" s="1"/>
      <c r="CH205" s="1"/>
      <c r="CI205" s="2"/>
      <c r="CJ205" s="2"/>
      <c r="CK205" s="2"/>
      <c r="CL205" s="2"/>
      <c r="CM205" s="2"/>
      <c r="CN205" s="2"/>
      <c r="CO205" s="2"/>
      <c r="CP205" s="2"/>
      <c r="CQ205" s="2"/>
      <c r="CR205" s="2"/>
      <c r="CS205" s="2"/>
      <c r="CT205" s="2"/>
      <c r="CU205" s="2"/>
      <c r="CV205" s="2"/>
      <c r="CW205" s="2"/>
      <c r="CX205" s="2"/>
      <c r="CY205" s="2"/>
      <c r="CZ205" s="2"/>
    </row>
    <row r="206" spans="43:104" ht="15" hidden="1" customHeight="1" x14ac:dyDescent="0.2">
      <c r="AQ206" s="12"/>
      <c r="AR206" s="12">
        <v>1300000</v>
      </c>
      <c r="AS206" s="12">
        <v>1410000</v>
      </c>
      <c r="AT206" s="2"/>
      <c r="AU206" s="2"/>
      <c r="AV206" s="2"/>
      <c r="AW206" s="2"/>
      <c r="AX206" s="2"/>
      <c r="AY206" s="2"/>
      <c r="AZ206" s="2"/>
      <c r="BA206" s="2"/>
      <c r="BB206" s="2"/>
      <c r="BC206" s="2"/>
      <c r="BD206" s="2"/>
      <c r="BE206" s="2"/>
      <c r="BK206" s="84"/>
      <c r="BL206" s="2"/>
      <c r="BM206" s="2"/>
      <c r="BN206" s="2"/>
      <c r="BO206" s="2"/>
      <c r="BS206" s="11"/>
      <c r="BT206" s="2"/>
      <c r="BU206" s="3"/>
      <c r="BV206" s="3"/>
      <c r="BW206" s="2"/>
      <c r="BX206" s="2"/>
      <c r="BY206" s="2"/>
      <c r="BZ206" s="2"/>
      <c r="CA206" s="2"/>
      <c r="CB206" s="2"/>
      <c r="CC206" s="2"/>
      <c r="CD206" s="1"/>
      <c r="CE206" s="1"/>
      <c r="CF206" s="1"/>
      <c r="CG206" s="1"/>
      <c r="CH206" s="1"/>
      <c r="CI206" s="2"/>
      <c r="CJ206" s="2"/>
      <c r="CK206" s="2"/>
      <c r="CL206" s="2"/>
      <c r="CM206" s="2"/>
      <c r="CN206" s="2"/>
      <c r="CO206" s="2"/>
      <c r="CP206" s="2"/>
      <c r="CQ206" s="2"/>
      <c r="CR206" s="2"/>
      <c r="CS206" s="2"/>
      <c r="CT206" s="2"/>
      <c r="CU206" s="2"/>
      <c r="CV206" s="2"/>
      <c r="CW206" s="2"/>
      <c r="CX206" s="2"/>
      <c r="CY206" s="2"/>
      <c r="CZ206" s="2"/>
    </row>
    <row r="207" spans="43:104" ht="15" hidden="1" customHeight="1" x14ac:dyDescent="0.2">
      <c r="AQ207" s="13"/>
      <c r="AR207" s="12">
        <v>1305000</v>
      </c>
      <c r="AS207" s="12">
        <v>1420000</v>
      </c>
      <c r="AT207" s="2"/>
      <c r="AU207" s="2"/>
      <c r="AV207" s="2"/>
      <c r="AW207" s="2"/>
      <c r="AX207" s="2"/>
      <c r="AY207" s="2"/>
      <c r="AZ207" s="2"/>
      <c r="BA207" s="2"/>
      <c r="BB207" s="2"/>
      <c r="BC207" s="2"/>
      <c r="BD207" s="2"/>
      <c r="BE207" s="2"/>
      <c r="BK207" s="84"/>
      <c r="BL207" s="2"/>
      <c r="BM207" s="2"/>
      <c r="BN207" s="2"/>
      <c r="BO207" s="2"/>
      <c r="BS207" s="11"/>
      <c r="BT207" s="2"/>
      <c r="BU207" s="3"/>
      <c r="BV207" s="3"/>
      <c r="BW207" s="2"/>
      <c r="BX207" s="2"/>
      <c r="BY207" s="2"/>
      <c r="BZ207" s="2"/>
      <c r="CA207" s="2"/>
      <c r="CB207" s="2"/>
      <c r="CC207" s="2"/>
      <c r="CD207" s="1"/>
      <c r="CE207" s="1"/>
      <c r="CF207" s="1"/>
      <c r="CG207" s="1"/>
      <c r="CH207" s="1"/>
      <c r="CI207" s="2"/>
      <c r="CJ207" s="2"/>
      <c r="CK207" s="2"/>
      <c r="CL207" s="2"/>
      <c r="CM207" s="2"/>
      <c r="CN207" s="2"/>
      <c r="CO207" s="2"/>
      <c r="CP207" s="2"/>
      <c r="CQ207" s="2"/>
      <c r="CR207" s="2"/>
      <c r="CS207" s="2"/>
      <c r="CT207" s="2"/>
      <c r="CU207" s="2"/>
      <c r="CV207" s="2"/>
      <c r="CW207" s="2"/>
      <c r="CX207" s="2"/>
      <c r="CY207" s="2"/>
      <c r="CZ207" s="2"/>
    </row>
    <row r="208" spans="43:104" ht="15" hidden="1" customHeight="1" x14ac:dyDescent="0.2">
      <c r="AQ208" s="13"/>
      <c r="AR208" s="12">
        <v>1310000</v>
      </c>
      <c r="AS208" s="12">
        <v>1430000</v>
      </c>
      <c r="AT208" s="2"/>
      <c r="AU208" s="2"/>
      <c r="AV208" s="2"/>
      <c r="AW208" s="2"/>
      <c r="AX208" s="2"/>
      <c r="AY208" s="2"/>
      <c r="AZ208" s="2"/>
      <c r="BA208" s="2"/>
      <c r="BB208" s="2"/>
      <c r="BC208" s="2"/>
      <c r="BD208" s="2"/>
      <c r="BE208" s="2"/>
      <c r="BK208" s="84"/>
      <c r="BL208" s="2"/>
      <c r="BM208" s="2"/>
      <c r="BN208" s="2"/>
      <c r="BO208" s="2"/>
      <c r="BS208" s="11"/>
      <c r="BT208" s="2"/>
      <c r="BU208" s="3"/>
      <c r="BV208" s="3"/>
      <c r="BW208" s="2"/>
      <c r="BX208" s="2"/>
      <c r="BY208" s="2"/>
      <c r="BZ208" s="2"/>
      <c r="CA208" s="46"/>
      <c r="CB208" s="1"/>
      <c r="CC208" s="1"/>
      <c r="CD208" s="1"/>
      <c r="CE208" s="1"/>
      <c r="CF208" s="1"/>
      <c r="CG208" s="1"/>
      <c r="CH208" s="1"/>
      <c r="CI208" s="2"/>
      <c r="CJ208" s="2"/>
      <c r="CK208" s="2"/>
      <c r="CL208" s="2"/>
      <c r="CM208" s="2"/>
      <c r="CN208" s="2"/>
      <c r="CO208" s="2"/>
      <c r="CP208" s="2"/>
      <c r="CQ208" s="2"/>
      <c r="CR208" s="2"/>
      <c r="CS208" s="2"/>
      <c r="CT208" s="2"/>
      <c r="CU208" s="2"/>
      <c r="CV208" s="2"/>
      <c r="CW208" s="2"/>
      <c r="CX208" s="2"/>
      <c r="CY208" s="2"/>
      <c r="CZ208" s="2"/>
    </row>
    <row r="209" spans="43:104" ht="15" hidden="1" customHeight="1" x14ac:dyDescent="0.2">
      <c r="AQ209" s="85"/>
      <c r="AR209" s="12">
        <v>1315000</v>
      </c>
      <c r="AS209" s="12">
        <v>1440000</v>
      </c>
      <c r="AT209" s="2"/>
      <c r="AU209" s="2"/>
      <c r="AV209" s="2"/>
      <c r="AW209" s="2"/>
      <c r="AX209" s="2"/>
      <c r="AY209" s="2"/>
      <c r="AZ209" s="2"/>
      <c r="BA209" s="2"/>
      <c r="BB209" s="2"/>
      <c r="BC209" s="2"/>
      <c r="BD209" s="2"/>
      <c r="BE209" s="2"/>
      <c r="BK209" s="84"/>
      <c r="BL209" s="2"/>
      <c r="BM209" s="2"/>
      <c r="BN209" s="2"/>
      <c r="BO209" s="2"/>
      <c r="BS209" s="11"/>
      <c r="BT209" s="2"/>
      <c r="BU209" s="3"/>
      <c r="BV209" s="3"/>
      <c r="BW209" s="2"/>
      <c r="BX209" s="2"/>
      <c r="BY209" s="2"/>
      <c r="BZ209" s="46"/>
      <c r="CA209" s="1"/>
      <c r="CB209" s="1"/>
      <c r="CC209" s="1"/>
      <c r="CD209" s="1"/>
      <c r="CE209" s="1"/>
      <c r="CF209" s="1"/>
      <c r="CG209" s="1"/>
      <c r="CH209" s="1"/>
      <c r="CI209" s="2"/>
      <c r="CJ209" s="2"/>
      <c r="CK209" s="2"/>
      <c r="CL209" s="2"/>
      <c r="CM209" s="2"/>
      <c r="CN209" s="2"/>
      <c r="CO209" s="2"/>
      <c r="CP209" s="2"/>
      <c r="CQ209" s="2"/>
      <c r="CR209" s="2"/>
      <c r="CS209" s="2"/>
      <c r="CT209" s="2"/>
      <c r="CU209" s="2"/>
      <c r="CV209" s="2"/>
      <c r="CW209" s="2"/>
      <c r="CX209" s="2"/>
      <c r="CY209" s="2"/>
      <c r="CZ209" s="2"/>
    </row>
    <row r="210" spans="43:104" ht="15" hidden="1" customHeight="1" x14ac:dyDescent="0.2">
      <c r="AQ210" s="12"/>
      <c r="AR210" s="12">
        <v>1320000</v>
      </c>
      <c r="AS210" s="12">
        <v>1450000</v>
      </c>
      <c r="AT210" s="2"/>
      <c r="AU210" s="2"/>
      <c r="AV210" s="2"/>
      <c r="AW210" s="2"/>
      <c r="AX210" s="2"/>
      <c r="AY210" s="2"/>
      <c r="AZ210" s="2"/>
      <c r="BA210" s="2"/>
      <c r="BB210" s="2"/>
      <c r="BC210" s="2"/>
      <c r="BD210" s="2"/>
      <c r="BE210" s="2"/>
      <c r="BK210" s="84"/>
      <c r="BL210" s="2"/>
      <c r="BM210" s="2"/>
      <c r="BN210" s="2"/>
      <c r="BO210" s="2"/>
      <c r="BS210" s="11"/>
      <c r="BT210" s="2"/>
      <c r="BU210" s="3"/>
      <c r="BV210" s="3"/>
      <c r="BW210" s="2"/>
      <c r="BX210" s="2"/>
      <c r="BY210" s="2"/>
      <c r="BZ210" s="2"/>
      <c r="CA210" s="46"/>
      <c r="CB210" s="1"/>
      <c r="CC210" s="1"/>
      <c r="CD210" s="1"/>
      <c r="CE210" s="1"/>
      <c r="CF210" s="1"/>
      <c r="CG210" s="1"/>
      <c r="CH210" s="1"/>
      <c r="CI210" s="2"/>
      <c r="CJ210" s="2"/>
      <c r="CK210" s="2"/>
      <c r="CL210" s="2"/>
      <c r="CM210" s="2"/>
      <c r="CN210" s="2"/>
      <c r="CO210" s="2"/>
      <c r="CP210" s="2"/>
      <c r="CQ210" s="2"/>
      <c r="CR210" s="2"/>
      <c r="CS210" s="2"/>
      <c r="CT210" s="2"/>
      <c r="CU210" s="2"/>
      <c r="CV210" s="2"/>
      <c r="CW210" s="2"/>
      <c r="CX210" s="2"/>
      <c r="CY210" s="2"/>
      <c r="CZ210" s="2"/>
    </row>
    <row r="211" spans="43:104" ht="15" hidden="1" customHeight="1" x14ac:dyDescent="0.2">
      <c r="AQ211" s="12"/>
      <c r="AR211" s="12">
        <v>1325000</v>
      </c>
      <c r="AS211" s="12">
        <v>1460000</v>
      </c>
      <c r="AT211" s="2"/>
      <c r="AU211" s="2"/>
      <c r="AV211" s="2"/>
      <c r="AW211" s="2"/>
      <c r="AX211" s="2"/>
      <c r="AY211" s="2"/>
      <c r="AZ211" s="2"/>
      <c r="BA211" s="2"/>
      <c r="BB211" s="2"/>
      <c r="BC211" s="2"/>
      <c r="BD211" s="2"/>
      <c r="BE211" s="2"/>
      <c r="BK211" s="84"/>
      <c r="BL211" s="2"/>
      <c r="BM211" s="2"/>
      <c r="BN211" s="2"/>
      <c r="BO211" s="2"/>
      <c r="BS211" s="11"/>
      <c r="BT211" s="2"/>
      <c r="BU211" s="3"/>
      <c r="BV211" s="3"/>
      <c r="BW211" s="2"/>
      <c r="BX211" s="2"/>
      <c r="BY211" s="2"/>
      <c r="BZ211" s="2"/>
      <c r="CA211" s="46"/>
      <c r="CB211" s="1"/>
      <c r="CC211" s="1"/>
      <c r="CD211" s="1"/>
      <c r="CE211" s="1"/>
      <c r="CF211" s="1"/>
      <c r="CG211" s="1"/>
      <c r="CH211" s="1"/>
      <c r="CI211" s="2"/>
      <c r="CJ211" s="2"/>
      <c r="CK211" s="2"/>
      <c r="CL211" s="2"/>
      <c r="CM211" s="2"/>
      <c r="CN211" s="2"/>
      <c r="CO211" s="2"/>
      <c r="CP211" s="2"/>
      <c r="CQ211" s="2"/>
      <c r="CR211" s="2"/>
      <c r="CS211" s="2"/>
      <c r="CT211" s="2"/>
      <c r="CU211" s="2"/>
      <c r="CV211" s="2"/>
      <c r="CW211" s="2"/>
      <c r="CX211" s="2"/>
      <c r="CY211" s="2"/>
      <c r="CZ211" s="2"/>
    </row>
    <row r="212" spans="43:104" ht="15" hidden="1" customHeight="1" x14ac:dyDescent="0.2">
      <c r="AQ212" s="13"/>
      <c r="AR212" s="12">
        <v>1330000</v>
      </c>
      <c r="AS212" s="12">
        <v>1470000</v>
      </c>
      <c r="AT212" s="2"/>
      <c r="AU212" s="2"/>
      <c r="AV212" s="2"/>
      <c r="AW212" s="2"/>
      <c r="AX212" s="2"/>
      <c r="AY212" s="2"/>
      <c r="AZ212" s="2"/>
      <c r="BA212" s="2"/>
      <c r="BB212" s="2"/>
      <c r="BC212" s="2"/>
      <c r="BD212" s="2"/>
      <c r="BE212" s="2"/>
      <c r="BK212" s="84"/>
      <c r="BL212" s="2"/>
      <c r="BM212" s="2"/>
      <c r="BN212" s="2"/>
      <c r="BO212" s="2"/>
      <c r="BS212" s="11"/>
      <c r="BT212" s="2"/>
      <c r="BU212" s="3"/>
      <c r="BV212" s="3"/>
      <c r="BW212" s="2"/>
      <c r="BX212" s="2"/>
      <c r="BY212" s="2"/>
      <c r="BZ212" s="2"/>
      <c r="CA212" s="46"/>
      <c r="CB212" s="1"/>
      <c r="CC212" s="1"/>
      <c r="CD212" s="1"/>
      <c r="CE212" s="1"/>
      <c r="CF212" s="1"/>
      <c r="CG212" s="1"/>
      <c r="CH212" s="1"/>
      <c r="CI212" s="2"/>
      <c r="CJ212" s="2"/>
      <c r="CK212" s="2"/>
      <c r="CL212" s="2"/>
      <c r="CM212" s="2"/>
      <c r="CN212" s="2"/>
      <c r="CO212" s="2"/>
      <c r="CP212" s="2"/>
      <c r="CQ212" s="2"/>
      <c r="CR212" s="2"/>
      <c r="CS212" s="2"/>
      <c r="CT212" s="2"/>
      <c r="CU212" s="2"/>
      <c r="CV212" s="2"/>
      <c r="CW212" s="2"/>
      <c r="CX212" s="2"/>
      <c r="CY212" s="2"/>
      <c r="CZ212" s="2"/>
    </row>
    <row r="213" spans="43:104" ht="15" hidden="1" customHeight="1" x14ac:dyDescent="0.2">
      <c r="AQ213" s="13"/>
      <c r="AR213" s="12">
        <v>1335000</v>
      </c>
      <c r="AS213" s="12">
        <v>1480000</v>
      </c>
      <c r="AT213" s="2"/>
      <c r="AU213" s="2"/>
      <c r="AV213" s="2"/>
      <c r="AW213" s="2"/>
      <c r="AX213" s="2"/>
      <c r="AY213" s="2"/>
      <c r="AZ213" s="2"/>
      <c r="BA213" s="2"/>
      <c r="BB213" s="2"/>
      <c r="BC213" s="2"/>
      <c r="BD213" s="2"/>
      <c r="BE213" s="2"/>
      <c r="BK213" s="84"/>
      <c r="BL213" s="2"/>
      <c r="BM213" s="2"/>
      <c r="BN213" s="2"/>
      <c r="BO213" s="2"/>
      <c r="BS213" s="11"/>
      <c r="BT213" s="2"/>
      <c r="BU213" s="3"/>
      <c r="BV213" s="3"/>
      <c r="BW213" s="2"/>
      <c r="BX213" s="2"/>
      <c r="BY213" s="2"/>
      <c r="BZ213" s="2"/>
      <c r="CA213" s="46"/>
      <c r="CB213" s="1"/>
      <c r="CC213" s="7"/>
      <c r="CD213" s="1"/>
      <c r="CE213" s="1"/>
      <c r="CF213" s="1"/>
      <c r="CG213" s="1"/>
      <c r="CH213" s="1"/>
      <c r="CI213" s="2"/>
      <c r="CJ213" s="2"/>
      <c r="CK213" s="2"/>
      <c r="CL213" s="2"/>
      <c r="CM213" s="2"/>
      <c r="CN213" s="2"/>
      <c r="CO213" s="2"/>
      <c r="CP213" s="2"/>
      <c r="CQ213" s="2"/>
      <c r="CR213" s="2"/>
      <c r="CS213" s="2"/>
      <c r="CT213" s="2"/>
      <c r="CU213" s="2"/>
      <c r="CV213" s="2"/>
      <c r="CW213" s="2"/>
      <c r="CX213" s="2"/>
      <c r="CY213" s="2"/>
      <c r="CZ213" s="2"/>
    </row>
    <row r="214" spans="43:104" ht="15" hidden="1" customHeight="1" x14ac:dyDescent="0.2">
      <c r="AQ214" s="85"/>
      <c r="AR214" s="12">
        <v>1340000</v>
      </c>
      <c r="AS214" s="12">
        <v>1490000</v>
      </c>
      <c r="AT214" s="2"/>
      <c r="AU214" s="2"/>
      <c r="AV214" s="2"/>
      <c r="AW214" s="2"/>
      <c r="AX214" s="2"/>
      <c r="AY214" s="2"/>
      <c r="AZ214" s="2"/>
      <c r="BA214" s="2"/>
      <c r="BB214" s="2"/>
      <c r="BC214" s="2"/>
      <c r="BD214" s="2"/>
      <c r="BE214" s="2"/>
      <c r="BK214" s="84"/>
      <c r="BL214" s="2"/>
      <c r="BM214" s="2"/>
      <c r="BN214" s="2"/>
      <c r="BO214" s="2"/>
      <c r="BS214" s="11"/>
      <c r="BT214" s="2"/>
      <c r="BU214" s="3"/>
      <c r="BV214" s="3"/>
      <c r="BW214" s="2"/>
      <c r="BX214" s="2"/>
      <c r="BY214" s="2"/>
      <c r="BZ214" s="2"/>
      <c r="CA214" s="46"/>
      <c r="CB214" s="1"/>
      <c r="CC214" s="7"/>
      <c r="CD214" s="1"/>
      <c r="CE214" s="1"/>
      <c r="CF214" s="1"/>
      <c r="CG214" s="1"/>
      <c r="CH214" s="1"/>
      <c r="CI214" s="2"/>
      <c r="CJ214" s="2"/>
      <c r="CK214" s="2"/>
      <c r="CL214" s="2"/>
      <c r="CM214" s="2"/>
      <c r="CN214" s="2"/>
      <c r="CO214" s="2"/>
      <c r="CP214" s="2"/>
      <c r="CQ214" s="2"/>
      <c r="CR214" s="2"/>
      <c r="CS214" s="2"/>
      <c r="CT214" s="2"/>
      <c r="CU214" s="2"/>
      <c r="CV214" s="2"/>
      <c r="CW214" s="2"/>
      <c r="CX214" s="2"/>
      <c r="CY214" s="2"/>
      <c r="CZ214" s="2"/>
    </row>
    <row r="215" spans="43:104" ht="15" hidden="1" customHeight="1" x14ac:dyDescent="0.2">
      <c r="AQ215" s="12"/>
      <c r="AR215" s="12">
        <v>1345000</v>
      </c>
      <c r="AS215" s="12">
        <v>1500000</v>
      </c>
      <c r="AT215" s="2"/>
      <c r="AU215" s="2"/>
      <c r="AV215" s="2"/>
      <c r="AW215" s="2"/>
      <c r="AX215" s="2"/>
      <c r="AY215" s="2"/>
      <c r="AZ215" s="2"/>
      <c r="BA215" s="2"/>
      <c r="BB215" s="2"/>
      <c r="BC215" s="2"/>
      <c r="BD215" s="2"/>
      <c r="BE215" s="2"/>
      <c r="BK215" s="84"/>
      <c r="BL215" s="2"/>
      <c r="BM215" s="2"/>
      <c r="BN215" s="2"/>
      <c r="BO215" s="2"/>
      <c r="BS215" s="11"/>
      <c r="BT215" s="2"/>
      <c r="BU215" s="3"/>
      <c r="BV215" s="3"/>
      <c r="BW215" s="2"/>
      <c r="BX215" s="2"/>
      <c r="BY215" s="2"/>
      <c r="BZ215" s="2"/>
      <c r="CA215" s="2"/>
      <c r="CB215" s="2"/>
      <c r="CC215" s="2"/>
      <c r="CD215" s="1"/>
      <c r="CE215" s="1"/>
      <c r="CF215" s="1"/>
      <c r="CG215" s="1"/>
      <c r="CH215" s="1"/>
      <c r="CI215" s="2"/>
      <c r="CJ215" s="2"/>
      <c r="CK215" s="2"/>
      <c r="CL215" s="2"/>
      <c r="CM215" s="2"/>
      <c r="CN215" s="2"/>
      <c r="CO215" s="2"/>
      <c r="CP215" s="2"/>
      <c r="CQ215" s="2"/>
      <c r="CR215" s="2"/>
      <c r="CS215" s="2"/>
      <c r="CT215" s="2"/>
      <c r="CU215" s="2"/>
      <c r="CV215" s="2"/>
      <c r="CW215" s="2"/>
      <c r="CX215" s="2"/>
      <c r="CY215" s="2"/>
      <c r="CZ215" s="2"/>
    </row>
    <row r="216" spans="43:104" ht="15" hidden="1" customHeight="1" x14ac:dyDescent="0.2">
      <c r="AQ216" s="12"/>
      <c r="AR216" s="12">
        <v>1350000</v>
      </c>
      <c r="AS216" s="12">
        <v>1510000</v>
      </c>
      <c r="AT216" s="2"/>
      <c r="AU216" s="2"/>
      <c r="AV216" s="2"/>
      <c r="AW216" s="2"/>
      <c r="AX216" s="2"/>
      <c r="AY216" s="2"/>
      <c r="AZ216" s="2"/>
      <c r="BA216" s="2"/>
      <c r="BB216" s="2"/>
      <c r="BC216" s="2"/>
      <c r="BD216" s="2"/>
      <c r="BE216" s="2"/>
      <c r="BK216" s="84"/>
      <c r="BL216" s="2"/>
      <c r="BM216" s="2"/>
      <c r="BN216" s="2"/>
      <c r="BO216" s="2"/>
      <c r="BS216" s="11"/>
      <c r="BT216" s="2"/>
      <c r="BU216" s="3"/>
      <c r="BV216" s="3"/>
      <c r="BW216" s="2"/>
      <c r="BX216" s="2"/>
      <c r="BY216" s="2"/>
      <c r="BZ216" s="2"/>
      <c r="CA216" s="2"/>
      <c r="CB216" s="2"/>
      <c r="CC216" s="2"/>
      <c r="CD216" s="1"/>
      <c r="CE216" s="1"/>
      <c r="CF216" s="1"/>
      <c r="CG216" s="1"/>
      <c r="CH216" s="1"/>
      <c r="CI216" s="2"/>
      <c r="CJ216" s="2"/>
      <c r="CK216" s="2"/>
      <c r="CL216" s="2"/>
      <c r="CM216" s="2"/>
      <c r="CN216" s="2"/>
      <c r="CO216" s="2"/>
      <c r="CP216" s="2"/>
      <c r="CQ216" s="2"/>
      <c r="CR216" s="2"/>
      <c r="CS216" s="2"/>
      <c r="CT216" s="2"/>
      <c r="CU216" s="2"/>
      <c r="CV216" s="2"/>
      <c r="CW216" s="2"/>
      <c r="CX216" s="2"/>
      <c r="CY216" s="2"/>
      <c r="CZ216" s="2"/>
    </row>
    <row r="217" spans="43:104" ht="15" hidden="1" customHeight="1" x14ac:dyDescent="0.2">
      <c r="AQ217" s="13"/>
      <c r="AR217" s="12">
        <v>1355000</v>
      </c>
      <c r="AS217" s="12">
        <v>1520000</v>
      </c>
      <c r="AT217" s="2"/>
      <c r="AU217" s="2"/>
      <c r="AV217" s="2"/>
      <c r="AW217" s="2"/>
      <c r="AX217" s="2"/>
      <c r="AY217" s="2"/>
      <c r="AZ217" s="2"/>
      <c r="BA217" s="2"/>
      <c r="BB217" s="2"/>
      <c r="BC217" s="2"/>
      <c r="BD217" s="2"/>
      <c r="BE217" s="2"/>
      <c r="BK217" s="84"/>
      <c r="BL217" s="2"/>
      <c r="BM217" s="2"/>
      <c r="BN217" s="2"/>
      <c r="BO217" s="2"/>
      <c r="BS217" s="11"/>
      <c r="BT217" s="2"/>
      <c r="BU217" s="3"/>
      <c r="BV217" s="3"/>
      <c r="BW217" s="2"/>
      <c r="BX217" s="2"/>
      <c r="BY217" s="2"/>
      <c r="BZ217" s="2"/>
      <c r="CA217" s="2"/>
      <c r="CB217" s="2"/>
      <c r="CC217" s="2"/>
      <c r="CD217" s="1"/>
      <c r="CE217" s="1"/>
      <c r="CF217" s="1"/>
      <c r="CG217" s="1"/>
      <c r="CH217" s="1"/>
      <c r="CI217" s="2"/>
      <c r="CJ217" s="2"/>
      <c r="CK217" s="2"/>
      <c r="CL217" s="2"/>
      <c r="CM217" s="2"/>
      <c r="CN217" s="2"/>
      <c r="CO217" s="2"/>
      <c r="CP217" s="2"/>
      <c r="CQ217" s="2"/>
      <c r="CR217" s="2"/>
      <c r="CS217" s="2"/>
      <c r="CT217" s="2"/>
      <c r="CU217" s="2"/>
      <c r="CV217" s="2"/>
      <c r="CW217" s="2"/>
      <c r="CX217" s="2"/>
      <c r="CY217" s="2"/>
      <c r="CZ217" s="2"/>
    </row>
    <row r="218" spans="43:104" ht="15" hidden="1" customHeight="1" x14ac:dyDescent="0.2">
      <c r="AQ218" s="13"/>
      <c r="AR218" s="12">
        <v>1360000</v>
      </c>
      <c r="AS218" s="12">
        <v>1530000</v>
      </c>
      <c r="AT218" s="2"/>
      <c r="AU218" s="2"/>
      <c r="AV218" s="2"/>
      <c r="AW218" s="2"/>
      <c r="AX218" s="2"/>
      <c r="AY218" s="2"/>
      <c r="AZ218" s="2"/>
      <c r="BA218" s="2"/>
      <c r="BB218" s="2"/>
      <c r="BC218" s="2"/>
      <c r="BD218" s="2"/>
      <c r="BE218" s="2"/>
      <c r="BK218" s="84"/>
      <c r="BL218" s="2"/>
      <c r="BM218" s="2"/>
      <c r="BN218" s="2"/>
      <c r="BO218" s="2"/>
      <c r="BS218" s="11"/>
      <c r="BT218" s="2"/>
      <c r="BU218" s="3"/>
      <c r="BV218" s="3"/>
      <c r="BW218" s="2"/>
      <c r="BX218" s="2"/>
      <c r="BY218" s="2"/>
      <c r="BZ218" s="2"/>
      <c r="CA218" s="2"/>
      <c r="CB218" s="2"/>
      <c r="CC218" s="2"/>
      <c r="CD218" s="1"/>
      <c r="CE218" s="1"/>
      <c r="CF218" s="1"/>
      <c r="CG218" s="1"/>
      <c r="CH218" s="1"/>
      <c r="CI218" s="2"/>
      <c r="CJ218" s="2"/>
      <c r="CK218" s="2"/>
      <c r="CL218" s="2"/>
      <c r="CM218" s="2"/>
      <c r="CN218" s="2"/>
      <c r="CO218" s="2"/>
      <c r="CP218" s="2"/>
      <c r="CQ218" s="2"/>
      <c r="CR218" s="2"/>
      <c r="CS218" s="2"/>
      <c r="CT218" s="2"/>
      <c r="CU218" s="2"/>
      <c r="CV218" s="2"/>
      <c r="CW218" s="2"/>
      <c r="CX218" s="2"/>
      <c r="CY218" s="2"/>
      <c r="CZ218" s="2"/>
    </row>
    <row r="219" spans="43:104" ht="15" hidden="1" customHeight="1" x14ac:dyDescent="0.2">
      <c r="AQ219" s="85"/>
      <c r="AR219" s="12">
        <v>1365000</v>
      </c>
      <c r="AS219" s="12">
        <v>1540000</v>
      </c>
      <c r="AT219" s="2"/>
      <c r="AU219" s="2"/>
      <c r="AV219" s="2"/>
      <c r="AW219" s="2"/>
      <c r="AX219" s="2"/>
      <c r="AY219" s="2"/>
      <c r="AZ219" s="2"/>
      <c r="BA219" s="2"/>
      <c r="BB219" s="2"/>
      <c r="BC219" s="2"/>
      <c r="BD219" s="2"/>
      <c r="BE219" s="2"/>
      <c r="BK219" s="84"/>
      <c r="BL219" s="2"/>
      <c r="BM219" s="2"/>
      <c r="BN219" s="2"/>
      <c r="BO219" s="2"/>
      <c r="BS219" s="11"/>
      <c r="BT219" s="2"/>
      <c r="BU219" s="3"/>
      <c r="BV219" s="3"/>
      <c r="BW219" s="2"/>
      <c r="BX219" s="2"/>
      <c r="BY219" s="2"/>
      <c r="BZ219" s="2"/>
      <c r="CA219" s="46"/>
      <c r="CB219" s="1"/>
      <c r="CC219" s="1"/>
      <c r="CD219" s="1"/>
      <c r="CE219" s="1"/>
      <c r="CF219" s="1"/>
      <c r="CG219" s="1"/>
      <c r="CH219" s="1"/>
      <c r="CI219" s="2"/>
      <c r="CJ219" s="2"/>
      <c r="CK219" s="2"/>
      <c r="CL219" s="2"/>
      <c r="CM219" s="2"/>
      <c r="CN219" s="2"/>
      <c r="CO219" s="2"/>
      <c r="CP219" s="2"/>
      <c r="CQ219" s="2"/>
      <c r="CR219" s="2"/>
      <c r="CS219" s="2"/>
      <c r="CT219" s="2"/>
      <c r="CU219" s="2"/>
      <c r="CV219" s="2"/>
      <c r="CW219" s="2"/>
      <c r="CX219" s="2"/>
      <c r="CY219" s="2"/>
      <c r="CZ219" s="2"/>
    </row>
    <row r="220" spans="43:104" ht="15" hidden="1" customHeight="1" x14ac:dyDescent="0.2">
      <c r="AQ220" s="12"/>
      <c r="AR220" s="12">
        <v>1370000</v>
      </c>
      <c r="AS220" s="12">
        <v>1550000</v>
      </c>
      <c r="AT220" s="2"/>
      <c r="AU220" s="2"/>
      <c r="AV220" s="2"/>
      <c r="AW220" s="2"/>
      <c r="AX220" s="2"/>
      <c r="AY220" s="2"/>
      <c r="AZ220" s="2"/>
      <c r="BA220" s="2"/>
      <c r="BB220" s="2"/>
      <c r="BC220" s="2"/>
      <c r="BD220" s="2"/>
      <c r="BE220" s="2"/>
      <c r="BK220" s="84"/>
      <c r="BL220" s="2"/>
      <c r="BM220" s="2"/>
      <c r="BN220" s="2"/>
      <c r="BO220" s="2"/>
      <c r="BS220" s="11"/>
      <c r="BT220" s="2"/>
      <c r="BU220" s="3"/>
      <c r="BV220" s="3"/>
      <c r="BW220" s="2"/>
      <c r="BX220" s="2"/>
      <c r="BY220" s="2"/>
      <c r="BZ220" s="46"/>
      <c r="CA220" s="1"/>
      <c r="CB220" s="1"/>
      <c r="CC220" s="1"/>
      <c r="CD220" s="1"/>
      <c r="CE220" s="1"/>
      <c r="CF220" s="1"/>
      <c r="CG220" s="1"/>
      <c r="CH220" s="1"/>
      <c r="CI220" s="2"/>
      <c r="CJ220" s="2"/>
      <c r="CK220" s="2"/>
      <c r="CL220" s="2"/>
      <c r="CM220" s="2"/>
      <c r="CN220" s="2"/>
      <c r="CO220" s="2"/>
      <c r="CP220" s="2"/>
      <c r="CQ220" s="2"/>
      <c r="CR220" s="2"/>
      <c r="CS220" s="2"/>
      <c r="CT220" s="2"/>
      <c r="CU220" s="2"/>
      <c r="CV220" s="2"/>
      <c r="CW220" s="2"/>
      <c r="CX220" s="2"/>
      <c r="CY220" s="2"/>
      <c r="CZ220" s="2"/>
    </row>
    <row r="221" spans="43:104" ht="15" hidden="1" customHeight="1" x14ac:dyDescent="0.2">
      <c r="AQ221" s="12"/>
      <c r="AR221" s="12">
        <v>1375000</v>
      </c>
      <c r="AS221" s="12">
        <v>1560000</v>
      </c>
      <c r="AT221" s="2"/>
      <c r="AU221" s="2"/>
      <c r="AV221" s="2"/>
      <c r="AW221" s="2"/>
      <c r="AX221" s="2"/>
      <c r="AY221" s="2"/>
      <c r="AZ221" s="2"/>
      <c r="BA221" s="2"/>
      <c r="BB221" s="2"/>
      <c r="BC221" s="2"/>
      <c r="BD221" s="2"/>
      <c r="BE221" s="2"/>
      <c r="BK221" s="84"/>
      <c r="BL221" s="2"/>
      <c r="BM221" s="2"/>
      <c r="BN221" s="2"/>
      <c r="BO221" s="2"/>
      <c r="BS221" s="11"/>
      <c r="BT221" s="2"/>
      <c r="BU221" s="3"/>
      <c r="BV221" s="3"/>
      <c r="BW221" s="2"/>
      <c r="BX221" s="2"/>
      <c r="BY221" s="2"/>
      <c r="BZ221" s="2"/>
      <c r="CA221" s="46"/>
      <c r="CB221" s="1"/>
      <c r="CC221" s="7"/>
      <c r="CD221" s="1"/>
      <c r="CE221" s="1"/>
      <c r="CF221" s="1"/>
      <c r="CG221" s="1"/>
      <c r="CH221" s="1"/>
      <c r="CI221" s="2"/>
      <c r="CJ221" s="2"/>
      <c r="CK221" s="2"/>
      <c r="CL221" s="2"/>
      <c r="CM221" s="2"/>
      <c r="CN221" s="2"/>
      <c r="CO221" s="2"/>
      <c r="CP221" s="2"/>
      <c r="CQ221" s="2"/>
      <c r="CR221" s="2"/>
      <c r="CS221" s="2"/>
      <c r="CT221" s="2"/>
      <c r="CU221" s="2"/>
      <c r="CV221" s="2"/>
      <c r="CW221" s="2"/>
      <c r="CX221" s="2"/>
      <c r="CY221" s="2"/>
      <c r="CZ221" s="2"/>
    </row>
    <row r="222" spans="43:104" ht="15" hidden="1" customHeight="1" x14ac:dyDescent="0.2">
      <c r="AQ222" s="13"/>
      <c r="AR222" s="12">
        <v>1380000</v>
      </c>
      <c r="AS222" s="12">
        <v>1570000</v>
      </c>
      <c r="AT222" s="2"/>
      <c r="AU222" s="2"/>
      <c r="AV222" s="2"/>
      <c r="AW222" s="2"/>
      <c r="AX222" s="2"/>
      <c r="AY222" s="2"/>
      <c r="AZ222" s="2"/>
      <c r="BA222" s="2"/>
      <c r="BB222" s="2"/>
      <c r="BC222" s="2"/>
      <c r="BD222" s="2"/>
      <c r="BE222" s="2"/>
      <c r="BK222" s="84"/>
      <c r="BL222" s="2"/>
      <c r="BM222" s="2"/>
      <c r="BN222" s="2"/>
      <c r="BO222" s="2"/>
      <c r="BS222" s="11"/>
      <c r="BT222" s="2"/>
      <c r="BU222" s="3"/>
      <c r="BV222" s="3"/>
      <c r="BW222" s="2"/>
      <c r="BX222" s="2"/>
      <c r="BY222" s="2"/>
      <c r="BZ222" s="2"/>
      <c r="CA222" s="2"/>
      <c r="CB222" s="2"/>
      <c r="CC222" s="2"/>
      <c r="CD222" s="1"/>
      <c r="CE222" s="1"/>
      <c r="CF222" s="1"/>
      <c r="CG222" s="1"/>
      <c r="CH222" s="1"/>
      <c r="CI222" s="2"/>
      <c r="CJ222" s="2"/>
      <c r="CK222" s="2"/>
      <c r="CL222" s="2"/>
      <c r="CM222" s="2"/>
      <c r="CN222" s="2"/>
      <c r="CO222" s="2"/>
      <c r="CP222" s="2"/>
      <c r="CQ222" s="2"/>
      <c r="CR222" s="2"/>
      <c r="CS222" s="2"/>
      <c r="CT222" s="2"/>
      <c r="CU222" s="2"/>
      <c r="CV222" s="2"/>
      <c r="CW222" s="2"/>
      <c r="CX222" s="2"/>
      <c r="CY222" s="2"/>
      <c r="CZ222" s="2"/>
    </row>
    <row r="223" spans="43:104" ht="15" hidden="1" customHeight="1" x14ac:dyDescent="0.2">
      <c r="AQ223" s="13"/>
      <c r="AR223" s="12">
        <v>1385000</v>
      </c>
      <c r="AS223" s="12">
        <v>1580000</v>
      </c>
      <c r="AT223" s="2"/>
      <c r="AU223" s="2"/>
      <c r="AV223" s="2"/>
      <c r="AW223" s="2"/>
      <c r="AX223" s="2"/>
      <c r="AY223" s="2"/>
      <c r="AZ223" s="2"/>
      <c r="BA223" s="2"/>
      <c r="BB223" s="2"/>
      <c r="BC223" s="2"/>
      <c r="BD223" s="2"/>
      <c r="BE223" s="2"/>
      <c r="BK223" s="84"/>
      <c r="BL223" s="2"/>
      <c r="BM223" s="2"/>
      <c r="BN223" s="2"/>
      <c r="BO223" s="2"/>
      <c r="BS223" s="11"/>
      <c r="BT223" s="2"/>
      <c r="BU223" s="3"/>
      <c r="BV223" s="3"/>
      <c r="BW223" s="2"/>
      <c r="BX223" s="2"/>
      <c r="BY223" s="2"/>
      <c r="BZ223" s="2"/>
      <c r="CA223" s="2"/>
      <c r="CB223" s="2"/>
      <c r="CC223" s="2"/>
      <c r="CD223" s="1"/>
      <c r="CE223" s="1"/>
      <c r="CF223" s="1"/>
      <c r="CG223" s="1"/>
      <c r="CH223" s="1"/>
      <c r="CI223" s="2"/>
      <c r="CJ223" s="2"/>
      <c r="CK223" s="2"/>
      <c r="CL223" s="2"/>
      <c r="CM223" s="2"/>
      <c r="CN223" s="2"/>
      <c r="CO223" s="2"/>
      <c r="CP223" s="2"/>
      <c r="CQ223" s="2"/>
      <c r="CR223" s="2"/>
      <c r="CS223" s="2"/>
      <c r="CT223" s="2"/>
      <c r="CU223" s="2"/>
      <c r="CV223" s="2"/>
      <c r="CW223" s="2"/>
      <c r="CX223" s="2"/>
      <c r="CY223" s="2"/>
      <c r="CZ223" s="2"/>
    </row>
    <row r="224" spans="43:104" ht="15" hidden="1" customHeight="1" x14ac:dyDescent="0.2">
      <c r="AQ224" s="85"/>
      <c r="AR224" s="12">
        <v>1390000</v>
      </c>
      <c r="AS224" s="12">
        <v>1590000</v>
      </c>
      <c r="AT224" s="2"/>
      <c r="AU224" s="2"/>
      <c r="AV224" s="2"/>
      <c r="AW224" s="2"/>
      <c r="AX224" s="2"/>
      <c r="AY224" s="2"/>
      <c r="AZ224" s="2"/>
      <c r="BA224" s="2"/>
      <c r="BB224" s="2"/>
      <c r="BC224" s="2"/>
      <c r="BD224" s="2"/>
      <c r="BE224" s="2"/>
      <c r="BK224" s="84"/>
      <c r="BL224" s="2"/>
      <c r="BM224" s="2"/>
      <c r="BN224" s="2"/>
      <c r="BO224" s="2"/>
      <c r="BS224" s="11"/>
      <c r="BT224" s="2"/>
      <c r="BU224" s="3"/>
      <c r="BV224" s="3"/>
      <c r="BW224" s="2"/>
      <c r="BX224" s="2"/>
      <c r="BY224" s="2"/>
      <c r="BZ224" s="2"/>
      <c r="CA224" s="2"/>
      <c r="CB224" s="2"/>
      <c r="CC224" s="2"/>
      <c r="CD224" s="1"/>
      <c r="CE224" s="1"/>
      <c r="CF224" s="1"/>
      <c r="CG224" s="1"/>
      <c r="CH224" s="1"/>
      <c r="CI224" s="2"/>
      <c r="CJ224" s="2"/>
      <c r="CK224" s="2"/>
      <c r="CL224" s="2"/>
      <c r="CM224" s="2"/>
      <c r="CN224" s="2"/>
      <c r="CO224" s="2"/>
      <c r="CP224" s="2"/>
      <c r="CQ224" s="2"/>
      <c r="CR224" s="2"/>
      <c r="CS224" s="2"/>
      <c r="CT224" s="2"/>
      <c r="CU224" s="2"/>
      <c r="CV224" s="2"/>
      <c r="CW224" s="2"/>
      <c r="CX224" s="2"/>
      <c r="CY224" s="2"/>
      <c r="CZ224" s="2"/>
    </row>
    <row r="225" spans="43:104" ht="15" hidden="1" customHeight="1" x14ac:dyDescent="0.2">
      <c r="AQ225" s="12"/>
      <c r="AR225" s="12">
        <v>1395000</v>
      </c>
      <c r="AS225" s="12">
        <v>1600000</v>
      </c>
      <c r="AT225" s="2"/>
      <c r="AU225" s="2"/>
      <c r="AV225" s="2"/>
      <c r="AW225" s="2"/>
      <c r="AX225" s="2"/>
      <c r="AY225" s="2"/>
      <c r="AZ225" s="2"/>
      <c r="BA225" s="2"/>
      <c r="BB225" s="2"/>
      <c r="BC225" s="2"/>
      <c r="BD225" s="2"/>
      <c r="BE225" s="2"/>
      <c r="BK225" s="84"/>
      <c r="BL225" s="2"/>
      <c r="BM225" s="2"/>
      <c r="BN225" s="2"/>
      <c r="BO225" s="2"/>
      <c r="BS225" s="11"/>
      <c r="BT225" s="2"/>
      <c r="BU225" s="3"/>
      <c r="BV225" s="3"/>
      <c r="BW225" s="2"/>
      <c r="BX225" s="2"/>
      <c r="BY225" s="2"/>
      <c r="BZ225" s="2"/>
      <c r="CA225" s="2"/>
      <c r="CB225" s="2"/>
      <c r="CC225" s="2"/>
      <c r="CD225" s="1"/>
      <c r="CE225" s="1"/>
      <c r="CF225" s="1"/>
      <c r="CG225" s="1"/>
      <c r="CH225" s="1"/>
      <c r="CI225" s="2"/>
      <c r="CJ225" s="2"/>
      <c r="CK225" s="2"/>
      <c r="CL225" s="2"/>
      <c r="CM225" s="2"/>
      <c r="CN225" s="2"/>
      <c r="CO225" s="2"/>
      <c r="CP225" s="2"/>
      <c r="CQ225" s="2"/>
      <c r="CR225" s="2"/>
      <c r="CS225" s="2"/>
      <c r="CT225" s="2"/>
      <c r="CU225" s="2"/>
      <c r="CV225" s="2"/>
      <c r="CW225" s="2"/>
      <c r="CX225" s="2"/>
      <c r="CY225" s="2"/>
      <c r="CZ225" s="2"/>
    </row>
    <row r="226" spans="43:104" ht="15" hidden="1" customHeight="1" x14ac:dyDescent="0.2">
      <c r="AQ226" s="12"/>
      <c r="AR226" s="12">
        <v>1400000</v>
      </c>
      <c r="AS226" s="12">
        <v>1610000</v>
      </c>
      <c r="AT226" s="2"/>
      <c r="AU226" s="2"/>
      <c r="AV226" s="2"/>
      <c r="AW226" s="2"/>
      <c r="AX226" s="2"/>
      <c r="AY226" s="2"/>
      <c r="AZ226" s="2"/>
      <c r="BA226" s="2"/>
      <c r="BB226" s="2"/>
      <c r="BC226" s="2"/>
      <c r="BD226" s="2"/>
      <c r="BE226" s="2"/>
      <c r="BK226" s="84"/>
      <c r="BL226" s="2"/>
      <c r="BM226" s="2"/>
      <c r="BN226" s="2"/>
      <c r="BO226" s="2"/>
      <c r="BS226" s="11"/>
      <c r="BT226" s="2"/>
      <c r="BU226" s="3"/>
      <c r="BV226" s="3"/>
      <c r="BW226" s="2"/>
      <c r="BX226" s="2"/>
      <c r="BY226" s="2"/>
      <c r="BZ226" s="2"/>
      <c r="CA226" s="2"/>
      <c r="CB226" s="2"/>
      <c r="CC226" s="2"/>
      <c r="CD226" s="1"/>
      <c r="CE226" s="1"/>
      <c r="CF226" s="1"/>
      <c r="CG226" s="1"/>
      <c r="CH226" s="1"/>
      <c r="CI226" s="2"/>
      <c r="CJ226" s="2"/>
      <c r="CK226" s="2"/>
      <c r="CL226" s="2"/>
      <c r="CM226" s="2"/>
      <c r="CN226" s="2"/>
      <c r="CO226" s="2"/>
      <c r="CP226" s="2"/>
      <c r="CQ226" s="2"/>
      <c r="CR226" s="2"/>
      <c r="CS226" s="2"/>
      <c r="CT226" s="2"/>
      <c r="CU226" s="2"/>
      <c r="CV226" s="2"/>
      <c r="CW226" s="2"/>
      <c r="CX226" s="2"/>
      <c r="CY226" s="2"/>
      <c r="CZ226" s="2"/>
    </row>
    <row r="227" spans="43:104" ht="15" hidden="1" customHeight="1" x14ac:dyDescent="0.2">
      <c r="AQ227" s="13"/>
      <c r="AR227" s="12">
        <v>1405000</v>
      </c>
      <c r="AS227" s="12">
        <v>1620000</v>
      </c>
      <c r="AT227" s="2"/>
      <c r="AU227" s="2"/>
      <c r="AV227" s="2"/>
      <c r="AW227" s="2"/>
      <c r="AX227" s="2"/>
      <c r="AY227" s="2"/>
      <c r="AZ227" s="2"/>
      <c r="BA227" s="2"/>
      <c r="BB227" s="2"/>
      <c r="BC227" s="2"/>
      <c r="BD227" s="2"/>
      <c r="BE227" s="2"/>
      <c r="BK227" s="84"/>
      <c r="BL227" s="2"/>
      <c r="BM227" s="2"/>
      <c r="BN227" s="2"/>
      <c r="BO227" s="2"/>
      <c r="BS227" s="11"/>
      <c r="BT227" s="2"/>
      <c r="BU227" s="3"/>
      <c r="BV227" s="3"/>
      <c r="BW227" s="2"/>
      <c r="BX227" s="2"/>
      <c r="BY227" s="2"/>
      <c r="BZ227" s="2"/>
      <c r="CA227" s="2"/>
      <c r="CB227" s="2"/>
      <c r="CC227" s="2"/>
      <c r="CD227" s="1"/>
      <c r="CE227" s="1"/>
      <c r="CF227" s="1"/>
      <c r="CG227" s="1"/>
      <c r="CH227" s="1"/>
      <c r="CI227" s="2"/>
      <c r="CJ227" s="2"/>
      <c r="CK227" s="2"/>
      <c r="CL227" s="2"/>
      <c r="CM227" s="2"/>
      <c r="CN227" s="2"/>
      <c r="CO227" s="2"/>
      <c r="CP227" s="2"/>
      <c r="CQ227" s="2"/>
      <c r="CR227" s="2"/>
      <c r="CS227" s="2"/>
      <c r="CT227" s="2"/>
      <c r="CU227" s="2"/>
      <c r="CV227" s="2"/>
      <c r="CW227" s="2"/>
      <c r="CX227" s="2"/>
      <c r="CY227" s="2"/>
      <c r="CZ227" s="2"/>
    </row>
    <row r="228" spans="43:104" ht="15" hidden="1" customHeight="1" x14ac:dyDescent="0.2">
      <c r="AQ228" s="13"/>
      <c r="AR228" s="12">
        <v>1410000</v>
      </c>
      <c r="AS228" s="12">
        <v>1630000</v>
      </c>
      <c r="AT228" s="2"/>
      <c r="AU228" s="2"/>
      <c r="AV228" s="2"/>
      <c r="AW228" s="2"/>
      <c r="AX228" s="2"/>
      <c r="AY228" s="2"/>
      <c r="AZ228" s="2"/>
      <c r="BA228" s="2"/>
      <c r="BB228" s="2"/>
      <c r="BC228" s="2"/>
      <c r="BD228" s="2"/>
      <c r="BE228" s="2"/>
      <c r="BK228" s="2"/>
      <c r="BM228" s="2"/>
      <c r="BN228" s="2"/>
      <c r="BO228" s="2"/>
      <c r="BS228" s="11"/>
      <c r="BT228" s="2"/>
      <c r="BU228" s="3"/>
      <c r="BV228" s="3"/>
      <c r="BW228" s="2"/>
      <c r="BX228" s="2"/>
      <c r="BY228" s="2"/>
      <c r="BZ228" s="2"/>
      <c r="CA228" s="2"/>
      <c r="CB228" s="2"/>
      <c r="CC228" s="2"/>
      <c r="CD228" s="1"/>
      <c r="CE228" s="1"/>
      <c r="CF228" s="1"/>
      <c r="CG228" s="1"/>
      <c r="CH228" s="1"/>
      <c r="CI228" s="2"/>
      <c r="CJ228" s="2"/>
      <c r="CK228" s="2"/>
      <c r="CL228" s="2"/>
      <c r="CM228" s="2"/>
      <c r="CN228" s="2"/>
      <c r="CO228" s="2"/>
      <c r="CP228" s="2"/>
      <c r="CQ228" s="2"/>
      <c r="CR228" s="2"/>
      <c r="CS228" s="2"/>
      <c r="CT228" s="2"/>
      <c r="CU228" s="2"/>
      <c r="CV228" s="2"/>
      <c r="CW228" s="2"/>
      <c r="CX228" s="2"/>
      <c r="CY228" s="2"/>
      <c r="CZ228" s="2"/>
    </row>
    <row r="229" spans="43:104" ht="15" hidden="1" customHeight="1" x14ac:dyDescent="0.2">
      <c r="AQ229" s="85"/>
      <c r="AR229" s="12">
        <v>1415000</v>
      </c>
      <c r="AS229" s="12">
        <v>1640000</v>
      </c>
      <c r="AT229" s="2"/>
      <c r="AU229" s="2"/>
      <c r="AV229" s="2"/>
      <c r="AW229" s="2"/>
      <c r="AX229" s="2"/>
      <c r="AY229" s="2"/>
      <c r="AZ229" s="2"/>
      <c r="BA229" s="2"/>
      <c r="BB229" s="2"/>
      <c r="BC229" s="2"/>
      <c r="BD229" s="2"/>
      <c r="BE229" s="2"/>
      <c r="BK229" s="2"/>
      <c r="BM229" s="2"/>
      <c r="BN229" s="2"/>
      <c r="BO229" s="2"/>
      <c r="BS229" s="11"/>
      <c r="BT229" s="2"/>
      <c r="BU229" s="3"/>
      <c r="BV229" s="3"/>
      <c r="BW229" s="2"/>
      <c r="BX229" s="2"/>
      <c r="BY229" s="2"/>
      <c r="BZ229" s="2"/>
      <c r="CA229" s="2"/>
      <c r="CB229" s="2"/>
      <c r="CC229" s="2"/>
      <c r="CD229" s="1"/>
      <c r="CE229" s="1"/>
      <c r="CF229" s="1"/>
      <c r="CG229" s="1"/>
      <c r="CH229" s="1"/>
      <c r="CI229" s="2"/>
      <c r="CJ229" s="2"/>
      <c r="CK229" s="2"/>
      <c r="CL229" s="2"/>
      <c r="CM229" s="2"/>
      <c r="CN229" s="2"/>
      <c r="CO229" s="2"/>
      <c r="CP229" s="2"/>
      <c r="CQ229" s="2"/>
      <c r="CR229" s="2"/>
      <c r="CS229" s="2"/>
      <c r="CT229" s="2"/>
      <c r="CU229" s="2"/>
      <c r="CV229" s="2"/>
      <c r="CW229" s="2"/>
      <c r="CX229" s="2"/>
      <c r="CY229" s="2"/>
      <c r="CZ229" s="2"/>
    </row>
    <row r="230" spans="43:104" ht="15" hidden="1" customHeight="1" x14ac:dyDescent="0.2">
      <c r="AQ230" s="12"/>
      <c r="AR230" s="12">
        <v>1420000</v>
      </c>
      <c r="AS230" s="12">
        <v>1650000</v>
      </c>
      <c r="AT230" s="2"/>
      <c r="AU230" s="2"/>
      <c r="AV230" s="2"/>
      <c r="AW230" s="2"/>
      <c r="AX230" s="2"/>
      <c r="AY230" s="2"/>
      <c r="AZ230" s="2"/>
      <c r="BA230" s="2"/>
      <c r="BB230" s="2"/>
      <c r="BC230" s="2"/>
      <c r="BD230" s="2"/>
      <c r="BE230" s="2"/>
      <c r="BK230" s="2"/>
      <c r="BM230" s="2"/>
      <c r="BN230" s="2"/>
      <c r="BO230" s="2"/>
      <c r="BS230" s="11"/>
      <c r="BT230" s="2"/>
      <c r="BU230" s="3"/>
      <c r="BV230" s="3"/>
      <c r="BW230" s="2"/>
      <c r="BX230" s="2"/>
      <c r="BY230" s="2"/>
      <c r="BZ230" s="2"/>
      <c r="CA230" s="46"/>
      <c r="CB230" s="1"/>
      <c r="CC230" s="1"/>
      <c r="CD230" s="1"/>
      <c r="CE230" s="1"/>
      <c r="CF230" s="1"/>
      <c r="CG230" s="1"/>
      <c r="CH230" s="1"/>
      <c r="CI230" s="2"/>
      <c r="CJ230" s="2"/>
      <c r="CK230" s="2"/>
      <c r="CL230" s="2"/>
      <c r="CM230" s="2"/>
      <c r="CN230" s="2"/>
      <c r="CO230" s="2"/>
      <c r="CP230" s="2"/>
      <c r="CQ230" s="2"/>
      <c r="CR230" s="2"/>
      <c r="CS230" s="2"/>
      <c r="CT230" s="2"/>
      <c r="CU230" s="2"/>
      <c r="CV230" s="2"/>
      <c r="CW230" s="2"/>
      <c r="CX230" s="2"/>
      <c r="CY230" s="2"/>
      <c r="CZ230" s="2"/>
    </row>
    <row r="231" spans="43:104" ht="15" hidden="1" customHeight="1" x14ac:dyDescent="0.2">
      <c r="AQ231" s="12"/>
      <c r="AR231" s="12">
        <v>1425000</v>
      </c>
      <c r="AS231" s="12">
        <v>1660000</v>
      </c>
      <c r="AT231" s="2"/>
      <c r="AU231" s="2"/>
      <c r="AV231" s="2"/>
      <c r="AW231" s="2"/>
      <c r="AX231" s="2"/>
      <c r="AY231" s="2"/>
      <c r="AZ231" s="2"/>
      <c r="BA231" s="2"/>
      <c r="BB231" s="2"/>
      <c r="BC231" s="2"/>
      <c r="BD231" s="2"/>
      <c r="BE231" s="2"/>
      <c r="BK231" s="2"/>
      <c r="BM231" s="2"/>
      <c r="BN231" s="2"/>
      <c r="BO231" s="2"/>
      <c r="BS231" s="11"/>
      <c r="BT231" s="2"/>
      <c r="BU231" s="3"/>
      <c r="BV231" s="3"/>
      <c r="BW231" s="2"/>
      <c r="BX231" s="2"/>
      <c r="BY231" s="2"/>
      <c r="BZ231" s="2"/>
      <c r="CA231" s="46"/>
      <c r="CB231" s="1"/>
      <c r="CC231" s="1"/>
      <c r="CD231" s="1"/>
      <c r="CE231" s="1"/>
      <c r="CF231" s="1"/>
      <c r="CG231" s="1"/>
      <c r="CH231" s="1"/>
      <c r="CI231" s="2"/>
      <c r="CJ231" s="2"/>
      <c r="CK231" s="2"/>
      <c r="CL231" s="2"/>
      <c r="CM231" s="2"/>
      <c r="CN231" s="2"/>
      <c r="CO231" s="2"/>
      <c r="CP231" s="2"/>
      <c r="CQ231" s="2"/>
      <c r="CR231" s="2"/>
      <c r="CS231" s="2"/>
      <c r="CT231" s="2"/>
      <c r="CU231" s="2"/>
      <c r="CV231" s="2"/>
      <c r="CW231" s="2"/>
      <c r="CX231" s="2"/>
      <c r="CY231" s="2"/>
      <c r="CZ231" s="2"/>
    </row>
    <row r="232" spans="43:104" ht="15" hidden="1" customHeight="1" x14ac:dyDescent="0.2">
      <c r="AQ232" s="13"/>
      <c r="AR232" s="12">
        <v>1430000</v>
      </c>
      <c r="AS232" s="12">
        <v>1670000</v>
      </c>
      <c r="AT232" s="2"/>
      <c r="AU232" s="2"/>
      <c r="AV232" s="2"/>
      <c r="AW232" s="2"/>
      <c r="AX232" s="2"/>
      <c r="AY232" s="2"/>
      <c r="AZ232" s="2"/>
      <c r="BA232" s="2"/>
      <c r="BB232" s="2"/>
      <c r="BC232" s="2"/>
      <c r="BD232" s="2"/>
      <c r="BE232" s="2"/>
      <c r="BK232" s="2"/>
      <c r="BM232" s="2"/>
      <c r="BN232" s="2"/>
      <c r="BO232" s="2"/>
      <c r="BS232" s="11"/>
      <c r="BT232" s="2"/>
      <c r="BU232" s="3"/>
      <c r="BV232" s="3"/>
      <c r="BW232" s="2"/>
      <c r="BX232" s="2"/>
      <c r="BY232" s="2"/>
      <c r="BZ232" s="2"/>
      <c r="CA232" s="46"/>
      <c r="CB232" s="1"/>
      <c r="CC232" s="1"/>
      <c r="CD232" s="1"/>
      <c r="CE232" s="1"/>
      <c r="CF232" s="1"/>
      <c r="CG232" s="1"/>
      <c r="CH232" s="1"/>
      <c r="CI232" s="2"/>
      <c r="CJ232" s="2"/>
      <c r="CK232" s="2"/>
      <c r="CL232" s="2"/>
      <c r="CM232" s="2"/>
      <c r="CN232" s="2"/>
      <c r="CO232" s="2"/>
      <c r="CP232" s="2"/>
      <c r="CQ232" s="2"/>
      <c r="CR232" s="2"/>
      <c r="CS232" s="2"/>
      <c r="CT232" s="2"/>
      <c r="CU232" s="2"/>
      <c r="CV232" s="2"/>
      <c r="CW232" s="2"/>
      <c r="CX232" s="2"/>
      <c r="CY232" s="2"/>
      <c r="CZ232" s="2"/>
    </row>
    <row r="233" spans="43:104" ht="15" hidden="1" customHeight="1" x14ac:dyDescent="0.2">
      <c r="AQ233" s="13"/>
      <c r="AR233" s="12">
        <v>1435000</v>
      </c>
      <c r="AS233" s="12">
        <v>1680000</v>
      </c>
      <c r="AT233" s="2"/>
      <c r="AU233" s="2"/>
      <c r="AV233" s="2"/>
      <c r="AW233" s="2"/>
      <c r="AX233" s="2"/>
      <c r="AY233" s="2"/>
      <c r="AZ233" s="2"/>
      <c r="BA233" s="2"/>
      <c r="BB233" s="2"/>
      <c r="BC233" s="2"/>
      <c r="BD233" s="2"/>
      <c r="BE233" s="2"/>
      <c r="BK233" s="2"/>
      <c r="BM233" s="2"/>
      <c r="BN233" s="2"/>
      <c r="BO233" s="2"/>
      <c r="BS233" s="11"/>
      <c r="BT233" s="2"/>
      <c r="BU233" s="3"/>
      <c r="BV233" s="3"/>
      <c r="BW233" s="2"/>
      <c r="BX233" s="2"/>
      <c r="BY233" s="2"/>
      <c r="BZ233" s="2"/>
      <c r="CA233" s="46"/>
      <c r="CB233" s="1"/>
      <c r="CC233" s="1"/>
      <c r="CD233" s="1"/>
      <c r="CE233" s="1"/>
      <c r="CF233" s="1"/>
      <c r="CG233" s="1"/>
      <c r="CH233" s="1"/>
      <c r="CI233" s="2"/>
      <c r="CJ233" s="2"/>
      <c r="CK233" s="2"/>
      <c r="CL233" s="2"/>
      <c r="CM233" s="2"/>
      <c r="CN233" s="2"/>
      <c r="CO233" s="2"/>
      <c r="CP233" s="2"/>
      <c r="CQ233" s="2"/>
      <c r="CR233" s="2"/>
      <c r="CS233" s="2"/>
      <c r="CT233" s="2"/>
      <c r="CU233" s="2"/>
      <c r="CV233" s="2"/>
      <c r="CW233" s="2"/>
      <c r="CX233" s="2"/>
      <c r="CY233" s="2"/>
      <c r="CZ233" s="2"/>
    </row>
    <row r="234" spans="43:104" ht="15" hidden="1" customHeight="1" x14ac:dyDescent="0.2">
      <c r="AQ234" s="85"/>
      <c r="AR234" s="12">
        <v>1440000</v>
      </c>
      <c r="AS234" s="12">
        <v>1690000</v>
      </c>
      <c r="AT234" s="2"/>
      <c r="AU234" s="2"/>
      <c r="AV234" s="2"/>
      <c r="AW234" s="2"/>
      <c r="AX234" s="2"/>
      <c r="AY234" s="2"/>
      <c r="AZ234" s="2"/>
      <c r="BA234" s="2"/>
      <c r="BB234" s="2"/>
      <c r="BC234" s="2"/>
      <c r="BD234" s="2"/>
      <c r="BE234" s="2"/>
      <c r="BK234" s="2"/>
      <c r="BM234" s="2"/>
      <c r="BN234" s="2"/>
      <c r="BO234" s="2"/>
      <c r="BS234" s="11"/>
      <c r="BT234" s="2"/>
      <c r="BU234" s="3"/>
      <c r="BV234" s="3"/>
      <c r="BW234" s="2"/>
      <c r="BX234" s="2"/>
      <c r="BY234" s="2"/>
      <c r="BZ234" s="46"/>
      <c r="CA234" s="1"/>
      <c r="CB234" s="1"/>
      <c r="CC234" s="1"/>
      <c r="CD234" s="1"/>
      <c r="CE234" s="1"/>
      <c r="CF234" s="1"/>
      <c r="CG234" s="1"/>
      <c r="CH234" s="1"/>
      <c r="CI234" s="2"/>
      <c r="CJ234" s="2"/>
      <c r="CK234" s="2"/>
      <c r="CL234" s="2"/>
      <c r="CM234" s="2"/>
      <c r="CN234" s="2"/>
      <c r="CO234" s="2"/>
      <c r="CP234" s="2"/>
      <c r="CQ234" s="2"/>
      <c r="CR234" s="2"/>
      <c r="CS234" s="2"/>
      <c r="CT234" s="2"/>
      <c r="CU234" s="2"/>
      <c r="CV234" s="2"/>
      <c r="CW234" s="2"/>
      <c r="CX234" s="2"/>
      <c r="CY234" s="2"/>
      <c r="CZ234" s="2"/>
    </row>
    <row r="235" spans="43:104" ht="15" hidden="1" customHeight="1" x14ac:dyDescent="0.2">
      <c r="AQ235" s="12"/>
      <c r="AR235" s="12">
        <v>1445000</v>
      </c>
      <c r="AS235" s="12">
        <v>1700000</v>
      </c>
      <c r="AT235" s="2"/>
      <c r="AU235" s="2"/>
      <c r="AV235" s="2"/>
      <c r="AW235" s="2"/>
      <c r="AX235" s="2"/>
      <c r="AY235" s="2"/>
      <c r="AZ235" s="2"/>
      <c r="BA235" s="2"/>
      <c r="BB235" s="2"/>
      <c r="BC235" s="2"/>
      <c r="BD235" s="2"/>
      <c r="BE235" s="2"/>
      <c r="BK235" s="2"/>
      <c r="BM235" s="2"/>
      <c r="BN235" s="2"/>
      <c r="BO235" s="2"/>
      <c r="BS235" s="11"/>
      <c r="BT235" s="2"/>
      <c r="BU235" s="3"/>
      <c r="BV235" s="3"/>
      <c r="BW235" s="2"/>
      <c r="BX235" s="2"/>
      <c r="BY235" s="2"/>
      <c r="BZ235" s="2"/>
      <c r="CA235" s="46"/>
      <c r="CB235" s="1"/>
      <c r="CC235" s="7"/>
      <c r="CD235" s="1"/>
      <c r="CE235" s="1"/>
      <c r="CF235" s="1"/>
      <c r="CG235" s="1"/>
      <c r="CH235" s="1"/>
      <c r="CI235" s="2"/>
      <c r="CJ235" s="2"/>
      <c r="CK235" s="2"/>
      <c r="CL235" s="2"/>
      <c r="CM235" s="2"/>
      <c r="CN235" s="2"/>
      <c r="CO235" s="2"/>
      <c r="CP235" s="2"/>
      <c r="CQ235" s="2"/>
      <c r="CR235" s="2"/>
      <c r="CS235" s="2"/>
      <c r="CT235" s="2"/>
      <c r="CU235" s="2"/>
      <c r="CV235" s="2"/>
      <c r="CW235" s="2"/>
      <c r="CX235" s="2"/>
      <c r="CY235" s="2"/>
      <c r="CZ235" s="2"/>
    </row>
    <row r="236" spans="43:104" ht="15" hidden="1" customHeight="1" x14ac:dyDescent="0.2">
      <c r="AQ236" s="12"/>
      <c r="AR236" s="12">
        <v>1450000</v>
      </c>
      <c r="AS236" s="12">
        <v>1710000</v>
      </c>
      <c r="AT236" s="2"/>
      <c r="AU236" s="2"/>
      <c r="AV236" s="2"/>
      <c r="AW236" s="2"/>
      <c r="AX236" s="2"/>
      <c r="AY236" s="2"/>
      <c r="AZ236" s="2"/>
      <c r="BA236" s="2"/>
      <c r="BB236" s="2"/>
      <c r="BC236" s="2"/>
      <c r="BD236" s="2"/>
      <c r="BE236" s="2"/>
      <c r="BK236" s="2"/>
      <c r="BM236" s="2"/>
      <c r="BN236" s="2"/>
      <c r="BO236" s="2"/>
      <c r="BS236" s="11"/>
      <c r="BT236" s="2"/>
      <c r="BU236" s="3"/>
      <c r="BV236" s="3"/>
      <c r="BW236" s="2"/>
      <c r="BX236" s="2"/>
      <c r="BY236" s="2"/>
      <c r="BZ236" s="2"/>
      <c r="CA236" s="2"/>
      <c r="CB236" s="2"/>
      <c r="CC236" s="2"/>
      <c r="CD236" s="1"/>
      <c r="CE236" s="1"/>
      <c r="CF236" s="1"/>
      <c r="CG236" s="1"/>
      <c r="CH236" s="1"/>
      <c r="CI236" s="2"/>
      <c r="CJ236" s="2"/>
      <c r="CK236" s="2"/>
      <c r="CL236" s="2"/>
      <c r="CM236" s="2"/>
      <c r="CN236" s="2"/>
      <c r="CO236" s="2"/>
      <c r="CP236" s="2"/>
      <c r="CQ236" s="2"/>
      <c r="CR236" s="2"/>
      <c r="CS236" s="2"/>
      <c r="CT236" s="2"/>
      <c r="CU236" s="2"/>
      <c r="CV236" s="2"/>
      <c r="CW236" s="2"/>
      <c r="CX236" s="2"/>
      <c r="CY236" s="2"/>
      <c r="CZ236" s="2"/>
    </row>
    <row r="237" spans="43:104" ht="15" hidden="1" customHeight="1" x14ac:dyDescent="0.2">
      <c r="AQ237" s="13"/>
      <c r="AR237" s="12">
        <v>1455000</v>
      </c>
      <c r="AS237" s="12">
        <v>1720000</v>
      </c>
      <c r="AT237" s="2"/>
      <c r="AU237" s="2"/>
      <c r="AV237" s="2"/>
      <c r="AW237" s="2"/>
      <c r="AX237" s="2"/>
      <c r="AY237" s="2"/>
      <c r="AZ237" s="2"/>
      <c r="BA237" s="2"/>
      <c r="BB237" s="2"/>
      <c r="BC237" s="2"/>
      <c r="BD237" s="2"/>
      <c r="BE237" s="2"/>
      <c r="BK237" s="2"/>
      <c r="BM237" s="2"/>
      <c r="BN237" s="2"/>
      <c r="BO237" s="2"/>
      <c r="BS237" s="11"/>
      <c r="BT237" s="2"/>
      <c r="BU237" s="3"/>
      <c r="BV237" s="3"/>
      <c r="BW237" s="2"/>
      <c r="BX237" s="2"/>
      <c r="BY237" s="2"/>
      <c r="BZ237" s="2"/>
      <c r="CA237" s="2"/>
      <c r="CB237" s="2"/>
      <c r="CC237" s="2"/>
      <c r="CD237" s="1"/>
      <c r="CE237" s="1"/>
      <c r="CF237" s="1"/>
      <c r="CG237" s="1"/>
      <c r="CH237" s="1"/>
      <c r="CI237" s="2"/>
      <c r="CJ237" s="2"/>
      <c r="CK237" s="2"/>
      <c r="CL237" s="2"/>
      <c r="CM237" s="2"/>
      <c r="CN237" s="2"/>
      <c r="CO237" s="2"/>
      <c r="CP237" s="2"/>
      <c r="CQ237" s="2"/>
      <c r="CR237" s="2"/>
      <c r="CS237" s="2"/>
      <c r="CT237" s="2"/>
      <c r="CU237" s="2"/>
      <c r="CV237" s="2"/>
      <c r="CW237" s="2"/>
      <c r="CX237" s="2"/>
      <c r="CY237" s="2"/>
      <c r="CZ237" s="2"/>
    </row>
    <row r="238" spans="43:104" ht="15" hidden="1" customHeight="1" x14ac:dyDescent="0.2">
      <c r="AQ238" s="13"/>
      <c r="AR238" s="12">
        <v>1460000</v>
      </c>
      <c r="AS238" s="12">
        <v>1730000</v>
      </c>
      <c r="AT238" s="2"/>
      <c r="AU238" s="2"/>
      <c r="AV238" s="2"/>
      <c r="AW238" s="2"/>
      <c r="AX238" s="2"/>
      <c r="AY238" s="2"/>
      <c r="AZ238" s="2"/>
      <c r="BA238" s="2"/>
      <c r="BB238" s="2"/>
      <c r="BC238" s="2"/>
      <c r="BD238" s="2"/>
      <c r="BE238" s="2"/>
      <c r="BK238" s="2"/>
      <c r="BM238" s="2"/>
      <c r="BN238" s="2"/>
      <c r="BO238" s="2"/>
      <c r="BS238" s="11"/>
      <c r="BT238" s="2"/>
      <c r="BU238" s="3"/>
      <c r="BV238" s="3"/>
      <c r="BW238" s="2"/>
      <c r="BX238" s="2"/>
      <c r="BY238" s="2"/>
      <c r="BZ238" s="2"/>
      <c r="CA238" s="2"/>
      <c r="CB238" s="2"/>
      <c r="CC238" s="2"/>
      <c r="CD238" s="1"/>
      <c r="CE238" s="1"/>
      <c r="CF238" s="1"/>
      <c r="CG238" s="1"/>
      <c r="CH238" s="1"/>
      <c r="CI238" s="2"/>
      <c r="CJ238" s="2"/>
      <c r="CK238" s="2"/>
      <c r="CL238" s="2"/>
      <c r="CM238" s="2"/>
      <c r="CN238" s="2"/>
      <c r="CO238" s="2"/>
      <c r="CP238" s="2"/>
      <c r="CQ238" s="2"/>
      <c r="CR238" s="2"/>
      <c r="CS238" s="2"/>
      <c r="CT238" s="2"/>
      <c r="CU238" s="2"/>
      <c r="CV238" s="2"/>
      <c r="CW238" s="2"/>
      <c r="CX238" s="2"/>
      <c r="CY238" s="2"/>
      <c r="CZ238" s="2"/>
    </row>
    <row r="239" spans="43:104" ht="15" hidden="1" customHeight="1" x14ac:dyDescent="0.2">
      <c r="AQ239" s="85"/>
      <c r="AR239" s="12">
        <v>1465000</v>
      </c>
      <c r="AS239" s="12">
        <v>1740000</v>
      </c>
      <c r="AT239" s="2"/>
      <c r="AU239" s="2"/>
      <c r="AV239" s="2"/>
      <c r="AW239" s="2"/>
      <c r="AX239" s="2"/>
      <c r="AY239" s="2"/>
      <c r="AZ239" s="2"/>
      <c r="BA239" s="2"/>
      <c r="BB239" s="2"/>
      <c r="BC239" s="2"/>
      <c r="BD239" s="2"/>
      <c r="BE239" s="2"/>
      <c r="BK239" s="2"/>
      <c r="BM239" s="2"/>
      <c r="BN239" s="2"/>
      <c r="BO239" s="2"/>
      <c r="BS239" s="11"/>
      <c r="BT239" s="2"/>
      <c r="BU239" s="3"/>
      <c r="BV239" s="3"/>
      <c r="BW239" s="2"/>
      <c r="BX239" s="2"/>
      <c r="BY239" s="2"/>
      <c r="BZ239" s="2"/>
      <c r="CA239" s="2"/>
      <c r="CB239" s="2"/>
      <c r="CC239" s="2"/>
      <c r="CD239" s="1"/>
      <c r="CE239" s="1"/>
      <c r="CF239" s="1"/>
      <c r="CG239" s="1"/>
      <c r="CH239" s="1"/>
      <c r="CI239" s="2"/>
      <c r="CJ239" s="2"/>
      <c r="CK239" s="2"/>
      <c r="CL239" s="2"/>
      <c r="CM239" s="2"/>
      <c r="CN239" s="2"/>
      <c r="CO239" s="2"/>
      <c r="CP239" s="2"/>
      <c r="CQ239" s="2"/>
      <c r="CR239" s="2"/>
      <c r="CS239" s="2"/>
      <c r="CT239" s="2"/>
      <c r="CU239" s="2"/>
      <c r="CV239" s="2"/>
      <c r="CW239" s="2"/>
      <c r="CX239" s="2"/>
      <c r="CY239" s="2"/>
      <c r="CZ239" s="2"/>
    </row>
    <row r="240" spans="43:104" ht="15" hidden="1" customHeight="1" x14ac:dyDescent="0.2">
      <c r="AQ240" s="12"/>
      <c r="AR240" s="12">
        <v>1470000</v>
      </c>
      <c r="AS240" s="12">
        <v>1750000</v>
      </c>
      <c r="AT240" s="2"/>
      <c r="AU240" s="2"/>
      <c r="AV240" s="2"/>
      <c r="AW240" s="2"/>
      <c r="AX240" s="2"/>
      <c r="AY240" s="2"/>
      <c r="AZ240" s="2"/>
      <c r="BA240" s="2"/>
      <c r="BB240" s="2"/>
      <c r="BC240" s="2"/>
      <c r="BD240" s="2"/>
      <c r="BE240" s="2"/>
      <c r="BK240" s="2"/>
      <c r="BM240" s="2"/>
      <c r="BN240" s="2"/>
      <c r="BO240" s="2"/>
      <c r="BS240" s="11"/>
      <c r="BT240" s="2"/>
      <c r="BU240" s="3"/>
      <c r="BV240" s="3"/>
      <c r="BW240" s="2"/>
      <c r="BX240" s="2"/>
      <c r="BY240" s="2"/>
      <c r="BZ240" s="2"/>
      <c r="CA240" s="2"/>
      <c r="CB240" s="2"/>
      <c r="CC240" s="2"/>
      <c r="CD240" s="1"/>
      <c r="CE240" s="1"/>
      <c r="CF240" s="1"/>
      <c r="CG240" s="1"/>
      <c r="CH240" s="1"/>
      <c r="CI240" s="2"/>
      <c r="CJ240" s="2"/>
      <c r="CK240" s="2"/>
      <c r="CL240" s="2"/>
      <c r="CM240" s="2"/>
      <c r="CN240" s="2"/>
      <c r="CO240" s="2"/>
      <c r="CP240" s="2"/>
      <c r="CQ240" s="2"/>
      <c r="CR240" s="2"/>
      <c r="CS240" s="2"/>
      <c r="CT240" s="2"/>
      <c r="CU240" s="2"/>
      <c r="CV240" s="2"/>
      <c r="CW240" s="2"/>
      <c r="CX240" s="2"/>
      <c r="CY240" s="2"/>
      <c r="CZ240" s="2"/>
    </row>
    <row r="241" spans="43:104" ht="15" hidden="1" customHeight="1" x14ac:dyDescent="0.2">
      <c r="AQ241" s="12"/>
      <c r="AR241" s="12">
        <v>1475000</v>
      </c>
      <c r="AS241" s="12">
        <v>1760000</v>
      </c>
      <c r="AT241" s="2"/>
      <c r="AU241" s="2"/>
      <c r="AV241" s="2"/>
      <c r="AW241" s="2"/>
      <c r="AX241" s="2"/>
      <c r="AY241" s="2"/>
      <c r="AZ241" s="2"/>
      <c r="BA241" s="2"/>
      <c r="BB241" s="2"/>
      <c r="BC241" s="2"/>
      <c r="BD241" s="2"/>
      <c r="BE241" s="2"/>
      <c r="BK241" s="2"/>
      <c r="BM241" s="2"/>
      <c r="BN241" s="2"/>
      <c r="BO241" s="2"/>
      <c r="BS241" s="11"/>
      <c r="BT241" s="2"/>
      <c r="BU241" s="3"/>
      <c r="BV241" s="3"/>
      <c r="BW241" s="2"/>
      <c r="BX241" s="2"/>
      <c r="BY241" s="2"/>
      <c r="BZ241" s="2"/>
      <c r="CA241" s="46"/>
      <c r="CB241" s="1"/>
      <c r="CC241" s="1"/>
      <c r="CD241" s="1"/>
      <c r="CE241" s="1"/>
      <c r="CF241" s="1"/>
      <c r="CG241" s="1"/>
      <c r="CH241" s="1"/>
      <c r="CI241" s="2"/>
      <c r="CJ241" s="2"/>
      <c r="CK241" s="2"/>
      <c r="CL241" s="2"/>
      <c r="CM241" s="2"/>
      <c r="CN241" s="2"/>
      <c r="CO241" s="2"/>
      <c r="CP241" s="2"/>
      <c r="CQ241" s="2"/>
      <c r="CR241" s="2"/>
      <c r="CS241" s="2"/>
      <c r="CT241" s="2"/>
      <c r="CU241" s="2"/>
      <c r="CV241" s="2"/>
      <c r="CW241" s="2"/>
      <c r="CX241" s="2"/>
      <c r="CY241" s="2"/>
      <c r="CZ241" s="2"/>
    </row>
    <row r="242" spans="43:104" ht="15" hidden="1" customHeight="1" x14ac:dyDescent="0.2">
      <c r="AQ242" s="13"/>
      <c r="AR242" s="12">
        <v>1480000</v>
      </c>
      <c r="AS242" s="12">
        <v>1770000</v>
      </c>
      <c r="AT242" s="2"/>
      <c r="AU242" s="2"/>
      <c r="AV242" s="2"/>
      <c r="AW242" s="2"/>
      <c r="AX242" s="2"/>
      <c r="AY242" s="2"/>
      <c r="AZ242" s="2"/>
      <c r="BA242" s="2"/>
      <c r="BB242" s="2"/>
      <c r="BC242" s="2"/>
      <c r="BD242" s="2"/>
      <c r="BE242" s="2"/>
      <c r="BK242" s="2"/>
      <c r="BM242" s="2"/>
      <c r="BN242" s="2"/>
      <c r="BO242" s="2"/>
      <c r="BS242" s="11"/>
      <c r="BT242" s="2"/>
      <c r="BU242" s="3"/>
      <c r="BV242" s="3"/>
      <c r="BW242" s="2"/>
      <c r="BX242" s="2"/>
      <c r="BY242" s="2"/>
      <c r="BZ242" s="2"/>
      <c r="CA242" s="46"/>
      <c r="CB242" s="1"/>
      <c r="CC242" s="1"/>
      <c r="CD242" s="1"/>
      <c r="CE242" s="1"/>
      <c r="CF242" s="1"/>
      <c r="CG242" s="1"/>
      <c r="CH242" s="1"/>
      <c r="CI242" s="2"/>
      <c r="CJ242" s="2"/>
      <c r="CK242" s="2"/>
      <c r="CL242" s="2"/>
      <c r="CM242" s="2"/>
      <c r="CN242" s="2"/>
      <c r="CO242" s="2"/>
      <c r="CP242" s="2"/>
      <c r="CQ242" s="2"/>
      <c r="CR242" s="2"/>
      <c r="CS242" s="2"/>
      <c r="CT242" s="2"/>
      <c r="CU242" s="2"/>
      <c r="CV242" s="2"/>
      <c r="CW242" s="2"/>
      <c r="CX242" s="2"/>
      <c r="CY242" s="2"/>
      <c r="CZ242" s="2"/>
    </row>
    <row r="243" spans="43:104" ht="15" hidden="1" customHeight="1" x14ac:dyDescent="0.2">
      <c r="AQ243" s="13"/>
      <c r="AR243" s="12">
        <v>1485000</v>
      </c>
      <c r="AS243" s="12">
        <v>1780000</v>
      </c>
      <c r="AT243" s="2"/>
      <c r="AU243" s="2"/>
      <c r="AV243" s="2"/>
      <c r="AW243" s="2"/>
      <c r="AX243" s="2"/>
      <c r="AY243" s="2"/>
      <c r="AZ243" s="2"/>
      <c r="BA243" s="2"/>
      <c r="BB243" s="2"/>
      <c r="BC243" s="2"/>
      <c r="BD243" s="2"/>
      <c r="BE243" s="2"/>
      <c r="BK243" s="2"/>
      <c r="BM243" s="2"/>
      <c r="BN243" s="2"/>
      <c r="BO243" s="2"/>
      <c r="BS243" s="11"/>
      <c r="BT243" s="2"/>
      <c r="BU243" s="3"/>
      <c r="BV243" s="3"/>
      <c r="BW243" s="2"/>
      <c r="BX243" s="2"/>
      <c r="BY243" s="2"/>
      <c r="BZ243" s="2"/>
      <c r="CA243" s="46"/>
      <c r="CB243" s="1"/>
      <c r="CC243" s="1"/>
      <c r="CD243" s="1"/>
      <c r="CE243" s="1"/>
      <c r="CF243" s="1"/>
      <c r="CG243" s="1"/>
      <c r="CH243" s="1"/>
      <c r="CI243" s="2"/>
      <c r="CJ243" s="2"/>
      <c r="CK243" s="2"/>
      <c r="CL243" s="2"/>
      <c r="CM243" s="2"/>
      <c r="CN243" s="2"/>
      <c r="CO243" s="2"/>
      <c r="CP243" s="2"/>
      <c r="CQ243" s="2"/>
      <c r="CR243" s="2"/>
      <c r="CS243" s="2"/>
      <c r="CT243" s="2"/>
      <c r="CU243" s="2"/>
      <c r="CV243" s="2"/>
      <c r="CW243" s="2"/>
      <c r="CX243" s="2"/>
      <c r="CY243" s="2"/>
      <c r="CZ243" s="2"/>
    </row>
    <row r="244" spans="43:104" ht="15" hidden="1" customHeight="1" x14ac:dyDescent="0.2">
      <c r="AQ244" s="85"/>
      <c r="AR244" s="12">
        <v>1490000</v>
      </c>
      <c r="AS244" s="12">
        <v>1790000</v>
      </c>
      <c r="AT244" s="2"/>
      <c r="AU244" s="2"/>
      <c r="AV244" s="2"/>
      <c r="AW244" s="2"/>
      <c r="AX244" s="2"/>
      <c r="AY244" s="2"/>
      <c r="AZ244" s="2"/>
      <c r="BA244" s="2"/>
      <c r="BB244" s="2"/>
      <c r="BC244" s="2"/>
      <c r="BD244" s="2"/>
      <c r="BE244" s="2"/>
      <c r="BK244" s="2"/>
      <c r="BM244" s="2"/>
      <c r="BN244" s="2"/>
      <c r="BO244" s="2"/>
      <c r="BS244" s="11"/>
      <c r="BT244" s="2"/>
      <c r="BU244" s="3"/>
      <c r="BV244" s="3"/>
      <c r="BW244" s="2"/>
      <c r="BX244" s="2"/>
      <c r="BY244" s="2"/>
      <c r="BZ244" s="2"/>
      <c r="CA244" s="46"/>
      <c r="CB244" s="1"/>
      <c r="CC244" s="1"/>
      <c r="CD244" s="1"/>
      <c r="CE244" s="1"/>
      <c r="CF244" s="1"/>
      <c r="CG244" s="1"/>
      <c r="CH244" s="1"/>
      <c r="CI244" s="2"/>
      <c r="CJ244" s="2"/>
      <c r="CK244" s="2"/>
      <c r="CL244" s="2"/>
      <c r="CM244" s="2"/>
      <c r="CN244" s="2"/>
      <c r="CO244" s="2"/>
      <c r="CP244" s="2"/>
      <c r="CQ244" s="2"/>
      <c r="CR244" s="2"/>
      <c r="CS244" s="2"/>
      <c r="CT244" s="2"/>
      <c r="CU244" s="2"/>
      <c r="CV244" s="2"/>
      <c r="CW244" s="2"/>
      <c r="CX244" s="2"/>
      <c r="CY244" s="2"/>
      <c r="CZ244" s="2"/>
    </row>
    <row r="245" spans="43:104" ht="15" hidden="1" customHeight="1" x14ac:dyDescent="0.2">
      <c r="AQ245" s="12"/>
      <c r="AR245" s="12">
        <v>1495000</v>
      </c>
      <c r="AS245" s="12">
        <v>1800000</v>
      </c>
      <c r="AT245" s="2"/>
      <c r="AU245" s="2"/>
      <c r="AV245" s="2"/>
      <c r="AW245" s="2"/>
      <c r="AX245" s="2"/>
      <c r="AY245" s="2"/>
      <c r="AZ245" s="2"/>
      <c r="BA245" s="2"/>
      <c r="BB245" s="2"/>
      <c r="BC245" s="2"/>
      <c r="BD245" s="2"/>
      <c r="BE245" s="2"/>
      <c r="BK245" s="2"/>
      <c r="BM245" s="2"/>
      <c r="BN245" s="2"/>
      <c r="BO245" s="2"/>
      <c r="BS245" s="11"/>
      <c r="BT245" s="2"/>
      <c r="BU245" s="3"/>
      <c r="BV245" s="3"/>
      <c r="BW245" s="2"/>
      <c r="BX245" s="2"/>
      <c r="BY245" s="2"/>
      <c r="BZ245" s="2"/>
      <c r="CA245" s="46"/>
      <c r="CB245" s="1"/>
      <c r="CC245" s="1"/>
      <c r="CD245" s="1"/>
      <c r="CE245" s="1"/>
      <c r="CF245" s="1"/>
      <c r="CG245" s="1"/>
      <c r="CH245" s="1"/>
      <c r="CI245" s="2"/>
      <c r="CJ245" s="2"/>
      <c r="CK245" s="2"/>
      <c r="CL245" s="2"/>
      <c r="CM245" s="2"/>
      <c r="CN245" s="2"/>
      <c r="CO245" s="2"/>
      <c r="CP245" s="2"/>
      <c r="CQ245" s="2"/>
      <c r="CR245" s="2"/>
      <c r="CS245" s="2"/>
      <c r="CT245" s="2"/>
      <c r="CU245" s="2"/>
      <c r="CV245" s="2"/>
      <c r="CW245" s="2"/>
      <c r="CX245" s="2"/>
      <c r="CY245" s="2"/>
      <c r="CZ245" s="2"/>
    </row>
    <row r="246" spans="43:104" ht="15" hidden="1" customHeight="1" x14ac:dyDescent="0.2">
      <c r="AQ246" s="12"/>
      <c r="AR246" s="12">
        <v>1500000</v>
      </c>
      <c r="AS246" s="12">
        <v>1810000</v>
      </c>
      <c r="AT246" s="2"/>
      <c r="AU246" s="2"/>
      <c r="AV246" s="2"/>
      <c r="AW246" s="2"/>
      <c r="AX246" s="2"/>
      <c r="AY246" s="2"/>
      <c r="AZ246" s="2"/>
      <c r="BA246" s="2"/>
      <c r="BB246" s="2"/>
      <c r="BC246" s="2"/>
      <c r="BD246" s="2"/>
      <c r="BE246" s="2"/>
      <c r="BK246" s="2"/>
      <c r="BM246" s="2"/>
      <c r="BN246" s="2"/>
      <c r="BO246" s="2"/>
      <c r="BS246" s="11"/>
      <c r="BT246" s="2"/>
      <c r="BU246" s="3"/>
      <c r="BV246" s="3"/>
      <c r="BW246" s="2"/>
      <c r="BX246" s="2"/>
      <c r="BY246" s="2"/>
      <c r="BZ246" s="2"/>
      <c r="CA246" s="46"/>
      <c r="CB246" s="1"/>
      <c r="CC246" s="1"/>
      <c r="CD246" s="1"/>
      <c r="CE246" s="1"/>
      <c r="CF246" s="1"/>
      <c r="CG246" s="1"/>
      <c r="CH246" s="1"/>
      <c r="CI246" s="2"/>
      <c r="CJ246" s="2"/>
      <c r="CK246" s="2"/>
      <c r="CL246" s="2"/>
      <c r="CM246" s="2"/>
      <c r="CN246" s="2"/>
      <c r="CO246" s="2"/>
      <c r="CP246" s="2"/>
      <c r="CQ246" s="2"/>
      <c r="CR246" s="2"/>
      <c r="CS246" s="2"/>
      <c r="CT246" s="2"/>
      <c r="CU246" s="2"/>
      <c r="CV246" s="2"/>
      <c r="CW246" s="2"/>
      <c r="CX246" s="2"/>
      <c r="CY246" s="2"/>
      <c r="CZ246" s="2"/>
    </row>
    <row r="247" spans="43:104" ht="15" hidden="1" customHeight="1" x14ac:dyDescent="0.2">
      <c r="AQ247" s="13"/>
      <c r="AR247" s="12">
        <v>1505000</v>
      </c>
      <c r="AS247" s="12">
        <v>1820000</v>
      </c>
      <c r="AT247" s="2"/>
      <c r="AU247" s="2"/>
      <c r="AV247" s="2"/>
      <c r="AW247" s="2"/>
      <c r="AX247" s="2"/>
      <c r="AY247" s="2"/>
      <c r="AZ247" s="2"/>
      <c r="BA247" s="2"/>
      <c r="BB247" s="2"/>
      <c r="BC247" s="2"/>
      <c r="BD247" s="2"/>
      <c r="BE247" s="2"/>
      <c r="BK247" s="2"/>
      <c r="BM247" s="2"/>
      <c r="BN247" s="2"/>
      <c r="BO247" s="2"/>
      <c r="BS247" s="11"/>
      <c r="BT247" s="2"/>
      <c r="BU247" s="3"/>
      <c r="BV247" s="3"/>
      <c r="BW247" s="2"/>
      <c r="BX247" s="2"/>
      <c r="BY247" s="2"/>
      <c r="BZ247" s="2"/>
      <c r="CA247" s="46"/>
      <c r="CB247" s="1"/>
      <c r="CC247" s="1"/>
      <c r="CD247" s="1"/>
      <c r="CE247" s="1"/>
      <c r="CF247" s="1"/>
      <c r="CG247" s="1"/>
      <c r="CH247" s="1"/>
      <c r="CI247" s="2"/>
      <c r="CJ247" s="2"/>
      <c r="CK247" s="2"/>
      <c r="CL247" s="2"/>
      <c r="CM247" s="2"/>
      <c r="CN247" s="2"/>
      <c r="CO247" s="2"/>
      <c r="CP247" s="2"/>
      <c r="CQ247" s="2"/>
      <c r="CR247" s="2"/>
      <c r="CS247" s="2"/>
      <c r="CT247" s="2"/>
      <c r="CU247" s="2"/>
      <c r="CV247" s="2"/>
      <c r="CW247" s="2"/>
      <c r="CX247" s="2"/>
      <c r="CY247" s="2"/>
      <c r="CZ247" s="2"/>
    </row>
    <row r="248" spans="43:104" ht="15" hidden="1" customHeight="1" x14ac:dyDescent="0.2">
      <c r="AQ248" s="13"/>
      <c r="AR248" s="12">
        <v>1510000</v>
      </c>
      <c r="AS248" s="12">
        <v>1830000</v>
      </c>
      <c r="AT248" s="2"/>
      <c r="AU248" s="2"/>
      <c r="AV248" s="2"/>
      <c r="AW248" s="2"/>
      <c r="AX248" s="2"/>
      <c r="AY248" s="2"/>
      <c r="AZ248" s="2"/>
      <c r="BA248" s="2"/>
      <c r="BB248" s="2"/>
      <c r="BC248" s="2"/>
      <c r="BD248" s="2"/>
      <c r="BE248" s="2"/>
      <c r="BK248" s="2"/>
      <c r="BM248" s="2"/>
      <c r="BN248" s="2"/>
      <c r="BO248" s="2"/>
      <c r="BS248" s="11"/>
      <c r="BT248" s="2"/>
      <c r="BU248" s="3"/>
      <c r="BV248" s="3"/>
      <c r="BW248" s="2"/>
      <c r="BX248" s="2"/>
      <c r="BY248" s="2"/>
      <c r="BZ248" s="2"/>
      <c r="CA248" s="46"/>
      <c r="CB248" s="1"/>
      <c r="CC248" s="1"/>
      <c r="CD248" s="1"/>
      <c r="CE248" s="1"/>
      <c r="CF248" s="1"/>
      <c r="CG248" s="1"/>
      <c r="CH248" s="1"/>
      <c r="CI248" s="2"/>
      <c r="CJ248" s="2"/>
      <c r="CK248" s="2"/>
      <c r="CL248" s="2"/>
      <c r="CM248" s="2"/>
      <c r="CN248" s="2"/>
      <c r="CO248" s="2"/>
      <c r="CP248" s="2"/>
      <c r="CQ248" s="2"/>
      <c r="CR248" s="2"/>
      <c r="CS248" s="2"/>
      <c r="CT248" s="2"/>
      <c r="CU248" s="2"/>
      <c r="CV248" s="2"/>
      <c r="CW248" s="2"/>
      <c r="CX248" s="2"/>
      <c r="CY248" s="2"/>
      <c r="CZ248" s="2"/>
    </row>
    <row r="249" spans="43:104" ht="15" hidden="1" customHeight="1" x14ac:dyDescent="0.2">
      <c r="AQ249" s="85"/>
      <c r="AR249" s="12">
        <v>1515000</v>
      </c>
      <c r="AS249" s="12">
        <v>1840000</v>
      </c>
      <c r="AT249" s="2"/>
      <c r="AU249" s="2"/>
      <c r="AV249" s="2"/>
      <c r="AW249" s="2"/>
      <c r="AX249" s="2"/>
      <c r="AY249" s="2"/>
      <c r="AZ249" s="2"/>
      <c r="BA249" s="2"/>
      <c r="BB249" s="2"/>
      <c r="BC249" s="2"/>
      <c r="BD249" s="2"/>
      <c r="BE249" s="2"/>
      <c r="BK249" s="2"/>
      <c r="BM249" s="2"/>
      <c r="BN249" s="2"/>
      <c r="BO249" s="2"/>
      <c r="BS249" s="11"/>
      <c r="BT249" s="2"/>
      <c r="BU249" s="3"/>
      <c r="BV249" s="3"/>
      <c r="BW249" s="2"/>
      <c r="BX249" s="2"/>
      <c r="BY249" s="2"/>
      <c r="BZ249" s="2"/>
      <c r="CA249" s="46"/>
      <c r="CB249" s="1"/>
      <c r="CC249" s="1"/>
      <c r="CD249" s="1"/>
      <c r="CE249" s="1"/>
      <c r="CF249" s="1"/>
      <c r="CG249" s="1"/>
      <c r="CH249" s="1"/>
      <c r="CI249" s="2"/>
      <c r="CJ249" s="2"/>
      <c r="CK249" s="2"/>
      <c r="CL249" s="2"/>
      <c r="CM249" s="2"/>
      <c r="CN249" s="2"/>
      <c r="CO249" s="2"/>
      <c r="CP249" s="2"/>
      <c r="CQ249" s="2"/>
      <c r="CR249" s="2"/>
      <c r="CS249" s="2"/>
      <c r="CT249" s="2"/>
      <c r="CU249" s="2"/>
      <c r="CV249" s="2"/>
      <c r="CW249" s="2"/>
      <c r="CX249" s="2"/>
      <c r="CY249" s="2"/>
      <c r="CZ249" s="2"/>
    </row>
    <row r="250" spans="43:104" ht="15" hidden="1" customHeight="1" x14ac:dyDescent="0.2">
      <c r="AQ250" s="12"/>
      <c r="AR250" s="12">
        <v>1520000</v>
      </c>
      <c r="AS250" s="12">
        <v>1850000</v>
      </c>
      <c r="AT250" s="2"/>
      <c r="AU250" s="2"/>
      <c r="AV250" s="2"/>
      <c r="AW250" s="2"/>
      <c r="AX250" s="2"/>
      <c r="AY250" s="2"/>
      <c r="AZ250" s="2"/>
      <c r="BA250" s="2"/>
      <c r="BB250" s="2"/>
      <c r="BC250" s="2"/>
      <c r="BD250" s="2"/>
      <c r="BE250" s="2"/>
      <c r="BK250" s="2"/>
      <c r="BM250" s="2"/>
      <c r="BN250" s="2"/>
      <c r="BO250" s="2"/>
      <c r="BS250" s="11"/>
      <c r="BT250" s="2"/>
      <c r="BU250" s="3"/>
      <c r="BV250" s="3"/>
      <c r="BW250" s="2"/>
      <c r="BX250" s="2"/>
      <c r="BY250" s="2"/>
      <c r="BZ250" s="46"/>
      <c r="CA250" s="1"/>
      <c r="CB250" s="1"/>
      <c r="CC250" s="1"/>
      <c r="CD250" s="1"/>
      <c r="CE250" s="1"/>
      <c r="CF250" s="1"/>
      <c r="CG250" s="1"/>
      <c r="CH250" s="1"/>
      <c r="CI250" s="2"/>
      <c r="CJ250" s="2"/>
      <c r="CK250" s="2"/>
      <c r="CL250" s="2"/>
      <c r="CM250" s="2"/>
      <c r="CN250" s="2"/>
      <c r="CO250" s="2"/>
      <c r="CP250" s="2"/>
      <c r="CQ250" s="2"/>
      <c r="CR250" s="2"/>
      <c r="CS250" s="2"/>
      <c r="CT250" s="2"/>
      <c r="CU250" s="2"/>
      <c r="CV250" s="2"/>
      <c r="CW250" s="2"/>
      <c r="CX250" s="2"/>
      <c r="CY250" s="2"/>
      <c r="CZ250" s="2"/>
    </row>
    <row r="251" spans="43:104" ht="15" hidden="1" customHeight="1" x14ac:dyDescent="0.2">
      <c r="AQ251" s="12"/>
      <c r="AR251" s="12">
        <v>1525000</v>
      </c>
      <c r="AS251" s="12">
        <v>1860000</v>
      </c>
      <c r="AT251" s="2"/>
      <c r="AU251" s="2"/>
      <c r="AV251" s="2"/>
      <c r="AW251" s="2"/>
      <c r="AX251" s="2"/>
      <c r="AY251" s="2"/>
      <c r="AZ251" s="2"/>
      <c r="BA251" s="2"/>
      <c r="BB251" s="2"/>
      <c r="BC251" s="2"/>
      <c r="BD251" s="2"/>
      <c r="BE251" s="2"/>
      <c r="BK251" s="2"/>
      <c r="BM251" s="2"/>
      <c r="BN251" s="2"/>
      <c r="BO251" s="2"/>
      <c r="BS251" s="11"/>
      <c r="BT251" s="2"/>
      <c r="BU251" s="3"/>
      <c r="BV251" s="3"/>
      <c r="BW251" s="2"/>
      <c r="BX251" s="2"/>
      <c r="BY251" s="2"/>
      <c r="BZ251" s="2"/>
      <c r="CA251" s="2"/>
      <c r="CB251" s="2"/>
      <c r="CC251" s="2"/>
      <c r="CD251" s="1"/>
      <c r="CE251" s="1"/>
      <c r="CF251" s="1"/>
      <c r="CG251" s="1"/>
      <c r="CH251" s="1"/>
      <c r="CI251" s="2"/>
      <c r="CJ251" s="2"/>
      <c r="CK251" s="2"/>
      <c r="CL251" s="2"/>
      <c r="CM251" s="2"/>
      <c r="CN251" s="2"/>
      <c r="CO251" s="2"/>
      <c r="CP251" s="2"/>
      <c r="CQ251" s="2"/>
      <c r="CR251" s="2"/>
      <c r="CS251" s="2"/>
      <c r="CT251" s="2"/>
      <c r="CU251" s="2"/>
      <c r="CV251" s="2"/>
      <c r="CW251" s="2"/>
      <c r="CX251" s="2"/>
      <c r="CY251" s="2"/>
      <c r="CZ251" s="2"/>
    </row>
    <row r="252" spans="43:104" ht="15" hidden="1" customHeight="1" x14ac:dyDescent="0.2">
      <c r="AQ252" s="13"/>
      <c r="AR252" s="12">
        <v>1530000</v>
      </c>
      <c r="AS252" s="12">
        <v>1870000</v>
      </c>
      <c r="AT252" s="2"/>
      <c r="AU252" s="2"/>
      <c r="AV252" s="2"/>
      <c r="AW252" s="2"/>
      <c r="AX252" s="2"/>
      <c r="AY252" s="2"/>
      <c r="AZ252" s="2"/>
      <c r="BA252" s="2"/>
      <c r="BB252" s="2"/>
      <c r="BC252" s="2"/>
      <c r="BD252" s="2"/>
      <c r="BE252" s="2"/>
      <c r="BK252" s="2"/>
      <c r="BM252" s="2"/>
      <c r="BN252" s="2"/>
      <c r="BO252" s="2"/>
      <c r="BS252" s="11"/>
      <c r="BT252" s="2"/>
      <c r="BU252" s="3"/>
      <c r="BV252" s="3"/>
      <c r="BW252" s="2"/>
      <c r="BX252" s="2"/>
      <c r="BY252" s="2"/>
      <c r="BZ252" s="2"/>
      <c r="CA252" s="46"/>
      <c r="CB252" s="1"/>
      <c r="CC252" s="1"/>
      <c r="CD252" s="1"/>
      <c r="CE252" s="1"/>
      <c r="CF252" s="1"/>
      <c r="CG252" s="1"/>
      <c r="CH252" s="1"/>
      <c r="CI252" s="2"/>
      <c r="CJ252" s="2"/>
      <c r="CK252" s="2"/>
      <c r="CL252" s="2"/>
      <c r="CM252" s="2"/>
      <c r="CN252" s="2"/>
      <c r="CO252" s="2"/>
      <c r="CP252" s="2"/>
      <c r="CQ252" s="2"/>
      <c r="CR252" s="2"/>
      <c r="CS252" s="2"/>
      <c r="CT252" s="2"/>
      <c r="CU252" s="2"/>
      <c r="CV252" s="2"/>
      <c r="CW252" s="2"/>
      <c r="CX252" s="2"/>
      <c r="CY252" s="2"/>
      <c r="CZ252" s="2"/>
    </row>
    <row r="253" spans="43:104" ht="15" hidden="1" customHeight="1" x14ac:dyDescent="0.2">
      <c r="AQ253" s="13"/>
      <c r="AR253" s="12">
        <v>1535000</v>
      </c>
      <c r="AS253" s="12">
        <v>1880000</v>
      </c>
      <c r="AT253" s="2"/>
      <c r="AU253" s="2"/>
      <c r="AV253" s="2"/>
      <c r="AW253" s="2"/>
      <c r="AX253" s="2"/>
      <c r="AY253" s="2"/>
      <c r="AZ253" s="2"/>
      <c r="BA253" s="2"/>
      <c r="BB253" s="2"/>
      <c r="BC253" s="2"/>
      <c r="BD253" s="2"/>
      <c r="BE253" s="2"/>
      <c r="BK253" s="2"/>
      <c r="BM253" s="2"/>
      <c r="BN253" s="2"/>
      <c r="BO253" s="2"/>
      <c r="BS253" s="11"/>
      <c r="BT253" s="2"/>
      <c r="BU253" s="3"/>
      <c r="BV253" s="3"/>
      <c r="BW253" s="2"/>
      <c r="BX253" s="2"/>
      <c r="BY253" s="2"/>
      <c r="BZ253" s="2"/>
      <c r="CA253" s="46"/>
      <c r="CB253" s="1"/>
      <c r="CC253" s="1"/>
      <c r="CD253" s="1"/>
      <c r="CE253" s="1"/>
      <c r="CF253" s="1"/>
      <c r="CG253" s="1"/>
      <c r="CH253" s="1"/>
      <c r="CI253" s="2"/>
      <c r="CJ253" s="2"/>
      <c r="CK253" s="2"/>
      <c r="CL253" s="2"/>
      <c r="CM253" s="2"/>
      <c r="CN253" s="2"/>
      <c r="CO253" s="2"/>
      <c r="CP253" s="2"/>
      <c r="CQ253" s="2"/>
      <c r="CR253" s="2"/>
      <c r="CS253" s="2"/>
      <c r="CT253" s="2"/>
      <c r="CU253" s="2"/>
      <c r="CV253" s="2"/>
      <c r="CW253" s="2"/>
      <c r="CX253" s="2"/>
      <c r="CY253" s="2"/>
      <c r="CZ253" s="2"/>
    </row>
    <row r="254" spans="43:104" ht="15" hidden="1" customHeight="1" x14ac:dyDescent="0.2">
      <c r="AQ254" s="85"/>
      <c r="AR254" s="12">
        <v>1540000</v>
      </c>
      <c r="AS254" s="12">
        <v>1890000</v>
      </c>
      <c r="AT254" s="2"/>
      <c r="AU254" s="2"/>
      <c r="AV254" s="2"/>
      <c r="AW254" s="2"/>
      <c r="AX254" s="2"/>
      <c r="AY254" s="2"/>
      <c r="AZ254" s="2"/>
      <c r="BA254" s="2"/>
      <c r="BB254" s="2"/>
      <c r="BC254" s="2"/>
      <c r="BD254" s="2"/>
      <c r="BE254" s="2"/>
      <c r="BK254" s="2"/>
      <c r="BM254" s="2"/>
      <c r="BN254" s="2"/>
      <c r="BO254" s="2"/>
      <c r="BS254" s="11"/>
      <c r="BT254" s="2"/>
      <c r="BU254" s="3"/>
      <c r="BV254" s="3"/>
      <c r="BW254" s="2"/>
      <c r="BX254" s="2"/>
      <c r="BY254" s="2"/>
      <c r="BZ254" s="2"/>
      <c r="CA254" s="46"/>
      <c r="CB254" s="1"/>
      <c r="CC254" s="1"/>
      <c r="CD254" s="1"/>
      <c r="CE254" s="1"/>
      <c r="CF254" s="1"/>
      <c r="CG254" s="1"/>
      <c r="CH254" s="1"/>
      <c r="CI254" s="2"/>
      <c r="CJ254" s="2"/>
      <c r="CK254" s="2"/>
      <c r="CL254" s="2"/>
      <c r="CM254" s="2"/>
      <c r="CN254" s="2"/>
      <c r="CO254" s="2"/>
      <c r="CP254" s="2"/>
      <c r="CQ254" s="2"/>
      <c r="CR254" s="2"/>
      <c r="CS254" s="2"/>
      <c r="CT254" s="2"/>
      <c r="CU254" s="2"/>
      <c r="CV254" s="2"/>
      <c r="CW254" s="2"/>
      <c r="CX254" s="2"/>
      <c r="CY254" s="2"/>
      <c r="CZ254" s="2"/>
    </row>
    <row r="255" spans="43:104" ht="15" hidden="1" customHeight="1" x14ac:dyDescent="0.2">
      <c r="AQ255" s="12"/>
      <c r="AR255" s="12">
        <v>1545000</v>
      </c>
      <c r="AS255" s="12">
        <v>1900000</v>
      </c>
      <c r="AT255" s="2"/>
      <c r="AU255" s="2"/>
      <c r="AV255" s="2"/>
      <c r="AW255" s="2"/>
      <c r="AX255" s="2"/>
      <c r="AY255" s="2"/>
      <c r="AZ255" s="2"/>
      <c r="BA255" s="2"/>
      <c r="BB255" s="2"/>
      <c r="BC255" s="2"/>
      <c r="BD255" s="2"/>
      <c r="BE255" s="2"/>
      <c r="BK255" s="2"/>
      <c r="BM255" s="2"/>
      <c r="BN255" s="2"/>
      <c r="BO255" s="2"/>
      <c r="BS255" s="11"/>
      <c r="BT255" s="2"/>
      <c r="BU255" s="3"/>
      <c r="BV255" s="3"/>
      <c r="BW255" s="2"/>
      <c r="BX255" s="2"/>
      <c r="BY255" s="2"/>
      <c r="BZ255" s="2"/>
      <c r="CA255" s="46"/>
      <c r="CB255" s="1"/>
      <c r="CC255" s="1"/>
      <c r="CD255" s="1"/>
      <c r="CE255" s="1"/>
      <c r="CF255" s="1"/>
      <c r="CG255" s="1"/>
      <c r="CH255" s="1"/>
      <c r="CI255" s="2"/>
      <c r="CJ255" s="2"/>
      <c r="CK255" s="2"/>
      <c r="CL255" s="2"/>
      <c r="CM255" s="2"/>
      <c r="CN255" s="2"/>
      <c r="CO255" s="2"/>
      <c r="CP255" s="2"/>
      <c r="CQ255" s="2"/>
      <c r="CR255" s="2"/>
      <c r="CS255" s="2"/>
      <c r="CT255" s="2"/>
      <c r="CU255" s="2"/>
      <c r="CV255" s="2"/>
      <c r="CW255" s="2"/>
      <c r="CX255" s="2"/>
      <c r="CY255" s="2"/>
      <c r="CZ255" s="2"/>
    </row>
    <row r="256" spans="43:104" ht="15" hidden="1" customHeight="1" x14ac:dyDescent="0.2">
      <c r="AQ256" s="12"/>
      <c r="AR256" s="12">
        <v>1550000</v>
      </c>
      <c r="AS256" s="12">
        <v>1910000</v>
      </c>
      <c r="AT256" s="2"/>
      <c r="AU256" s="2"/>
      <c r="AV256" s="2"/>
      <c r="AW256" s="2"/>
      <c r="AX256" s="2"/>
      <c r="AY256" s="2"/>
      <c r="AZ256" s="2"/>
      <c r="BA256" s="2"/>
      <c r="BB256" s="2"/>
      <c r="BC256" s="2"/>
      <c r="BD256" s="2"/>
      <c r="BE256" s="2"/>
      <c r="BK256" s="2"/>
      <c r="BM256" s="2"/>
      <c r="BN256" s="2"/>
      <c r="BO256" s="2"/>
      <c r="BS256" s="11"/>
      <c r="BT256" s="2"/>
      <c r="BU256" s="3"/>
      <c r="BV256" s="3"/>
      <c r="BW256" s="2"/>
      <c r="BX256" s="2"/>
      <c r="BY256" s="2"/>
      <c r="BZ256" s="2"/>
      <c r="CA256" s="46"/>
      <c r="CB256" s="1"/>
      <c r="CC256" s="1"/>
      <c r="CD256" s="1"/>
      <c r="CE256" s="1"/>
      <c r="CF256" s="1"/>
      <c r="CG256" s="1"/>
      <c r="CH256" s="1"/>
      <c r="CI256" s="2"/>
      <c r="CJ256" s="2"/>
      <c r="CK256" s="2"/>
      <c r="CL256" s="2"/>
      <c r="CM256" s="2"/>
      <c r="CN256" s="2"/>
      <c r="CO256" s="2"/>
      <c r="CP256" s="2"/>
      <c r="CQ256" s="2"/>
      <c r="CR256" s="2"/>
      <c r="CS256" s="2"/>
      <c r="CT256" s="2"/>
      <c r="CU256" s="2"/>
      <c r="CV256" s="2"/>
      <c r="CW256" s="2"/>
      <c r="CX256" s="2"/>
      <c r="CY256" s="2"/>
      <c r="CZ256" s="2"/>
    </row>
    <row r="257" spans="43:104" ht="15" hidden="1" customHeight="1" x14ac:dyDescent="0.2">
      <c r="AQ257" s="13"/>
      <c r="AR257" s="12">
        <v>1555000</v>
      </c>
      <c r="AS257" s="12">
        <v>1920000</v>
      </c>
      <c r="AT257" s="2"/>
      <c r="AU257" s="2"/>
      <c r="AV257" s="2"/>
      <c r="AW257" s="2"/>
      <c r="AX257" s="2"/>
      <c r="AY257" s="2"/>
      <c r="AZ257" s="2"/>
      <c r="BA257" s="2"/>
      <c r="BB257" s="2"/>
      <c r="BC257" s="2"/>
      <c r="BD257" s="2"/>
      <c r="BE257" s="2"/>
      <c r="BK257" s="2"/>
      <c r="BM257" s="2"/>
      <c r="BN257" s="2"/>
      <c r="BO257" s="2"/>
      <c r="BS257" s="11"/>
      <c r="BT257" s="2"/>
      <c r="BU257" s="3"/>
      <c r="BV257" s="3"/>
      <c r="BW257" s="2"/>
      <c r="BX257" s="2"/>
      <c r="BY257" s="2"/>
      <c r="BZ257" s="2"/>
      <c r="CA257" s="2"/>
      <c r="CB257" s="2"/>
      <c r="CC257" s="2"/>
      <c r="CD257" s="1"/>
      <c r="CE257" s="1"/>
      <c r="CF257" s="1"/>
      <c r="CG257" s="1"/>
      <c r="CH257" s="1"/>
      <c r="CI257" s="2"/>
      <c r="CJ257" s="2"/>
      <c r="CK257" s="2"/>
      <c r="CL257" s="2"/>
      <c r="CM257" s="2"/>
      <c r="CN257" s="2"/>
      <c r="CO257" s="2"/>
      <c r="CP257" s="2"/>
      <c r="CQ257" s="2"/>
      <c r="CR257" s="2"/>
      <c r="CS257" s="2"/>
      <c r="CT257" s="2"/>
      <c r="CU257" s="2"/>
      <c r="CV257" s="2"/>
      <c r="CW257" s="2"/>
      <c r="CX257" s="2"/>
      <c r="CY257" s="2"/>
      <c r="CZ257" s="2"/>
    </row>
    <row r="258" spans="43:104" ht="15" hidden="1" customHeight="1" x14ac:dyDescent="0.2">
      <c r="AQ258" s="13"/>
      <c r="AR258" s="12">
        <v>1560000</v>
      </c>
      <c r="AS258" s="12">
        <v>1930000</v>
      </c>
      <c r="AT258" s="2"/>
      <c r="AU258" s="2"/>
      <c r="AV258" s="2"/>
      <c r="AW258" s="2"/>
      <c r="AX258" s="2"/>
      <c r="AY258" s="2"/>
      <c r="AZ258" s="2"/>
      <c r="BA258" s="2"/>
      <c r="BB258" s="2"/>
      <c r="BC258" s="2"/>
      <c r="BD258" s="2"/>
      <c r="BE258" s="2"/>
      <c r="BK258" s="2"/>
      <c r="BM258" s="2"/>
      <c r="BN258" s="2"/>
      <c r="BO258" s="2"/>
      <c r="BS258" s="11"/>
      <c r="BT258" s="2"/>
      <c r="BU258" s="3"/>
      <c r="BV258" s="3"/>
      <c r="BW258" s="2"/>
      <c r="BX258" s="2"/>
      <c r="BY258" s="2"/>
      <c r="BZ258" s="2"/>
      <c r="CA258" s="2"/>
      <c r="CB258" s="2"/>
      <c r="CC258" s="2"/>
      <c r="CD258" s="1"/>
      <c r="CE258" s="1"/>
      <c r="CF258" s="1"/>
      <c r="CG258" s="1"/>
      <c r="CH258" s="1"/>
      <c r="CI258" s="2"/>
      <c r="CJ258" s="2"/>
      <c r="CK258" s="2"/>
      <c r="CL258" s="2"/>
      <c r="CM258" s="2"/>
      <c r="CN258" s="2"/>
      <c r="CO258" s="2"/>
      <c r="CP258" s="2"/>
      <c r="CQ258" s="2"/>
      <c r="CR258" s="2"/>
      <c r="CS258" s="2"/>
      <c r="CT258" s="2"/>
      <c r="CU258" s="2"/>
      <c r="CV258" s="2"/>
      <c r="CW258" s="2"/>
      <c r="CX258" s="2"/>
      <c r="CY258" s="2"/>
      <c r="CZ258" s="2"/>
    </row>
    <row r="259" spans="43:104" ht="15" hidden="1" customHeight="1" x14ac:dyDescent="0.2">
      <c r="AQ259" s="85"/>
      <c r="AR259" s="12">
        <v>1565000</v>
      </c>
      <c r="AS259" s="12">
        <v>1940000</v>
      </c>
      <c r="AT259" s="2"/>
      <c r="AU259" s="2"/>
      <c r="AV259" s="2"/>
      <c r="AW259" s="2"/>
      <c r="AX259" s="2"/>
      <c r="AY259" s="2"/>
      <c r="AZ259" s="2"/>
      <c r="BA259" s="2"/>
      <c r="BB259" s="2"/>
      <c r="BC259" s="2"/>
      <c r="BD259" s="2"/>
      <c r="BE259" s="2"/>
      <c r="BK259" s="2"/>
      <c r="BM259" s="2"/>
      <c r="BN259" s="2"/>
      <c r="BO259" s="2"/>
      <c r="BS259" s="11"/>
      <c r="BT259" s="2"/>
      <c r="BU259" s="3"/>
      <c r="BV259" s="3"/>
      <c r="BW259" s="2"/>
      <c r="BX259" s="2"/>
      <c r="BY259" s="2"/>
      <c r="BZ259" s="2"/>
      <c r="CA259" s="2"/>
      <c r="CB259" s="2"/>
      <c r="CC259" s="2"/>
      <c r="CD259" s="1"/>
      <c r="CE259" s="1"/>
      <c r="CF259" s="1"/>
      <c r="CG259" s="1"/>
      <c r="CH259" s="1"/>
      <c r="CI259" s="2"/>
      <c r="CJ259" s="2"/>
      <c r="CK259" s="2"/>
      <c r="CL259" s="2"/>
      <c r="CM259" s="2"/>
      <c r="CN259" s="2"/>
      <c r="CO259" s="2"/>
      <c r="CP259" s="2"/>
      <c r="CQ259" s="2"/>
      <c r="CR259" s="2"/>
      <c r="CS259" s="2"/>
      <c r="CT259" s="2"/>
      <c r="CU259" s="2"/>
      <c r="CV259" s="2"/>
      <c r="CW259" s="2"/>
      <c r="CX259" s="2"/>
      <c r="CY259" s="2"/>
      <c r="CZ259" s="2"/>
    </row>
    <row r="260" spans="43:104" ht="15" hidden="1" customHeight="1" x14ac:dyDescent="0.2">
      <c r="AQ260" s="12"/>
      <c r="AR260" s="12">
        <v>1570000</v>
      </c>
      <c r="AS260" s="12">
        <v>1950000</v>
      </c>
      <c r="AT260" s="2"/>
      <c r="AU260" s="2"/>
      <c r="AV260" s="2"/>
      <c r="AW260" s="2"/>
      <c r="AX260" s="2"/>
      <c r="AY260" s="2"/>
      <c r="AZ260" s="2"/>
      <c r="BA260" s="2"/>
      <c r="BB260" s="2"/>
      <c r="BC260" s="2"/>
      <c r="BD260" s="2"/>
      <c r="BE260" s="2"/>
      <c r="BK260" s="2"/>
      <c r="BM260" s="2"/>
      <c r="BN260" s="2"/>
      <c r="BO260" s="2"/>
      <c r="BS260" s="11"/>
      <c r="BT260" s="2"/>
      <c r="BU260" s="3"/>
      <c r="BV260" s="3"/>
      <c r="BW260" s="2"/>
      <c r="BX260" s="2"/>
      <c r="BY260" s="2"/>
      <c r="BZ260" s="2"/>
      <c r="CA260" s="2"/>
      <c r="CB260" s="2"/>
      <c r="CC260" s="2"/>
      <c r="CD260" s="1"/>
      <c r="CE260" s="1"/>
      <c r="CF260" s="1"/>
      <c r="CG260" s="1"/>
      <c r="CH260" s="1"/>
      <c r="CI260" s="2"/>
      <c r="CJ260" s="2"/>
      <c r="CK260" s="2"/>
      <c r="CL260" s="2"/>
      <c r="CM260" s="2"/>
      <c r="CN260" s="2"/>
      <c r="CO260" s="2"/>
      <c r="CP260" s="2"/>
      <c r="CQ260" s="2"/>
      <c r="CR260" s="2"/>
      <c r="CS260" s="2"/>
      <c r="CT260" s="2"/>
      <c r="CU260" s="2"/>
      <c r="CV260" s="2"/>
      <c r="CW260" s="2"/>
      <c r="CX260" s="2"/>
      <c r="CY260" s="2"/>
      <c r="CZ260" s="2"/>
    </row>
    <row r="261" spans="43:104" ht="15" hidden="1" customHeight="1" x14ac:dyDescent="0.2">
      <c r="AQ261" s="12"/>
      <c r="AR261" s="12">
        <v>1575000</v>
      </c>
      <c r="AS261" s="12">
        <v>1960000</v>
      </c>
      <c r="AT261" s="2"/>
      <c r="AU261" s="2"/>
      <c r="AV261" s="2"/>
      <c r="AW261" s="2"/>
      <c r="AX261" s="2"/>
      <c r="AY261" s="2"/>
      <c r="AZ261" s="2"/>
      <c r="BA261" s="2"/>
      <c r="BB261" s="2"/>
      <c r="BC261" s="2"/>
      <c r="BD261" s="2"/>
      <c r="BE261" s="2"/>
      <c r="BK261" s="2"/>
      <c r="BM261" s="2"/>
      <c r="BN261" s="2"/>
      <c r="BO261" s="2"/>
      <c r="BS261" s="11"/>
      <c r="BT261" s="2"/>
      <c r="BU261" s="3"/>
      <c r="BV261" s="3"/>
      <c r="BW261" s="2"/>
      <c r="BX261" s="2"/>
      <c r="BY261" s="2"/>
      <c r="BZ261" s="2"/>
      <c r="CA261" s="2"/>
      <c r="CB261" s="2"/>
      <c r="CC261" s="2"/>
      <c r="CD261" s="1"/>
      <c r="CE261" s="1"/>
      <c r="CF261" s="1"/>
      <c r="CG261" s="1"/>
      <c r="CH261" s="1"/>
      <c r="CI261" s="2"/>
      <c r="CJ261" s="2"/>
      <c r="CK261" s="2"/>
      <c r="CL261" s="2"/>
      <c r="CM261" s="2"/>
      <c r="CN261" s="2"/>
      <c r="CO261" s="2"/>
      <c r="CP261" s="2"/>
      <c r="CQ261" s="2"/>
      <c r="CR261" s="2"/>
      <c r="CS261" s="2"/>
      <c r="CT261" s="2"/>
      <c r="CU261" s="2"/>
      <c r="CV261" s="2"/>
      <c r="CW261" s="2"/>
      <c r="CX261" s="2"/>
      <c r="CY261" s="2"/>
      <c r="CZ261" s="2"/>
    </row>
    <row r="262" spans="43:104" ht="15" hidden="1" customHeight="1" x14ac:dyDescent="0.2">
      <c r="AQ262" s="13"/>
      <c r="AR262" s="12">
        <v>1580000</v>
      </c>
      <c r="AS262" s="12">
        <v>1970000</v>
      </c>
      <c r="AT262" s="2"/>
      <c r="AU262" s="2"/>
      <c r="AV262" s="2"/>
      <c r="AW262" s="2"/>
      <c r="AX262" s="2"/>
      <c r="AY262" s="2"/>
      <c r="AZ262" s="2"/>
      <c r="BA262" s="2"/>
      <c r="BB262" s="2"/>
      <c r="BC262" s="2"/>
      <c r="BD262" s="2"/>
      <c r="BE262" s="2"/>
      <c r="BK262" s="2"/>
      <c r="BM262" s="2"/>
      <c r="BN262" s="2"/>
      <c r="BO262" s="2"/>
      <c r="BS262" s="11"/>
      <c r="BT262" s="2"/>
      <c r="BU262" s="3"/>
      <c r="BV262" s="3"/>
      <c r="BW262" s="2"/>
      <c r="BX262" s="2"/>
      <c r="BY262" s="2"/>
      <c r="BZ262" s="2"/>
      <c r="CA262" s="2"/>
      <c r="CB262" s="2"/>
      <c r="CC262" s="2"/>
      <c r="CD262" s="1"/>
      <c r="CE262" s="1"/>
      <c r="CF262" s="1"/>
      <c r="CG262" s="1"/>
      <c r="CH262" s="1"/>
      <c r="CI262" s="2"/>
      <c r="CJ262" s="2"/>
      <c r="CK262" s="2"/>
      <c r="CL262" s="2"/>
      <c r="CM262" s="2"/>
      <c r="CN262" s="2"/>
      <c r="CO262" s="2"/>
      <c r="CP262" s="2"/>
      <c r="CQ262" s="2"/>
      <c r="CR262" s="2"/>
      <c r="CS262" s="2"/>
      <c r="CT262" s="2"/>
      <c r="CU262" s="2"/>
      <c r="CV262" s="2"/>
      <c r="CW262" s="2"/>
      <c r="CX262" s="2"/>
      <c r="CY262" s="2"/>
      <c r="CZ262" s="2"/>
    </row>
    <row r="263" spans="43:104" ht="15" hidden="1" customHeight="1" x14ac:dyDescent="0.2">
      <c r="AQ263" s="13"/>
      <c r="AR263" s="12">
        <v>1585000</v>
      </c>
      <c r="AS263" s="12">
        <v>1980000</v>
      </c>
      <c r="AT263" s="2"/>
      <c r="AU263" s="2"/>
      <c r="AV263" s="2"/>
      <c r="AW263" s="2"/>
      <c r="AX263" s="2"/>
      <c r="AY263" s="2"/>
      <c r="AZ263" s="2"/>
      <c r="BA263" s="2"/>
      <c r="BB263" s="2"/>
      <c r="BC263" s="2"/>
      <c r="BD263" s="2"/>
      <c r="BE263" s="2"/>
      <c r="BK263" s="2"/>
      <c r="BM263" s="2"/>
      <c r="BN263" s="2"/>
      <c r="BO263" s="2"/>
      <c r="BS263" s="11"/>
      <c r="BT263" s="2"/>
      <c r="BU263" s="3"/>
      <c r="BV263" s="3"/>
      <c r="BW263" s="2"/>
      <c r="BX263" s="2"/>
      <c r="BY263" s="2"/>
      <c r="BZ263" s="2"/>
      <c r="CA263" s="46"/>
      <c r="CB263" s="1"/>
      <c r="CC263" s="1"/>
      <c r="CD263" s="1"/>
      <c r="CE263" s="1"/>
      <c r="CF263" s="1"/>
      <c r="CG263" s="1"/>
      <c r="CH263" s="1"/>
      <c r="CI263" s="2"/>
      <c r="CJ263" s="2"/>
      <c r="CK263" s="2"/>
      <c r="CL263" s="2"/>
      <c r="CM263" s="2"/>
      <c r="CN263" s="2"/>
      <c r="CO263" s="2"/>
      <c r="CP263" s="2"/>
      <c r="CQ263" s="2"/>
      <c r="CR263" s="2"/>
      <c r="CS263" s="2"/>
      <c r="CT263" s="2"/>
      <c r="CU263" s="2"/>
      <c r="CV263" s="2"/>
      <c r="CW263" s="2"/>
      <c r="CX263" s="2"/>
      <c r="CY263" s="2"/>
      <c r="CZ263" s="2"/>
    </row>
    <row r="264" spans="43:104" ht="15" hidden="1" customHeight="1" x14ac:dyDescent="0.2">
      <c r="AQ264" s="85"/>
      <c r="AR264" s="12">
        <v>1590000</v>
      </c>
      <c r="AS264" s="12">
        <v>1990000</v>
      </c>
      <c r="AT264" s="2"/>
      <c r="AU264" s="2"/>
      <c r="AV264" s="2"/>
      <c r="AW264" s="2"/>
      <c r="AX264" s="2"/>
      <c r="AY264" s="2"/>
      <c r="AZ264" s="2"/>
      <c r="BA264" s="2"/>
      <c r="BB264" s="2"/>
      <c r="BC264" s="2"/>
      <c r="BD264" s="2"/>
      <c r="BE264" s="2"/>
      <c r="BK264" s="2"/>
      <c r="BM264" s="2"/>
      <c r="BN264" s="2"/>
      <c r="BO264" s="2"/>
      <c r="BS264" s="11"/>
      <c r="BT264" s="2"/>
      <c r="BU264" s="3"/>
      <c r="BV264" s="3"/>
      <c r="BW264" s="2"/>
      <c r="BX264" s="2"/>
      <c r="BY264" s="2"/>
      <c r="BZ264" s="2"/>
      <c r="CA264" s="46"/>
      <c r="CB264" s="1"/>
      <c r="CC264" s="1"/>
      <c r="CD264" s="1"/>
      <c r="CE264" s="1"/>
      <c r="CF264" s="1"/>
      <c r="CG264" s="1"/>
      <c r="CH264" s="1"/>
      <c r="CI264" s="2"/>
      <c r="CJ264" s="2"/>
      <c r="CK264" s="2"/>
      <c r="CL264" s="2"/>
      <c r="CM264" s="2"/>
      <c r="CN264" s="2"/>
      <c r="CO264" s="2"/>
      <c r="CP264" s="2"/>
      <c r="CQ264" s="2"/>
      <c r="CR264" s="2"/>
      <c r="CS264" s="2"/>
      <c r="CT264" s="2"/>
      <c r="CU264" s="2"/>
      <c r="CV264" s="2"/>
      <c r="CW264" s="2"/>
      <c r="CX264" s="2"/>
      <c r="CY264" s="2"/>
      <c r="CZ264" s="2"/>
    </row>
    <row r="265" spans="43:104" ht="15" hidden="1" customHeight="1" x14ac:dyDescent="0.2">
      <c r="AQ265" s="12"/>
      <c r="AR265" s="12">
        <v>1595000</v>
      </c>
      <c r="AS265" s="12">
        <v>2000000</v>
      </c>
      <c r="AT265" s="2"/>
      <c r="AU265" s="2"/>
      <c r="AV265" s="2"/>
      <c r="AW265" s="2"/>
      <c r="AX265" s="2"/>
      <c r="AY265" s="2"/>
      <c r="AZ265" s="2"/>
      <c r="BA265" s="2"/>
      <c r="BB265" s="2"/>
      <c r="BC265" s="2"/>
      <c r="BD265" s="2"/>
      <c r="BE265" s="2"/>
      <c r="BK265" s="2"/>
      <c r="BM265" s="2"/>
      <c r="BN265" s="2"/>
      <c r="BO265" s="2"/>
      <c r="BS265" s="11"/>
      <c r="BT265" s="2"/>
      <c r="BU265" s="3"/>
      <c r="BV265" s="3"/>
      <c r="BW265" s="2"/>
      <c r="BX265" s="2"/>
      <c r="BY265" s="2"/>
      <c r="BZ265" s="2"/>
      <c r="CA265" s="46"/>
      <c r="CB265" s="1"/>
      <c r="CC265" s="1"/>
      <c r="CD265" s="1"/>
      <c r="CE265" s="1"/>
      <c r="CF265" s="1"/>
      <c r="CG265" s="1"/>
      <c r="CH265" s="1"/>
      <c r="CI265" s="2"/>
      <c r="CJ265" s="2"/>
      <c r="CK265" s="2"/>
      <c r="CL265" s="2"/>
      <c r="CM265" s="2"/>
      <c r="CN265" s="2"/>
      <c r="CO265" s="2"/>
      <c r="CP265" s="2"/>
      <c r="CQ265" s="2"/>
      <c r="CR265" s="2"/>
      <c r="CS265" s="2"/>
      <c r="CT265" s="2"/>
      <c r="CU265" s="2"/>
      <c r="CV265" s="2"/>
      <c r="CW265" s="2"/>
      <c r="CX265" s="2"/>
      <c r="CY265" s="2"/>
      <c r="CZ265" s="2"/>
    </row>
    <row r="266" spans="43:104" ht="15" hidden="1" customHeight="1" x14ac:dyDescent="0.2">
      <c r="AQ266" s="12"/>
      <c r="AR266" s="12">
        <v>1600000</v>
      </c>
      <c r="AS266" s="12">
        <v>2010000</v>
      </c>
      <c r="AT266" s="2"/>
      <c r="AU266" s="2"/>
      <c r="AV266" s="2"/>
      <c r="AW266" s="2"/>
      <c r="AX266" s="2"/>
      <c r="AY266" s="2"/>
      <c r="AZ266" s="2"/>
      <c r="BA266" s="2"/>
      <c r="BB266" s="2"/>
      <c r="BC266" s="2"/>
      <c r="BD266" s="2"/>
      <c r="BE266" s="2"/>
      <c r="BK266" s="2"/>
      <c r="BM266" s="2"/>
      <c r="BN266" s="2"/>
      <c r="BO266" s="2"/>
      <c r="BS266" s="11"/>
      <c r="BT266" s="2"/>
      <c r="BU266" s="3"/>
      <c r="BV266" s="3"/>
      <c r="BW266" s="2"/>
      <c r="BX266" s="2"/>
      <c r="BY266" s="2"/>
      <c r="BZ266" s="46"/>
      <c r="CA266" s="1"/>
      <c r="CB266" s="1"/>
      <c r="CC266" s="1"/>
      <c r="CD266" s="1"/>
      <c r="CE266" s="1"/>
      <c r="CF266" s="1"/>
      <c r="CG266" s="1"/>
      <c r="CH266" s="1"/>
      <c r="CI266" s="2"/>
      <c r="CJ266" s="2"/>
      <c r="CK266" s="2"/>
      <c r="CL266" s="2"/>
      <c r="CM266" s="2"/>
      <c r="CN266" s="2"/>
      <c r="CO266" s="2"/>
      <c r="CP266" s="2"/>
      <c r="CQ266" s="2"/>
      <c r="CR266" s="2"/>
      <c r="CS266" s="2"/>
      <c r="CT266" s="2"/>
      <c r="CU266" s="2"/>
      <c r="CV266" s="2"/>
      <c r="CW266" s="2"/>
      <c r="CX266" s="2"/>
      <c r="CY266" s="2"/>
      <c r="CZ266" s="2"/>
    </row>
    <row r="267" spans="43:104" ht="15" hidden="1" customHeight="1" x14ac:dyDescent="0.2">
      <c r="AQ267" s="13"/>
      <c r="AR267" s="12">
        <v>1605000</v>
      </c>
      <c r="AS267" s="12">
        <v>2020000</v>
      </c>
      <c r="AT267" s="2"/>
      <c r="AU267" s="2"/>
      <c r="AV267" s="2"/>
      <c r="AW267" s="2"/>
      <c r="AX267" s="2"/>
      <c r="AY267" s="2"/>
      <c r="AZ267" s="2"/>
      <c r="BA267" s="2"/>
      <c r="BB267" s="2"/>
      <c r="BC267" s="2"/>
      <c r="BD267" s="2"/>
      <c r="BE267" s="2"/>
      <c r="BK267" s="2"/>
      <c r="BM267" s="2"/>
      <c r="BN267" s="2"/>
      <c r="BO267" s="2"/>
      <c r="BS267" s="11"/>
      <c r="BT267" s="2"/>
      <c r="BU267" s="3"/>
      <c r="BV267" s="3"/>
      <c r="BW267" s="2"/>
      <c r="BX267" s="2"/>
      <c r="BY267" s="2"/>
      <c r="BZ267" s="2"/>
      <c r="CA267" s="46"/>
      <c r="CB267" s="1"/>
      <c r="CC267" s="1"/>
      <c r="CD267" s="1"/>
      <c r="CE267" s="1"/>
      <c r="CF267" s="1"/>
      <c r="CG267" s="1"/>
      <c r="CH267" s="1"/>
      <c r="CI267" s="2"/>
      <c r="CJ267" s="2"/>
      <c r="CK267" s="2"/>
      <c r="CL267" s="2"/>
      <c r="CM267" s="2"/>
      <c r="CN267" s="2"/>
      <c r="CO267" s="2"/>
      <c r="CP267" s="2"/>
      <c r="CQ267" s="2"/>
      <c r="CR267" s="2"/>
      <c r="CS267" s="2"/>
      <c r="CT267" s="2"/>
      <c r="CU267" s="2"/>
      <c r="CV267" s="2"/>
      <c r="CW267" s="2"/>
      <c r="CX267" s="2"/>
      <c r="CY267" s="2"/>
      <c r="CZ267" s="2"/>
    </row>
    <row r="268" spans="43:104" ht="15" hidden="1" customHeight="1" x14ac:dyDescent="0.2">
      <c r="AQ268" s="13"/>
      <c r="AR268" s="12">
        <v>1610000</v>
      </c>
      <c r="AS268" s="12">
        <v>2030000</v>
      </c>
      <c r="AT268" s="2"/>
      <c r="AU268" s="2"/>
      <c r="AV268" s="2"/>
      <c r="AW268" s="2"/>
      <c r="AX268" s="2"/>
      <c r="AY268" s="2"/>
      <c r="AZ268" s="2"/>
      <c r="BA268" s="2"/>
      <c r="BB268" s="2"/>
      <c r="BC268" s="2"/>
      <c r="BD268" s="2"/>
      <c r="BE268" s="2"/>
      <c r="BK268" s="2"/>
      <c r="BM268" s="2"/>
      <c r="BN268" s="2"/>
      <c r="BO268" s="2"/>
      <c r="BS268" s="11"/>
      <c r="BT268" s="2"/>
      <c r="BU268" s="3"/>
      <c r="BV268" s="3"/>
      <c r="BW268" s="2"/>
      <c r="BX268" s="2"/>
      <c r="BY268" s="2"/>
      <c r="BZ268" s="2"/>
      <c r="CA268" s="46"/>
      <c r="CB268" s="1"/>
      <c r="CC268" s="1"/>
      <c r="CD268" s="1"/>
      <c r="CE268" s="1"/>
      <c r="CF268" s="1"/>
      <c r="CG268" s="1"/>
      <c r="CH268" s="1"/>
      <c r="CI268" s="2"/>
      <c r="CJ268" s="2"/>
      <c r="CK268" s="2"/>
      <c r="CL268" s="2"/>
      <c r="CM268" s="2"/>
      <c r="CN268" s="2"/>
      <c r="CO268" s="2"/>
      <c r="CP268" s="2"/>
      <c r="CQ268" s="2"/>
      <c r="CR268" s="2"/>
      <c r="CS268" s="2"/>
      <c r="CT268" s="2"/>
      <c r="CU268" s="2"/>
      <c r="CV268" s="2"/>
      <c r="CW268" s="2"/>
      <c r="CX268" s="2"/>
      <c r="CY268" s="2"/>
      <c r="CZ268" s="2"/>
    </row>
    <row r="269" spans="43:104" ht="15" hidden="1" customHeight="1" x14ac:dyDescent="0.2">
      <c r="AQ269" s="85"/>
      <c r="AR269" s="12">
        <v>1615000</v>
      </c>
      <c r="AS269" s="12">
        <v>2040000</v>
      </c>
      <c r="AT269" s="2"/>
      <c r="AU269" s="2"/>
      <c r="AV269" s="2"/>
      <c r="AW269" s="2"/>
      <c r="AX269" s="2"/>
      <c r="AY269" s="2"/>
      <c r="AZ269" s="2"/>
      <c r="BA269" s="2"/>
      <c r="BB269" s="2"/>
      <c r="BC269" s="2"/>
      <c r="BD269" s="2"/>
      <c r="BE269" s="2"/>
      <c r="BK269" s="2"/>
      <c r="BM269" s="2"/>
      <c r="BN269" s="2"/>
      <c r="BO269" s="2"/>
      <c r="BS269" s="11"/>
      <c r="BT269" s="2"/>
      <c r="BU269" s="3"/>
      <c r="BV269" s="3"/>
      <c r="BW269" s="2"/>
      <c r="BX269" s="2"/>
      <c r="BY269" s="2"/>
      <c r="BZ269" s="2"/>
      <c r="CA269" s="2"/>
      <c r="CB269" s="2"/>
      <c r="CC269" s="2"/>
      <c r="CD269" s="1"/>
      <c r="CE269" s="1"/>
      <c r="CF269" s="1"/>
      <c r="CG269" s="1"/>
      <c r="CH269" s="1"/>
      <c r="CI269" s="2"/>
      <c r="CJ269" s="2"/>
      <c r="CK269" s="2"/>
      <c r="CL269" s="2"/>
      <c r="CM269" s="2"/>
      <c r="CN269" s="2"/>
      <c r="CO269" s="2"/>
      <c r="CP269" s="2"/>
      <c r="CQ269" s="2"/>
      <c r="CR269" s="2"/>
      <c r="CS269" s="2"/>
      <c r="CT269" s="2"/>
      <c r="CU269" s="2"/>
      <c r="CV269" s="2"/>
      <c r="CW269" s="2"/>
      <c r="CX269" s="2"/>
      <c r="CY269" s="2"/>
      <c r="CZ269" s="2"/>
    </row>
    <row r="270" spans="43:104" ht="15" hidden="1" customHeight="1" x14ac:dyDescent="0.2">
      <c r="AQ270" s="12"/>
      <c r="AR270" s="12">
        <v>1620000</v>
      </c>
      <c r="AS270" s="12">
        <v>2050000</v>
      </c>
      <c r="AT270" s="2"/>
      <c r="AU270" s="2"/>
      <c r="AV270" s="2"/>
      <c r="AW270" s="2"/>
      <c r="AX270" s="2"/>
      <c r="AY270" s="2"/>
      <c r="AZ270" s="2"/>
      <c r="BA270" s="2"/>
      <c r="BB270" s="2"/>
      <c r="BC270" s="2"/>
      <c r="BD270" s="2"/>
      <c r="BE270" s="2"/>
      <c r="BK270" s="2"/>
      <c r="BM270" s="2"/>
      <c r="BN270" s="2"/>
      <c r="BO270" s="2"/>
      <c r="BS270" s="11"/>
      <c r="BT270" s="2"/>
      <c r="BU270" s="3"/>
      <c r="BV270" s="3"/>
      <c r="BW270" s="2"/>
      <c r="BX270" s="2"/>
      <c r="BY270" s="2"/>
      <c r="BZ270" s="2"/>
      <c r="CA270" s="2"/>
      <c r="CB270" s="2"/>
      <c r="CC270" s="2"/>
      <c r="CD270" s="1"/>
      <c r="CE270" s="1"/>
      <c r="CF270" s="1"/>
      <c r="CG270" s="1"/>
      <c r="CH270" s="1"/>
      <c r="CI270" s="2"/>
      <c r="CJ270" s="2"/>
      <c r="CK270" s="2"/>
      <c r="CL270" s="2"/>
      <c r="CM270" s="2"/>
      <c r="CN270" s="2"/>
      <c r="CO270" s="2"/>
      <c r="CP270" s="2"/>
      <c r="CQ270" s="2"/>
      <c r="CR270" s="2"/>
      <c r="CS270" s="2"/>
      <c r="CT270" s="2"/>
      <c r="CU270" s="2"/>
      <c r="CV270" s="2"/>
      <c r="CW270" s="2"/>
      <c r="CX270" s="2"/>
      <c r="CY270" s="2"/>
      <c r="CZ270" s="2"/>
    </row>
    <row r="271" spans="43:104" ht="15" hidden="1" customHeight="1" x14ac:dyDescent="0.2">
      <c r="AQ271" s="12"/>
      <c r="AR271" s="12">
        <v>1625000</v>
      </c>
      <c r="AS271" s="12">
        <v>2060000</v>
      </c>
      <c r="AT271" s="2"/>
      <c r="AU271" s="2"/>
      <c r="AV271" s="2"/>
      <c r="AW271" s="2"/>
      <c r="AX271" s="2"/>
      <c r="AY271" s="2"/>
      <c r="AZ271" s="2"/>
      <c r="BA271" s="2"/>
      <c r="BB271" s="2"/>
      <c r="BC271" s="2"/>
      <c r="BD271" s="2"/>
      <c r="BE271" s="2"/>
      <c r="BK271" s="2"/>
      <c r="BM271" s="2"/>
      <c r="BN271" s="2"/>
      <c r="BO271" s="2"/>
      <c r="BS271" s="11"/>
      <c r="BT271" s="2"/>
      <c r="BU271" s="3"/>
      <c r="BV271" s="3"/>
      <c r="BW271" s="2"/>
      <c r="BX271" s="2"/>
      <c r="BY271" s="2"/>
      <c r="BZ271" s="2"/>
      <c r="CA271" s="2"/>
      <c r="CB271" s="2"/>
      <c r="CC271" s="2"/>
      <c r="CD271" s="1"/>
      <c r="CE271" s="1"/>
      <c r="CF271" s="1"/>
      <c r="CG271" s="1"/>
      <c r="CH271" s="1"/>
      <c r="CI271" s="2"/>
      <c r="CJ271" s="2"/>
      <c r="CK271" s="2"/>
      <c r="CL271" s="2"/>
      <c r="CM271" s="2"/>
      <c r="CN271" s="2"/>
      <c r="CO271" s="2"/>
      <c r="CP271" s="2"/>
      <c r="CQ271" s="2"/>
      <c r="CR271" s="2"/>
      <c r="CS271" s="2"/>
      <c r="CT271" s="2"/>
      <c r="CU271" s="2"/>
      <c r="CV271" s="2"/>
      <c r="CW271" s="2"/>
      <c r="CX271" s="2"/>
      <c r="CY271" s="2"/>
      <c r="CZ271" s="2"/>
    </row>
    <row r="272" spans="43:104" ht="15" hidden="1" customHeight="1" x14ac:dyDescent="0.2">
      <c r="AQ272" s="13"/>
      <c r="AR272" s="12">
        <v>1630000</v>
      </c>
      <c r="AS272" s="12">
        <v>2070000</v>
      </c>
      <c r="AT272" s="2"/>
      <c r="AU272" s="2"/>
      <c r="AV272" s="2"/>
      <c r="AW272" s="2"/>
      <c r="AX272" s="2"/>
      <c r="AY272" s="2"/>
      <c r="AZ272" s="2"/>
      <c r="BA272" s="2"/>
      <c r="BB272" s="2"/>
      <c r="BC272" s="2"/>
      <c r="BD272" s="2"/>
      <c r="BE272" s="2"/>
      <c r="BK272" s="2"/>
      <c r="BM272" s="2"/>
      <c r="BN272" s="2"/>
      <c r="BO272" s="2"/>
      <c r="BS272" s="11"/>
      <c r="BT272" s="2"/>
      <c r="BU272" s="3"/>
      <c r="BV272" s="3"/>
      <c r="BW272" s="2"/>
      <c r="BX272" s="2"/>
      <c r="BY272" s="2"/>
      <c r="BZ272" s="2"/>
      <c r="CA272" s="2"/>
      <c r="CB272" s="2"/>
      <c r="CC272" s="2"/>
      <c r="CD272" s="1"/>
      <c r="CE272" s="1"/>
      <c r="CF272" s="1"/>
      <c r="CG272" s="1"/>
      <c r="CH272" s="1"/>
      <c r="CI272" s="2"/>
      <c r="CJ272" s="2"/>
      <c r="CK272" s="2"/>
      <c r="CL272" s="2"/>
      <c r="CM272" s="2"/>
      <c r="CN272" s="2"/>
      <c r="CO272" s="2"/>
      <c r="CP272" s="2"/>
      <c r="CQ272" s="2"/>
      <c r="CR272" s="2"/>
      <c r="CS272" s="2"/>
      <c r="CT272" s="2"/>
      <c r="CU272" s="2"/>
      <c r="CV272" s="2"/>
      <c r="CW272" s="2"/>
      <c r="CX272" s="2"/>
      <c r="CY272" s="2"/>
      <c r="CZ272" s="2"/>
    </row>
    <row r="273" spans="43:104" ht="15" hidden="1" customHeight="1" x14ac:dyDescent="0.2">
      <c r="AQ273" s="13"/>
      <c r="AR273" s="12">
        <v>1635000</v>
      </c>
      <c r="AS273" s="12">
        <v>2080000</v>
      </c>
      <c r="AT273" s="2"/>
      <c r="AU273" s="2"/>
      <c r="AV273" s="2"/>
      <c r="AW273" s="2"/>
      <c r="AX273" s="2"/>
      <c r="AY273" s="2"/>
      <c r="AZ273" s="2"/>
      <c r="BA273" s="2"/>
      <c r="BB273" s="2"/>
      <c r="BC273" s="2"/>
      <c r="BD273" s="2"/>
      <c r="BE273" s="2"/>
      <c r="BK273" s="2"/>
      <c r="BM273" s="2"/>
      <c r="BN273" s="2"/>
      <c r="BO273" s="2"/>
      <c r="BS273" s="11"/>
      <c r="BT273" s="2"/>
      <c r="BU273" s="3"/>
      <c r="BV273" s="3"/>
      <c r="BW273" s="2"/>
      <c r="BX273" s="2"/>
      <c r="BY273" s="2"/>
      <c r="BZ273" s="2"/>
      <c r="CA273" s="2"/>
      <c r="CB273" s="2"/>
      <c r="CC273" s="2"/>
      <c r="CD273" s="1"/>
      <c r="CE273" s="1"/>
      <c r="CF273" s="1"/>
      <c r="CG273" s="1"/>
      <c r="CH273" s="1"/>
      <c r="CI273" s="2"/>
      <c r="CJ273" s="2"/>
      <c r="CK273" s="2"/>
      <c r="CL273" s="2"/>
      <c r="CM273" s="2"/>
      <c r="CN273" s="2"/>
      <c r="CO273" s="2"/>
      <c r="CP273" s="2"/>
      <c r="CQ273" s="2"/>
      <c r="CR273" s="2"/>
      <c r="CS273" s="2"/>
      <c r="CT273" s="2"/>
      <c r="CU273" s="2"/>
      <c r="CV273" s="2"/>
      <c r="CW273" s="2"/>
      <c r="CX273" s="2"/>
      <c r="CY273" s="2"/>
      <c r="CZ273" s="2"/>
    </row>
    <row r="274" spans="43:104" ht="15" hidden="1" customHeight="1" x14ac:dyDescent="0.2">
      <c r="AQ274" s="85"/>
      <c r="AR274" s="12">
        <v>1640000</v>
      </c>
      <c r="AS274" s="12">
        <v>2090000</v>
      </c>
      <c r="AT274" s="2"/>
      <c r="AU274" s="2"/>
      <c r="AV274" s="2"/>
      <c r="AW274" s="2"/>
      <c r="AX274" s="2"/>
      <c r="AY274" s="2"/>
      <c r="AZ274" s="2"/>
      <c r="BA274" s="2"/>
      <c r="BB274" s="2"/>
      <c r="BC274" s="2"/>
      <c r="BD274" s="2"/>
      <c r="BE274" s="2"/>
      <c r="BK274" s="2"/>
      <c r="BM274" s="2"/>
      <c r="BN274" s="2"/>
      <c r="BO274" s="2"/>
      <c r="BS274" s="11"/>
      <c r="BT274" s="2"/>
      <c r="BU274" s="3"/>
      <c r="BV274" s="3"/>
      <c r="BW274" s="2"/>
      <c r="BX274" s="2"/>
      <c r="BY274" s="2"/>
      <c r="BZ274" s="2"/>
      <c r="CA274" s="46"/>
      <c r="CB274" s="1"/>
      <c r="CC274" s="1"/>
      <c r="CD274" s="1"/>
      <c r="CE274" s="1"/>
      <c r="CF274" s="1"/>
      <c r="CG274" s="1"/>
      <c r="CH274" s="1"/>
      <c r="CI274" s="2"/>
      <c r="CJ274" s="2"/>
      <c r="CK274" s="2"/>
      <c r="CL274" s="2"/>
      <c r="CM274" s="2"/>
      <c r="CN274" s="2"/>
      <c r="CO274" s="2"/>
      <c r="CP274" s="2"/>
      <c r="CQ274" s="2"/>
      <c r="CR274" s="2"/>
      <c r="CS274" s="2"/>
      <c r="CT274" s="2"/>
      <c r="CU274" s="2"/>
      <c r="CV274" s="2"/>
      <c r="CW274" s="2"/>
      <c r="CX274" s="2"/>
      <c r="CY274" s="2"/>
      <c r="CZ274" s="2"/>
    </row>
    <row r="275" spans="43:104" ht="15" hidden="1" customHeight="1" x14ac:dyDescent="0.2">
      <c r="AQ275" s="12"/>
      <c r="AR275" s="12">
        <v>1645000</v>
      </c>
      <c r="AS275" s="12">
        <v>2100000</v>
      </c>
      <c r="AT275" s="2"/>
      <c r="AU275" s="2"/>
      <c r="AV275" s="2"/>
      <c r="AW275" s="2"/>
      <c r="AX275" s="2"/>
      <c r="AY275" s="2"/>
      <c r="AZ275" s="2"/>
      <c r="BA275" s="2"/>
      <c r="BB275" s="2"/>
      <c r="BC275" s="2"/>
      <c r="BD275" s="2"/>
      <c r="BE275" s="2"/>
      <c r="BK275" s="2"/>
      <c r="BM275" s="2"/>
      <c r="BN275" s="2"/>
      <c r="BO275" s="2"/>
      <c r="BS275" s="11"/>
      <c r="BT275" s="2"/>
      <c r="BU275" s="3"/>
      <c r="BV275" s="3"/>
      <c r="BW275" s="2"/>
      <c r="BX275" s="2"/>
      <c r="BY275" s="2"/>
      <c r="BZ275" s="2"/>
      <c r="CA275" s="46"/>
      <c r="CB275" s="1"/>
      <c r="CC275" s="1"/>
      <c r="CD275" s="1"/>
      <c r="CE275" s="1"/>
      <c r="CF275" s="1"/>
      <c r="CG275" s="1"/>
      <c r="CH275" s="1"/>
      <c r="CI275" s="2"/>
      <c r="CJ275" s="2"/>
      <c r="CK275" s="2"/>
      <c r="CL275" s="2"/>
      <c r="CM275" s="2"/>
      <c r="CN275" s="2"/>
      <c r="CO275" s="2"/>
      <c r="CP275" s="2"/>
      <c r="CQ275" s="2"/>
      <c r="CR275" s="2"/>
      <c r="CS275" s="2"/>
      <c r="CT275" s="2"/>
      <c r="CU275" s="2"/>
      <c r="CV275" s="2"/>
      <c r="CW275" s="2"/>
      <c r="CX275" s="2"/>
      <c r="CY275" s="2"/>
      <c r="CZ275" s="2"/>
    </row>
    <row r="276" spans="43:104" ht="15" hidden="1" customHeight="1" x14ac:dyDescent="0.2">
      <c r="AQ276" s="12"/>
      <c r="AR276" s="12">
        <v>1650000</v>
      </c>
      <c r="AS276" s="12">
        <v>2110000</v>
      </c>
      <c r="AT276" s="2"/>
      <c r="AU276" s="2"/>
      <c r="AV276" s="2"/>
      <c r="AW276" s="2"/>
      <c r="AX276" s="2"/>
      <c r="AY276" s="2"/>
      <c r="AZ276" s="2"/>
      <c r="BA276" s="2"/>
      <c r="BB276" s="2"/>
      <c r="BC276" s="2"/>
      <c r="BD276" s="2"/>
      <c r="BE276" s="2"/>
      <c r="BK276" s="2"/>
      <c r="BM276" s="2"/>
      <c r="BN276" s="2"/>
      <c r="BO276" s="2"/>
      <c r="BS276" s="11"/>
      <c r="BT276" s="2"/>
      <c r="BU276" s="3"/>
      <c r="BV276" s="3"/>
      <c r="BW276" s="2"/>
      <c r="BX276" s="2"/>
      <c r="BY276" s="2"/>
      <c r="BZ276" s="2"/>
      <c r="CA276" s="46"/>
      <c r="CB276" s="1"/>
      <c r="CC276" s="1"/>
      <c r="CD276" s="1"/>
      <c r="CE276" s="1"/>
      <c r="CF276" s="1"/>
      <c r="CG276" s="1"/>
      <c r="CH276" s="1"/>
      <c r="CI276" s="2"/>
      <c r="CJ276" s="2"/>
      <c r="CK276" s="2"/>
      <c r="CL276" s="2"/>
      <c r="CM276" s="2"/>
      <c r="CN276" s="2"/>
      <c r="CO276" s="2"/>
      <c r="CP276" s="2"/>
      <c r="CQ276" s="2"/>
      <c r="CR276" s="2"/>
      <c r="CS276" s="2"/>
      <c r="CT276" s="2"/>
      <c r="CU276" s="2"/>
      <c r="CV276" s="2"/>
      <c r="CW276" s="2"/>
      <c r="CX276" s="2"/>
      <c r="CY276" s="2"/>
      <c r="CZ276" s="2"/>
    </row>
    <row r="277" spans="43:104" ht="15" hidden="1" customHeight="1" x14ac:dyDescent="0.2">
      <c r="AQ277" s="13"/>
      <c r="AR277" s="12">
        <v>1655000</v>
      </c>
      <c r="AS277" s="12">
        <v>2120000</v>
      </c>
      <c r="AT277" s="2"/>
      <c r="AU277" s="2"/>
      <c r="AV277" s="2"/>
      <c r="AW277" s="2"/>
      <c r="AX277" s="2"/>
      <c r="AY277" s="2"/>
      <c r="AZ277" s="2"/>
      <c r="BA277" s="2"/>
      <c r="BB277" s="2"/>
      <c r="BC277" s="2"/>
      <c r="BD277" s="2"/>
      <c r="BE277" s="2"/>
      <c r="BK277" s="2"/>
      <c r="BM277" s="2"/>
      <c r="BN277" s="2"/>
      <c r="BO277" s="2"/>
      <c r="BS277" s="11"/>
      <c r="BT277" s="2"/>
      <c r="BU277" s="3"/>
      <c r="BV277" s="3"/>
      <c r="BW277" s="2"/>
      <c r="BX277" s="2"/>
      <c r="BY277" s="2"/>
      <c r="BZ277" s="46"/>
      <c r="CA277" s="1"/>
      <c r="CB277" s="1"/>
      <c r="CC277" s="1"/>
      <c r="CD277" s="1"/>
      <c r="CE277" s="1"/>
      <c r="CF277" s="1"/>
      <c r="CG277" s="1"/>
      <c r="CH277" s="1"/>
      <c r="CI277" s="2"/>
      <c r="CJ277" s="2"/>
      <c r="CK277" s="2"/>
      <c r="CL277" s="2"/>
      <c r="CM277" s="2"/>
      <c r="CN277" s="2"/>
      <c r="CO277" s="2"/>
      <c r="CP277" s="2"/>
      <c r="CQ277" s="2"/>
      <c r="CR277" s="2"/>
      <c r="CS277" s="2"/>
      <c r="CT277" s="2"/>
      <c r="CU277" s="2"/>
      <c r="CV277" s="2"/>
      <c r="CW277" s="2"/>
      <c r="CX277" s="2"/>
      <c r="CY277" s="2"/>
      <c r="CZ277" s="2"/>
    </row>
    <row r="278" spans="43:104" ht="15" hidden="1" customHeight="1" x14ac:dyDescent="0.2">
      <c r="AQ278" s="13"/>
      <c r="AR278" s="12">
        <v>1660000</v>
      </c>
      <c r="AS278" s="12">
        <v>2130000</v>
      </c>
      <c r="AT278" s="2"/>
      <c r="AU278" s="2"/>
      <c r="AV278" s="2"/>
      <c r="AW278" s="2"/>
      <c r="AX278" s="2"/>
      <c r="AY278" s="2"/>
      <c r="AZ278" s="2"/>
      <c r="BA278" s="2"/>
      <c r="BB278" s="2"/>
      <c r="BC278" s="2"/>
      <c r="BD278" s="2"/>
      <c r="BE278" s="2"/>
      <c r="BK278" s="2"/>
      <c r="BM278" s="2"/>
      <c r="BN278" s="2"/>
      <c r="BO278" s="2"/>
      <c r="BS278" s="11"/>
      <c r="BT278" s="2"/>
      <c r="BU278" s="3"/>
      <c r="BV278" s="3"/>
      <c r="BW278" s="2"/>
      <c r="BX278" s="2"/>
      <c r="BY278" s="2"/>
      <c r="BZ278" s="2"/>
      <c r="CA278" s="46"/>
      <c r="CB278" s="1"/>
      <c r="CC278" s="1"/>
      <c r="CD278" s="1"/>
      <c r="CE278" s="1"/>
      <c r="CF278" s="1"/>
      <c r="CG278" s="1"/>
      <c r="CH278" s="1"/>
      <c r="CI278" s="2"/>
      <c r="CJ278" s="2"/>
      <c r="CK278" s="2"/>
      <c r="CL278" s="2"/>
      <c r="CM278" s="2"/>
      <c r="CN278" s="2"/>
      <c r="CO278" s="2"/>
      <c r="CP278" s="2"/>
      <c r="CQ278" s="2"/>
      <c r="CR278" s="2"/>
      <c r="CS278" s="2"/>
      <c r="CT278" s="2"/>
      <c r="CU278" s="2"/>
      <c r="CV278" s="2"/>
      <c r="CW278" s="2"/>
      <c r="CX278" s="2"/>
      <c r="CY278" s="2"/>
      <c r="CZ278" s="2"/>
    </row>
    <row r="279" spans="43:104" ht="15" hidden="1" customHeight="1" x14ac:dyDescent="0.2">
      <c r="AQ279" s="85"/>
      <c r="AR279" s="12">
        <v>1665000</v>
      </c>
      <c r="AS279" s="12">
        <v>2140000</v>
      </c>
      <c r="AT279" s="2"/>
      <c r="AU279" s="2"/>
      <c r="AV279" s="2"/>
      <c r="AW279" s="2"/>
      <c r="AX279" s="2"/>
      <c r="AY279" s="2"/>
      <c r="AZ279" s="2"/>
      <c r="BA279" s="2"/>
      <c r="BB279" s="2"/>
      <c r="BC279" s="2"/>
      <c r="BD279" s="2"/>
      <c r="BE279" s="2"/>
      <c r="BK279" s="2"/>
      <c r="BM279" s="2"/>
      <c r="BN279" s="2"/>
      <c r="BO279" s="2"/>
      <c r="BS279" s="11"/>
      <c r="BT279" s="2"/>
      <c r="BU279" s="3"/>
      <c r="BV279" s="3"/>
      <c r="BW279" s="2"/>
      <c r="BX279" s="2"/>
      <c r="BY279" s="2"/>
      <c r="BZ279" s="2"/>
      <c r="CA279" s="2"/>
      <c r="CB279" s="2"/>
      <c r="CC279" s="2"/>
      <c r="CD279" s="1"/>
      <c r="CE279" s="1"/>
      <c r="CF279" s="1"/>
      <c r="CG279" s="1"/>
      <c r="CH279" s="1"/>
      <c r="CI279" s="2"/>
      <c r="CJ279" s="2"/>
      <c r="CK279" s="2"/>
      <c r="CL279" s="2"/>
      <c r="CM279" s="2"/>
      <c r="CN279" s="2"/>
      <c r="CO279" s="2"/>
      <c r="CP279" s="2"/>
      <c r="CQ279" s="2"/>
      <c r="CR279" s="2"/>
      <c r="CS279" s="2"/>
      <c r="CT279" s="2"/>
      <c r="CU279" s="2"/>
      <c r="CV279" s="2"/>
      <c r="CW279" s="2"/>
      <c r="CX279" s="2"/>
      <c r="CY279" s="2"/>
      <c r="CZ279" s="2"/>
    </row>
    <row r="280" spans="43:104" ht="15" hidden="1" customHeight="1" x14ac:dyDescent="0.2">
      <c r="AQ280" s="12"/>
      <c r="AR280" s="12">
        <v>1670000</v>
      </c>
      <c r="AS280" s="12">
        <v>2150000</v>
      </c>
      <c r="AT280" s="2"/>
      <c r="AU280" s="2"/>
      <c r="AV280" s="2"/>
      <c r="AW280" s="2"/>
      <c r="AX280" s="2"/>
      <c r="AY280" s="2"/>
      <c r="AZ280" s="2"/>
      <c r="BA280" s="2"/>
      <c r="BB280" s="2"/>
      <c r="BC280" s="2"/>
      <c r="BD280" s="2"/>
      <c r="BE280" s="2"/>
      <c r="BK280" s="2"/>
      <c r="BM280" s="2"/>
      <c r="BN280" s="2"/>
      <c r="BO280" s="2"/>
      <c r="BS280" s="11"/>
      <c r="BT280" s="2"/>
      <c r="BU280" s="3"/>
      <c r="BV280" s="3"/>
      <c r="BW280" s="2"/>
      <c r="BX280" s="2"/>
      <c r="BY280" s="2"/>
      <c r="BZ280" s="2"/>
      <c r="CA280" s="2"/>
      <c r="CB280" s="2"/>
      <c r="CC280" s="2"/>
      <c r="CD280" s="1"/>
      <c r="CE280" s="1"/>
      <c r="CF280" s="1"/>
      <c r="CG280" s="1"/>
      <c r="CH280" s="1"/>
      <c r="CI280" s="2"/>
      <c r="CJ280" s="2"/>
      <c r="CK280" s="2"/>
      <c r="CL280" s="2"/>
      <c r="CM280" s="2"/>
      <c r="CN280" s="2"/>
      <c r="CO280" s="2"/>
      <c r="CP280" s="2"/>
      <c r="CQ280" s="2"/>
      <c r="CR280" s="2"/>
      <c r="CS280" s="2"/>
      <c r="CT280" s="2"/>
      <c r="CU280" s="2"/>
      <c r="CV280" s="2"/>
      <c r="CW280" s="2"/>
      <c r="CX280" s="2"/>
      <c r="CY280" s="2"/>
      <c r="CZ280" s="2"/>
    </row>
    <row r="281" spans="43:104" ht="15" hidden="1" customHeight="1" x14ac:dyDescent="0.2">
      <c r="AQ281" s="12"/>
      <c r="AR281" s="12">
        <v>1675000</v>
      </c>
      <c r="AS281" s="12">
        <v>2160000</v>
      </c>
      <c r="AT281" s="2"/>
      <c r="AU281" s="2"/>
      <c r="AV281" s="2"/>
      <c r="AW281" s="2"/>
      <c r="AX281" s="2"/>
      <c r="AY281" s="2"/>
      <c r="AZ281" s="2"/>
      <c r="BA281" s="2"/>
      <c r="BB281" s="2"/>
      <c r="BC281" s="2"/>
      <c r="BD281" s="2"/>
      <c r="BE281" s="2"/>
      <c r="BK281" s="2"/>
      <c r="BM281" s="2"/>
      <c r="BN281" s="2"/>
      <c r="BO281" s="2"/>
      <c r="BS281" s="11"/>
      <c r="BT281" s="2"/>
      <c r="BU281" s="3"/>
      <c r="BV281" s="3"/>
      <c r="BW281" s="2"/>
      <c r="BX281" s="2"/>
      <c r="BY281" s="2"/>
      <c r="BZ281" s="2"/>
      <c r="CA281" s="2"/>
      <c r="CB281" s="2"/>
      <c r="CC281" s="2"/>
      <c r="CD281" s="1"/>
      <c r="CE281" s="1"/>
      <c r="CF281" s="1"/>
      <c r="CG281" s="1"/>
      <c r="CH281" s="1"/>
      <c r="CI281" s="2"/>
      <c r="CJ281" s="2"/>
      <c r="CK281" s="2"/>
      <c r="CL281" s="2"/>
      <c r="CM281" s="2"/>
      <c r="CN281" s="2"/>
      <c r="CO281" s="2"/>
      <c r="CP281" s="2"/>
      <c r="CQ281" s="2"/>
      <c r="CR281" s="2"/>
      <c r="CS281" s="2"/>
      <c r="CT281" s="2"/>
      <c r="CU281" s="2"/>
      <c r="CV281" s="2"/>
      <c r="CW281" s="2"/>
      <c r="CX281" s="2"/>
      <c r="CY281" s="2"/>
      <c r="CZ281" s="2"/>
    </row>
    <row r="282" spans="43:104" ht="15" hidden="1" customHeight="1" x14ac:dyDescent="0.2">
      <c r="AQ282" s="13"/>
      <c r="AR282" s="12">
        <v>1680000</v>
      </c>
      <c r="AS282" s="12">
        <v>2170000</v>
      </c>
      <c r="AT282" s="2"/>
      <c r="AU282" s="2"/>
      <c r="AV282" s="2"/>
      <c r="AW282" s="2"/>
      <c r="AX282" s="2"/>
      <c r="AY282" s="2"/>
      <c r="AZ282" s="2"/>
      <c r="BA282" s="2"/>
      <c r="BB282" s="2"/>
      <c r="BC282" s="2"/>
      <c r="BD282" s="2"/>
      <c r="BE282" s="2"/>
      <c r="BK282" s="2"/>
      <c r="BM282" s="2"/>
      <c r="BN282" s="2"/>
      <c r="BO282" s="2"/>
      <c r="BS282" s="11"/>
      <c r="BT282" s="2"/>
      <c r="BU282" s="3"/>
      <c r="BV282" s="3"/>
      <c r="BW282" s="2"/>
      <c r="BX282" s="2"/>
      <c r="BY282" s="2"/>
      <c r="BZ282" s="2"/>
      <c r="CA282" s="2"/>
      <c r="CB282" s="2"/>
      <c r="CC282" s="2"/>
      <c r="CD282" s="1"/>
      <c r="CE282" s="1"/>
      <c r="CF282" s="1"/>
      <c r="CG282" s="1"/>
      <c r="CH282" s="1"/>
      <c r="CI282" s="2"/>
      <c r="CJ282" s="2"/>
      <c r="CK282" s="2"/>
      <c r="CL282" s="2"/>
      <c r="CM282" s="2"/>
      <c r="CN282" s="2"/>
      <c r="CO282" s="2"/>
      <c r="CP282" s="2"/>
      <c r="CQ282" s="2"/>
      <c r="CR282" s="2"/>
      <c r="CS282" s="2"/>
      <c r="CT282" s="2"/>
      <c r="CU282" s="2"/>
      <c r="CV282" s="2"/>
      <c r="CW282" s="2"/>
      <c r="CX282" s="2"/>
      <c r="CY282" s="2"/>
      <c r="CZ282" s="2"/>
    </row>
    <row r="283" spans="43:104" ht="15" hidden="1" customHeight="1" x14ac:dyDescent="0.2">
      <c r="AQ283" s="13"/>
      <c r="AR283" s="12">
        <v>1685000</v>
      </c>
      <c r="AS283" s="12">
        <v>2180000</v>
      </c>
      <c r="AT283" s="2"/>
      <c r="AU283" s="2"/>
      <c r="AV283" s="2"/>
      <c r="AW283" s="2"/>
      <c r="AX283" s="2"/>
      <c r="AY283" s="2"/>
      <c r="AZ283" s="2"/>
      <c r="BA283" s="2"/>
      <c r="BB283" s="2"/>
      <c r="BC283" s="2"/>
      <c r="BD283" s="2"/>
      <c r="BE283" s="2"/>
      <c r="BK283" s="2"/>
      <c r="BM283" s="2"/>
      <c r="BN283" s="2"/>
      <c r="BO283" s="2"/>
      <c r="BS283" s="11"/>
      <c r="BT283" s="2"/>
      <c r="BU283" s="3"/>
      <c r="BV283" s="3"/>
      <c r="BW283" s="2"/>
      <c r="BX283" s="2"/>
      <c r="BY283" s="2"/>
      <c r="BZ283" s="2"/>
      <c r="CA283" s="2"/>
      <c r="CB283" s="2"/>
      <c r="CC283" s="2"/>
      <c r="CD283" s="1"/>
      <c r="CE283" s="1"/>
      <c r="CF283" s="1"/>
      <c r="CG283" s="1"/>
      <c r="CH283" s="1"/>
      <c r="CI283" s="2"/>
      <c r="CJ283" s="2"/>
      <c r="CK283" s="2"/>
      <c r="CL283" s="2"/>
      <c r="CM283" s="2"/>
      <c r="CN283" s="2"/>
      <c r="CO283" s="2"/>
      <c r="CP283" s="2"/>
      <c r="CQ283" s="2"/>
      <c r="CR283" s="2"/>
      <c r="CS283" s="2"/>
      <c r="CT283" s="2"/>
      <c r="CU283" s="2"/>
      <c r="CV283" s="2"/>
      <c r="CW283" s="2"/>
      <c r="CX283" s="2"/>
      <c r="CY283" s="2"/>
      <c r="CZ283" s="2"/>
    </row>
    <row r="284" spans="43:104" ht="15" hidden="1" customHeight="1" x14ac:dyDescent="0.2">
      <c r="AQ284" s="85"/>
      <c r="AR284" s="12">
        <v>1690000</v>
      </c>
      <c r="AS284" s="12">
        <v>2190000</v>
      </c>
      <c r="AT284" s="2"/>
      <c r="AU284" s="2"/>
      <c r="AV284" s="2"/>
      <c r="AW284" s="2"/>
      <c r="AX284" s="2"/>
      <c r="AY284" s="2"/>
      <c r="AZ284" s="2"/>
      <c r="BA284" s="2"/>
      <c r="BB284" s="2"/>
      <c r="BC284" s="2"/>
      <c r="BD284" s="2"/>
      <c r="BE284" s="2"/>
      <c r="BK284" s="2"/>
      <c r="BM284" s="2"/>
      <c r="BN284" s="2"/>
      <c r="BO284" s="2"/>
      <c r="BS284" s="11"/>
      <c r="BT284" s="2"/>
      <c r="BU284" s="3"/>
      <c r="BV284" s="3"/>
      <c r="BW284" s="2"/>
      <c r="BX284" s="2"/>
      <c r="BY284" s="2"/>
      <c r="BZ284" s="2"/>
      <c r="CA284" s="46"/>
      <c r="CB284" s="1"/>
      <c r="CC284" s="1"/>
      <c r="CD284" s="1"/>
      <c r="CE284" s="1"/>
      <c r="CF284" s="1"/>
      <c r="CG284" s="1"/>
      <c r="CH284" s="1"/>
      <c r="CI284" s="2"/>
      <c r="CJ284" s="2"/>
      <c r="CK284" s="2"/>
      <c r="CL284" s="2"/>
      <c r="CM284" s="2"/>
      <c r="CN284" s="2"/>
      <c r="CO284" s="2"/>
      <c r="CP284" s="2"/>
      <c r="CQ284" s="2"/>
      <c r="CR284" s="2"/>
      <c r="CS284" s="2"/>
      <c r="CT284" s="2"/>
      <c r="CU284" s="2"/>
      <c r="CV284" s="2"/>
      <c r="CW284" s="2"/>
      <c r="CX284" s="2"/>
      <c r="CY284" s="2"/>
      <c r="CZ284" s="2"/>
    </row>
    <row r="285" spans="43:104" ht="15" hidden="1" customHeight="1" x14ac:dyDescent="0.2">
      <c r="AQ285" s="12"/>
      <c r="AR285" s="12">
        <v>1695000</v>
      </c>
      <c r="AS285" s="12">
        <v>2200000</v>
      </c>
      <c r="AT285" s="2"/>
      <c r="AU285" s="2"/>
      <c r="AV285" s="2"/>
      <c r="AW285" s="2"/>
      <c r="AX285" s="2"/>
      <c r="AY285" s="2"/>
      <c r="AZ285" s="2"/>
      <c r="BA285" s="2"/>
      <c r="BB285" s="2"/>
      <c r="BC285" s="2"/>
      <c r="BD285" s="2"/>
      <c r="BE285" s="2"/>
      <c r="BK285" s="2"/>
      <c r="BM285" s="2"/>
      <c r="BN285" s="2"/>
      <c r="BO285" s="2"/>
      <c r="BS285" s="11"/>
      <c r="BT285" s="2"/>
      <c r="BU285" s="3"/>
      <c r="BV285" s="3"/>
      <c r="BW285" s="2"/>
      <c r="BX285" s="2"/>
      <c r="BY285" s="2"/>
      <c r="BZ285" s="2"/>
      <c r="CA285" s="46"/>
      <c r="CB285" s="1"/>
      <c r="CC285" s="1"/>
      <c r="CD285" s="1"/>
      <c r="CE285" s="1"/>
      <c r="CF285" s="1"/>
      <c r="CG285" s="1"/>
      <c r="CH285" s="1"/>
      <c r="CI285" s="2"/>
      <c r="CJ285" s="2"/>
      <c r="CK285" s="2"/>
      <c r="CL285" s="2"/>
      <c r="CM285" s="2"/>
      <c r="CN285" s="2"/>
      <c r="CO285" s="2"/>
      <c r="CP285" s="2"/>
      <c r="CQ285" s="2"/>
      <c r="CR285" s="2"/>
      <c r="CS285" s="2"/>
      <c r="CT285" s="2"/>
      <c r="CU285" s="2"/>
      <c r="CV285" s="2"/>
      <c r="CW285" s="2"/>
      <c r="CX285" s="2"/>
      <c r="CY285" s="2"/>
      <c r="CZ285" s="2"/>
    </row>
    <row r="286" spans="43:104" ht="15" hidden="1" customHeight="1" x14ac:dyDescent="0.2">
      <c r="AQ286" s="12"/>
      <c r="AR286" s="12">
        <v>1700000</v>
      </c>
      <c r="AS286" s="12">
        <v>2210000</v>
      </c>
      <c r="AT286" s="2"/>
      <c r="AU286" s="2"/>
      <c r="AV286" s="2"/>
      <c r="AW286" s="2"/>
      <c r="AX286" s="2"/>
      <c r="AY286" s="2"/>
      <c r="AZ286" s="2"/>
      <c r="BA286" s="2"/>
      <c r="BB286" s="2"/>
      <c r="BC286" s="2"/>
      <c r="BD286" s="2"/>
      <c r="BE286" s="2"/>
      <c r="BK286" s="2"/>
      <c r="BM286" s="2"/>
      <c r="BN286" s="2"/>
      <c r="BO286" s="2"/>
      <c r="BS286" s="11"/>
      <c r="BT286" s="2"/>
      <c r="BU286" s="3"/>
      <c r="BV286" s="3"/>
      <c r="BW286" s="2"/>
      <c r="BX286" s="2"/>
      <c r="BY286" s="2"/>
      <c r="BZ286" s="2"/>
      <c r="CA286" s="46"/>
      <c r="CB286" s="1"/>
      <c r="CC286" s="1"/>
      <c r="CD286" s="1"/>
      <c r="CE286" s="1"/>
      <c r="CF286" s="1"/>
      <c r="CG286" s="1"/>
      <c r="CH286" s="1"/>
      <c r="CI286" s="2"/>
      <c r="CJ286" s="2"/>
      <c r="CK286" s="2"/>
      <c r="CL286" s="2"/>
      <c r="CM286" s="2"/>
      <c r="CN286" s="2"/>
      <c r="CO286" s="2"/>
      <c r="CP286" s="2"/>
      <c r="CQ286" s="2"/>
      <c r="CR286" s="2"/>
      <c r="CS286" s="2"/>
      <c r="CT286" s="2"/>
      <c r="CU286" s="2"/>
      <c r="CV286" s="2"/>
      <c r="CW286" s="2"/>
      <c r="CX286" s="2"/>
      <c r="CY286" s="2"/>
      <c r="CZ286" s="2"/>
    </row>
    <row r="287" spans="43:104" ht="15" hidden="1" customHeight="1" x14ac:dyDescent="0.2">
      <c r="AQ287" s="13"/>
      <c r="AR287" s="12">
        <v>1705000</v>
      </c>
      <c r="AS287" s="12">
        <v>2220000</v>
      </c>
      <c r="AT287" s="2"/>
      <c r="AU287" s="2"/>
      <c r="AV287" s="2"/>
      <c r="AW287" s="2"/>
      <c r="AX287" s="2"/>
      <c r="AY287" s="2"/>
      <c r="AZ287" s="2"/>
      <c r="BA287" s="2"/>
      <c r="BB287" s="2"/>
      <c r="BC287" s="2"/>
      <c r="BD287" s="2"/>
      <c r="BE287" s="2"/>
      <c r="BK287" s="2"/>
      <c r="BM287" s="2"/>
      <c r="BN287" s="2"/>
      <c r="BO287" s="2"/>
      <c r="BS287" s="11"/>
      <c r="BT287" s="2"/>
      <c r="BU287" s="3"/>
      <c r="BV287" s="3"/>
      <c r="BW287" s="2"/>
      <c r="BX287" s="2"/>
      <c r="BY287" s="2"/>
      <c r="BZ287" s="2"/>
      <c r="CA287" s="46"/>
      <c r="CB287" s="1"/>
      <c r="CC287" s="1"/>
      <c r="CD287" s="1"/>
      <c r="CE287" s="1"/>
      <c r="CF287" s="1"/>
      <c r="CG287" s="1"/>
      <c r="CH287" s="1"/>
      <c r="CI287" s="2"/>
      <c r="CJ287" s="2"/>
      <c r="CK287" s="2"/>
      <c r="CL287" s="2"/>
      <c r="CM287" s="2"/>
      <c r="CN287" s="2"/>
      <c r="CO287" s="2"/>
      <c r="CP287" s="2"/>
      <c r="CQ287" s="2"/>
      <c r="CR287" s="2"/>
      <c r="CS287" s="2"/>
      <c r="CT287" s="2"/>
      <c r="CU287" s="2"/>
      <c r="CV287" s="2"/>
      <c r="CW287" s="2"/>
      <c r="CX287" s="2"/>
      <c r="CY287" s="2"/>
      <c r="CZ287" s="2"/>
    </row>
    <row r="288" spans="43:104" ht="15" hidden="1" customHeight="1" x14ac:dyDescent="0.2">
      <c r="AQ288" s="13"/>
      <c r="AR288" s="12">
        <v>1710000</v>
      </c>
      <c r="AS288" s="12">
        <v>2230000</v>
      </c>
      <c r="AT288" s="2"/>
      <c r="AU288" s="2"/>
      <c r="AV288" s="2"/>
      <c r="AW288" s="2"/>
      <c r="AX288" s="2"/>
      <c r="AY288" s="2"/>
      <c r="AZ288" s="2"/>
      <c r="BA288" s="2"/>
      <c r="BB288" s="2"/>
      <c r="BC288" s="2"/>
      <c r="BD288" s="2"/>
      <c r="BE288" s="2"/>
      <c r="BK288" s="2"/>
      <c r="BM288" s="2"/>
      <c r="BN288" s="2"/>
      <c r="BO288" s="2"/>
      <c r="BS288" s="11"/>
      <c r="BT288" s="2"/>
      <c r="BU288" s="3"/>
      <c r="BV288" s="3"/>
      <c r="BW288" s="2"/>
      <c r="BX288" s="2"/>
      <c r="BY288" s="2"/>
      <c r="BZ288" s="2"/>
      <c r="CA288" s="46"/>
      <c r="CB288" s="1"/>
      <c r="CC288" s="1"/>
      <c r="CD288" s="1"/>
      <c r="CE288" s="1"/>
      <c r="CF288" s="1"/>
      <c r="CG288" s="1"/>
      <c r="CH288" s="1"/>
      <c r="CI288" s="2"/>
      <c r="CJ288" s="2"/>
      <c r="CK288" s="2"/>
      <c r="CL288" s="2"/>
      <c r="CM288" s="2"/>
      <c r="CN288" s="2"/>
      <c r="CO288" s="2"/>
      <c r="CP288" s="2"/>
      <c r="CQ288" s="2"/>
      <c r="CR288" s="2"/>
      <c r="CS288" s="2"/>
      <c r="CT288" s="2"/>
      <c r="CU288" s="2"/>
      <c r="CV288" s="2"/>
      <c r="CW288" s="2"/>
      <c r="CX288" s="2"/>
      <c r="CY288" s="2"/>
      <c r="CZ288" s="2"/>
    </row>
    <row r="289" spans="43:104" ht="15" hidden="1" customHeight="1" x14ac:dyDescent="0.2">
      <c r="AQ289" s="85"/>
      <c r="AR289" s="12">
        <v>1715000</v>
      </c>
      <c r="AS289" s="12">
        <v>2240000</v>
      </c>
      <c r="AT289" s="2"/>
      <c r="AU289" s="2"/>
      <c r="AV289" s="2"/>
      <c r="AW289" s="2"/>
      <c r="AX289" s="2"/>
      <c r="AY289" s="2"/>
      <c r="AZ289" s="2"/>
      <c r="BA289" s="2"/>
      <c r="BB289" s="2"/>
      <c r="BC289" s="2"/>
      <c r="BD289" s="2"/>
      <c r="BE289" s="2"/>
      <c r="BK289" s="2"/>
      <c r="BM289" s="2"/>
      <c r="BN289" s="2"/>
      <c r="BO289" s="2"/>
      <c r="BS289" s="11"/>
      <c r="BT289" s="2"/>
      <c r="BU289" s="3"/>
      <c r="BV289" s="3"/>
      <c r="BW289" s="2"/>
      <c r="BX289" s="2"/>
      <c r="BY289" s="2"/>
      <c r="BZ289" s="2"/>
      <c r="CA289" s="46"/>
      <c r="CB289" s="1"/>
      <c r="CC289" s="1"/>
      <c r="CD289" s="1"/>
      <c r="CE289" s="1"/>
      <c r="CF289" s="1"/>
      <c r="CG289" s="1"/>
      <c r="CH289" s="1"/>
      <c r="CI289" s="2"/>
      <c r="CJ289" s="2"/>
      <c r="CK289" s="2"/>
      <c r="CL289" s="2"/>
      <c r="CM289" s="2"/>
      <c r="CN289" s="2"/>
      <c r="CO289" s="2"/>
      <c r="CP289" s="2"/>
      <c r="CQ289" s="2"/>
      <c r="CR289" s="2"/>
      <c r="CS289" s="2"/>
      <c r="CT289" s="2"/>
      <c r="CU289" s="2"/>
      <c r="CV289" s="2"/>
      <c r="CW289" s="2"/>
      <c r="CX289" s="2"/>
      <c r="CY289" s="2"/>
      <c r="CZ289" s="2"/>
    </row>
    <row r="290" spans="43:104" ht="15" hidden="1" customHeight="1" x14ac:dyDescent="0.2">
      <c r="AQ290" s="12"/>
      <c r="AR290" s="12">
        <v>1720000</v>
      </c>
      <c r="AS290" s="12">
        <v>2250000</v>
      </c>
      <c r="AT290" s="2"/>
      <c r="AU290" s="2"/>
      <c r="AV290" s="2"/>
      <c r="AW290" s="2"/>
      <c r="AX290" s="2"/>
      <c r="AY290" s="2"/>
      <c r="AZ290" s="2"/>
      <c r="BA290" s="2"/>
      <c r="BB290" s="2"/>
      <c r="BC290" s="2"/>
      <c r="BD290" s="2"/>
      <c r="BE290" s="2"/>
      <c r="BK290" s="2"/>
      <c r="BM290" s="2"/>
      <c r="BN290" s="2"/>
      <c r="BO290" s="2"/>
      <c r="BS290" s="11"/>
      <c r="BT290" s="2"/>
      <c r="BU290" s="3"/>
      <c r="BV290" s="3"/>
      <c r="BW290" s="2"/>
      <c r="BX290" s="2"/>
      <c r="BY290" s="2"/>
      <c r="BZ290" s="2"/>
      <c r="CA290" s="46"/>
      <c r="CB290" s="1"/>
      <c r="CC290" s="1"/>
      <c r="CD290" s="1"/>
      <c r="CE290" s="1"/>
      <c r="CF290" s="1"/>
      <c r="CG290" s="1"/>
      <c r="CH290" s="1"/>
      <c r="CI290" s="2"/>
      <c r="CJ290" s="2"/>
      <c r="CK290" s="2"/>
      <c r="CL290" s="2"/>
      <c r="CM290" s="2"/>
      <c r="CN290" s="2"/>
      <c r="CO290" s="2"/>
      <c r="CP290" s="2"/>
      <c r="CQ290" s="2"/>
      <c r="CR290" s="2"/>
      <c r="CS290" s="2"/>
      <c r="CT290" s="2"/>
      <c r="CU290" s="2"/>
      <c r="CV290" s="2"/>
      <c r="CW290" s="2"/>
      <c r="CX290" s="2"/>
      <c r="CY290" s="2"/>
      <c r="CZ290" s="2"/>
    </row>
    <row r="291" spans="43:104" ht="15" hidden="1" customHeight="1" x14ac:dyDescent="0.2">
      <c r="AQ291" s="12"/>
      <c r="AR291" s="12">
        <v>1725000</v>
      </c>
      <c r="AS291" s="12">
        <v>2260000</v>
      </c>
      <c r="AT291" s="2"/>
      <c r="AU291" s="2"/>
      <c r="AV291" s="2"/>
      <c r="AW291" s="2"/>
      <c r="AX291" s="2"/>
      <c r="AY291" s="2"/>
      <c r="AZ291" s="2"/>
      <c r="BA291" s="2"/>
      <c r="BB291" s="2"/>
      <c r="BC291" s="2"/>
      <c r="BD291" s="2"/>
      <c r="BE291" s="2"/>
      <c r="BK291" s="2"/>
      <c r="BM291" s="2"/>
      <c r="BN291" s="2"/>
      <c r="BO291" s="2"/>
      <c r="BS291" s="11"/>
      <c r="BT291" s="2"/>
      <c r="BU291" s="3"/>
      <c r="BV291" s="3"/>
      <c r="BW291" s="2"/>
      <c r="BX291" s="2"/>
      <c r="BY291" s="2"/>
      <c r="BZ291" s="46"/>
      <c r="CA291" s="1"/>
      <c r="CB291" s="1"/>
      <c r="CC291" s="1"/>
      <c r="CD291" s="1"/>
      <c r="CE291" s="1"/>
      <c r="CF291" s="1"/>
      <c r="CG291" s="1"/>
      <c r="CH291" s="1"/>
      <c r="CI291" s="2"/>
      <c r="CJ291" s="2"/>
      <c r="CK291" s="2"/>
      <c r="CL291" s="2"/>
      <c r="CM291" s="2"/>
      <c r="CN291" s="2"/>
      <c r="CO291" s="2"/>
      <c r="CP291" s="2"/>
      <c r="CQ291" s="2"/>
      <c r="CR291" s="2"/>
      <c r="CS291" s="2"/>
      <c r="CT291" s="2"/>
      <c r="CU291" s="2"/>
      <c r="CV291" s="2"/>
      <c r="CW291" s="2"/>
      <c r="CX291" s="2"/>
      <c r="CY291" s="2"/>
      <c r="CZ291" s="2"/>
    </row>
    <row r="292" spans="43:104" ht="15" hidden="1" customHeight="1" x14ac:dyDescent="0.2">
      <c r="AQ292" s="13"/>
      <c r="AR292" s="12">
        <v>1730000</v>
      </c>
      <c r="AS292" s="12">
        <v>2270000</v>
      </c>
      <c r="AT292" s="2"/>
      <c r="AU292" s="2"/>
      <c r="AV292" s="2"/>
      <c r="AW292" s="2"/>
      <c r="AX292" s="2"/>
      <c r="AY292" s="2"/>
      <c r="AZ292" s="2"/>
      <c r="BA292" s="2"/>
      <c r="BB292" s="2"/>
      <c r="BC292" s="2"/>
      <c r="BD292" s="2"/>
      <c r="BE292" s="2"/>
      <c r="BK292" s="2"/>
      <c r="BM292" s="2"/>
      <c r="BN292" s="2"/>
      <c r="BO292" s="2"/>
      <c r="BS292" s="11"/>
      <c r="BT292" s="2"/>
      <c r="BU292" s="3"/>
      <c r="BV292" s="3"/>
      <c r="BW292" s="2"/>
      <c r="BX292" s="2"/>
      <c r="BY292" s="2"/>
      <c r="BZ292" s="2"/>
      <c r="CA292" s="46"/>
      <c r="CB292" s="1"/>
      <c r="CC292" s="1"/>
      <c r="CD292" s="1"/>
      <c r="CE292" s="1"/>
      <c r="CF292" s="1"/>
      <c r="CG292" s="1"/>
      <c r="CH292" s="1"/>
      <c r="CI292" s="2"/>
      <c r="CJ292" s="2"/>
      <c r="CK292" s="2"/>
      <c r="CL292" s="2"/>
      <c r="CM292" s="2"/>
      <c r="CN292" s="2"/>
      <c r="CO292" s="2"/>
      <c r="CP292" s="2"/>
      <c r="CQ292" s="2"/>
      <c r="CR292" s="2"/>
      <c r="CS292" s="2"/>
      <c r="CT292" s="2"/>
      <c r="CU292" s="2"/>
      <c r="CV292" s="2"/>
      <c r="CW292" s="2"/>
      <c r="CX292" s="2"/>
      <c r="CY292" s="2"/>
      <c r="CZ292" s="2"/>
    </row>
    <row r="293" spans="43:104" ht="15" hidden="1" customHeight="1" x14ac:dyDescent="0.2">
      <c r="AQ293" s="13"/>
      <c r="AR293" s="12">
        <v>1735000</v>
      </c>
      <c r="AS293" s="12">
        <v>2280000</v>
      </c>
      <c r="AT293" s="2"/>
      <c r="AU293" s="2"/>
      <c r="AV293" s="2"/>
      <c r="AW293" s="2"/>
      <c r="AX293" s="2"/>
      <c r="AY293" s="2"/>
      <c r="AZ293" s="2"/>
      <c r="BA293" s="2"/>
      <c r="BB293" s="2"/>
      <c r="BC293" s="2"/>
      <c r="BD293" s="2"/>
      <c r="BE293" s="2"/>
      <c r="BK293" s="2"/>
      <c r="BM293" s="2"/>
      <c r="BN293" s="2"/>
      <c r="BO293" s="2"/>
      <c r="BS293" s="11"/>
      <c r="BT293" s="2"/>
      <c r="BU293" s="3"/>
      <c r="BV293" s="3"/>
      <c r="BW293" s="2"/>
      <c r="BX293" s="2"/>
      <c r="BY293" s="2"/>
      <c r="BZ293" s="2"/>
      <c r="CA293" s="2"/>
      <c r="CB293" s="2"/>
      <c r="CC293" s="2"/>
      <c r="CD293" s="1"/>
      <c r="CE293" s="1"/>
      <c r="CF293" s="1"/>
      <c r="CG293" s="1"/>
      <c r="CH293" s="1"/>
      <c r="CI293" s="2"/>
      <c r="CJ293" s="2"/>
      <c r="CK293" s="2"/>
      <c r="CL293" s="2"/>
      <c r="CM293" s="2"/>
      <c r="CN293" s="2"/>
      <c r="CO293" s="2"/>
      <c r="CP293" s="2"/>
      <c r="CQ293" s="2"/>
      <c r="CR293" s="2"/>
      <c r="CS293" s="2"/>
      <c r="CT293" s="2"/>
      <c r="CU293" s="2"/>
      <c r="CV293" s="2"/>
      <c r="CW293" s="2"/>
      <c r="CX293" s="2"/>
      <c r="CY293" s="2"/>
      <c r="CZ293" s="2"/>
    </row>
    <row r="294" spans="43:104" ht="15" hidden="1" customHeight="1" x14ac:dyDescent="0.2">
      <c r="AQ294" s="85"/>
      <c r="AR294" s="12">
        <v>1740000</v>
      </c>
      <c r="AS294" s="12">
        <v>2290000</v>
      </c>
      <c r="AT294" s="2"/>
      <c r="AU294" s="2"/>
      <c r="AV294" s="2"/>
      <c r="AW294" s="2"/>
      <c r="AX294" s="2"/>
      <c r="AY294" s="2"/>
      <c r="AZ294" s="2"/>
      <c r="BA294" s="2"/>
      <c r="BB294" s="2"/>
      <c r="BC294" s="2"/>
      <c r="BD294" s="2"/>
      <c r="BE294" s="2"/>
      <c r="BK294" s="2"/>
      <c r="BM294" s="2"/>
      <c r="BN294" s="2"/>
      <c r="BO294" s="2"/>
      <c r="BS294" s="11"/>
      <c r="BT294" s="2"/>
      <c r="BU294" s="3"/>
      <c r="BV294" s="3"/>
      <c r="BW294" s="2"/>
      <c r="BX294" s="2"/>
      <c r="BY294" s="2"/>
      <c r="BZ294" s="2"/>
      <c r="CA294" s="2"/>
      <c r="CB294" s="2"/>
      <c r="CC294" s="2"/>
      <c r="CD294" s="1"/>
      <c r="CE294" s="1"/>
      <c r="CF294" s="1"/>
      <c r="CG294" s="1"/>
      <c r="CH294" s="1"/>
      <c r="CI294" s="2"/>
      <c r="CJ294" s="2"/>
      <c r="CK294" s="2"/>
      <c r="CL294" s="2"/>
      <c r="CM294" s="2"/>
      <c r="CN294" s="2"/>
      <c r="CO294" s="2"/>
      <c r="CP294" s="2"/>
      <c r="CQ294" s="2"/>
      <c r="CR294" s="2"/>
      <c r="CS294" s="2"/>
      <c r="CT294" s="2"/>
      <c r="CU294" s="2"/>
      <c r="CV294" s="2"/>
      <c r="CW294" s="2"/>
      <c r="CX294" s="2"/>
      <c r="CY294" s="2"/>
      <c r="CZ294" s="2"/>
    </row>
    <row r="295" spans="43:104" ht="15" hidden="1" customHeight="1" x14ac:dyDescent="0.2">
      <c r="AQ295" s="12"/>
      <c r="AR295" s="12">
        <v>1745000</v>
      </c>
      <c r="AS295" s="12">
        <v>2300000</v>
      </c>
      <c r="AT295" s="2"/>
      <c r="AU295" s="2"/>
      <c r="AV295" s="2"/>
      <c r="AW295" s="2"/>
      <c r="AX295" s="2"/>
      <c r="AY295" s="2"/>
      <c r="AZ295" s="2"/>
      <c r="BA295" s="2"/>
      <c r="BB295" s="2"/>
      <c r="BC295" s="2"/>
      <c r="BD295" s="2"/>
      <c r="BE295" s="2"/>
      <c r="BK295" s="2"/>
      <c r="BM295" s="2"/>
      <c r="BN295" s="2"/>
      <c r="BO295" s="2"/>
      <c r="BS295" s="11"/>
      <c r="BT295" s="2"/>
      <c r="BU295" s="3"/>
      <c r="BV295" s="3"/>
      <c r="BW295" s="2"/>
      <c r="BX295" s="2"/>
      <c r="BY295" s="2"/>
      <c r="BZ295" s="2"/>
      <c r="CA295" s="2"/>
      <c r="CB295" s="2"/>
      <c r="CC295" s="2"/>
      <c r="CD295" s="1"/>
      <c r="CE295" s="1"/>
      <c r="CF295" s="1"/>
      <c r="CG295" s="1"/>
      <c r="CH295" s="1"/>
      <c r="CI295" s="2"/>
      <c r="CJ295" s="2"/>
      <c r="CK295" s="2"/>
      <c r="CL295" s="2"/>
      <c r="CM295" s="2"/>
      <c r="CN295" s="2"/>
      <c r="CO295" s="2"/>
      <c r="CP295" s="2"/>
      <c r="CQ295" s="2"/>
      <c r="CR295" s="2"/>
      <c r="CS295" s="2"/>
      <c r="CT295" s="2"/>
      <c r="CU295" s="2"/>
      <c r="CV295" s="2"/>
      <c r="CW295" s="2"/>
      <c r="CX295" s="2"/>
      <c r="CY295" s="2"/>
      <c r="CZ295" s="2"/>
    </row>
    <row r="296" spans="43:104" ht="15" hidden="1" customHeight="1" x14ac:dyDescent="0.2">
      <c r="AQ296" s="12"/>
      <c r="AR296" s="12">
        <v>1750000</v>
      </c>
      <c r="AS296" s="12">
        <v>2310000</v>
      </c>
      <c r="AT296" s="2"/>
      <c r="AU296" s="2"/>
      <c r="AV296" s="2"/>
      <c r="AW296" s="2"/>
      <c r="AX296" s="2"/>
      <c r="AY296" s="2"/>
      <c r="AZ296" s="2"/>
      <c r="BA296" s="2"/>
      <c r="BB296" s="2"/>
      <c r="BC296" s="2"/>
      <c r="BD296" s="2"/>
      <c r="BE296" s="2"/>
      <c r="BK296" s="2"/>
      <c r="BM296" s="2"/>
      <c r="BN296" s="2"/>
      <c r="BO296" s="2"/>
      <c r="BS296" s="11"/>
      <c r="BT296" s="2"/>
      <c r="BU296" s="3"/>
      <c r="BV296" s="3"/>
      <c r="BW296" s="2"/>
      <c r="BX296" s="2"/>
      <c r="BY296" s="2"/>
      <c r="BZ296" s="2"/>
      <c r="CA296" s="2"/>
      <c r="CB296" s="2"/>
      <c r="CC296" s="2"/>
      <c r="CD296" s="1"/>
      <c r="CE296" s="1"/>
      <c r="CF296" s="1"/>
      <c r="CG296" s="1"/>
      <c r="CH296" s="1"/>
      <c r="CI296" s="2"/>
      <c r="CJ296" s="2"/>
      <c r="CK296" s="2"/>
      <c r="CL296" s="2"/>
      <c r="CM296" s="2"/>
      <c r="CN296" s="2"/>
      <c r="CO296" s="2"/>
      <c r="CP296" s="2"/>
      <c r="CQ296" s="2"/>
      <c r="CR296" s="2"/>
      <c r="CS296" s="2"/>
      <c r="CT296" s="2"/>
      <c r="CU296" s="2"/>
      <c r="CV296" s="2"/>
      <c r="CW296" s="2"/>
      <c r="CX296" s="2"/>
      <c r="CY296" s="2"/>
      <c r="CZ296" s="2"/>
    </row>
    <row r="297" spans="43:104" ht="15" hidden="1" customHeight="1" x14ac:dyDescent="0.2">
      <c r="AQ297" s="13"/>
      <c r="AR297" s="12">
        <v>1755000</v>
      </c>
      <c r="AS297" s="12">
        <v>2320000</v>
      </c>
      <c r="AT297" s="2"/>
      <c r="AU297" s="2"/>
      <c r="AV297" s="2"/>
      <c r="AW297" s="2"/>
      <c r="AX297" s="2"/>
      <c r="AY297" s="2"/>
      <c r="AZ297" s="2"/>
      <c r="BA297" s="2"/>
      <c r="BB297" s="2"/>
      <c r="BC297" s="2"/>
      <c r="BD297" s="2"/>
      <c r="BE297" s="2"/>
      <c r="BK297" s="2"/>
      <c r="BM297" s="2"/>
      <c r="BN297" s="2"/>
      <c r="BO297" s="2"/>
      <c r="BS297" s="11"/>
      <c r="BT297" s="2"/>
      <c r="BU297" s="3"/>
      <c r="BV297" s="3"/>
      <c r="BW297" s="2"/>
      <c r="BX297" s="2"/>
      <c r="BY297" s="2"/>
      <c r="BZ297" s="2"/>
      <c r="CA297" s="2"/>
      <c r="CB297" s="2"/>
      <c r="CC297" s="2"/>
      <c r="CD297" s="1"/>
      <c r="CE297" s="1"/>
      <c r="CF297" s="1"/>
      <c r="CG297" s="1"/>
      <c r="CH297" s="1"/>
      <c r="CI297" s="2"/>
      <c r="CJ297" s="2"/>
      <c r="CK297" s="2"/>
      <c r="CL297" s="2"/>
      <c r="CM297" s="2"/>
      <c r="CN297" s="2"/>
      <c r="CO297" s="2"/>
      <c r="CP297" s="2"/>
      <c r="CQ297" s="2"/>
      <c r="CR297" s="2"/>
      <c r="CS297" s="2"/>
      <c r="CT297" s="2"/>
      <c r="CU297" s="2"/>
      <c r="CV297" s="2"/>
      <c r="CW297" s="2"/>
      <c r="CX297" s="2"/>
      <c r="CY297" s="2"/>
      <c r="CZ297" s="2"/>
    </row>
    <row r="298" spans="43:104" ht="15" hidden="1" customHeight="1" x14ac:dyDescent="0.2">
      <c r="AQ298" s="13"/>
      <c r="AR298" s="12">
        <v>1760000</v>
      </c>
      <c r="AS298" s="12">
        <v>2330000</v>
      </c>
      <c r="AT298" s="2"/>
      <c r="AU298" s="2"/>
      <c r="AV298" s="2"/>
      <c r="AW298" s="2"/>
      <c r="AX298" s="2"/>
      <c r="AY298" s="2"/>
      <c r="AZ298" s="2"/>
      <c r="BA298" s="2"/>
      <c r="BB298" s="2"/>
      <c r="BC298" s="2"/>
      <c r="BD298" s="2"/>
      <c r="BE298" s="2"/>
      <c r="BK298" s="2"/>
      <c r="BM298" s="2"/>
      <c r="BN298" s="2"/>
      <c r="BO298" s="2"/>
      <c r="BS298" s="11"/>
      <c r="BT298" s="2"/>
      <c r="BU298" s="3"/>
      <c r="BV298" s="3"/>
      <c r="BW298" s="2"/>
      <c r="BX298" s="2"/>
      <c r="BY298" s="2"/>
      <c r="BZ298" s="2"/>
      <c r="CA298" s="2"/>
      <c r="CB298" s="2"/>
      <c r="CC298" s="2"/>
      <c r="CD298" s="1"/>
      <c r="CE298" s="1"/>
      <c r="CF298" s="1"/>
      <c r="CG298" s="1"/>
      <c r="CH298" s="1"/>
      <c r="CI298" s="2"/>
      <c r="CJ298" s="2"/>
      <c r="CK298" s="2"/>
      <c r="CL298" s="2"/>
      <c r="CM298" s="2"/>
      <c r="CN298" s="2"/>
      <c r="CO298" s="2"/>
      <c r="CP298" s="2"/>
      <c r="CQ298" s="2"/>
      <c r="CR298" s="2"/>
      <c r="CS298" s="2"/>
      <c r="CT298" s="2"/>
      <c r="CU298" s="2"/>
      <c r="CV298" s="2"/>
      <c r="CW298" s="2"/>
      <c r="CX298" s="2"/>
      <c r="CY298" s="2"/>
      <c r="CZ298" s="2"/>
    </row>
    <row r="299" spans="43:104" ht="15" hidden="1" customHeight="1" x14ac:dyDescent="0.2">
      <c r="AQ299" s="85"/>
      <c r="AR299" s="12">
        <v>1765000</v>
      </c>
      <c r="AS299" s="12">
        <v>2340000</v>
      </c>
      <c r="AT299" s="2"/>
      <c r="AU299" s="2"/>
      <c r="AV299" s="2"/>
      <c r="AW299" s="2"/>
      <c r="AX299" s="2"/>
      <c r="AY299" s="2"/>
      <c r="AZ299" s="2"/>
      <c r="BA299" s="2"/>
      <c r="BB299" s="2"/>
      <c r="BC299" s="2"/>
      <c r="BD299" s="2"/>
      <c r="BE299" s="2"/>
      <c r="BK299" s="2"/>
      <c r="BM299" s="2"/>
      <c r="BN299" s="2"/>
      <c r="BO299" s="2"/>
      <c r="BS299" s="11"/>
      <c r="BT299" s="2"/>
      <c r="BU299" s="3"/>
      <c r="BV299" s="3"/>
      <c r="BW299" s="2"/>
      <c r="BX299" s="2"/>
      <c r="BY299" s="2"/>
      <c r="BZ299" s="2"/>
      <c r="CA299" s="2"/>
      <c r="CB299" s="2"/>
      <c r="CC299" s="2"/>
      <c r="CD299" s="1"/>
      <c r="CE299" s="1"/>
      <c r="CF299" s="1"/>
      <c r="CG299" s="1"/>
      <c r="CH299" s="1"/>
      <c r="CI299" s="2"/>
      <c r="CJ299" s="2"/>
      <c r="CK299" s="2"/>
      <c r="CL299" s="2"/>
      <c r="CM299" s="2"/>
      <c r="CN299" s="2"/>
      <c r="CO299" s="2"/>
      <c r="CP299" s="2"/>
      <c r="CQ299" s="2"/>
      <c r="CR299" s="2"/>
      <c r="CS299" s="2"/>
      <c r="CT299" s="2"/>
      <c r="CU299" s="2"/>
      <c r="CV299" s="2"/>
      <c r="CW299" s="2"/>
      <c r="CX299" s="2"/>
      <c r="CY299" s="2"/>
      <c r="CZ299" s="2"/>
    </row>
    <row r="300" spans="43:104" ht="15" hidden="1" customHeight="1" x14ac:dyDescent="0.2">
      <c r="AQ300" s="12"/>
      <c r="AR300" s="12">
        <v>1770000</v>
      </c>
      <c r="AS300" s="12">
        <v>2350000</v>
      </c>
      <c r="AT300" s="2"/>
      <c r="AU300" s="2"/>
      <c r="AV300" s="2"/>
      <c r="AW300" s="2"/>
      <c r="AX300" s="2"/>
      <c r="AY300" s="2"/>
      <c r="AZ300" s="2"/>
      <c r="BA300" s="2"/>
      <c r="BB300" s="2"/>
      <c r="BC300" s="2"/>
      <c r="BD300" s="2"/>
      <c r="BE300" s="2"/>
      <c r="BK300" s="2"/>
      <c r="BM300" s="2"/>
      <c r="BN300" s="2"/>
      <c r="BO300" s="2"/>
      <c r="BS300" s="11"/>
      <c r="BT300" s="2"/>
      <c r="BU300" s="3"/>
      <c r="BV300" s="3"/>
      <c r="BW300" s="2"/>
      <c r="BX300" s="2"/>
      <c r="BY300" s="2"/>
      <c r="BZ300" s="2"/>
      <c r="CA300" s="2"/>
      <c r="CB300" s="2"/>
      <c r="CC300" s="2"/>
      <c r="CD300" s="1"/>
      <c r="CE300" s="1"/>
      <c r="CF300" s="1"/>
      <c r="CG300" s="1"/>
      <c r="CH300" s="1"/>
      <c r="CI300" s="2"/>
      <c r="CJ300" s="2"/>
      <c r="CK300" s="2"/>
      <c r="CL300" s="2"/>
      <c r="CM300" s="2"/>
      <c r="CN300" s="2"/>
      <c r="CO300" s="2"/>
      <c r="CP300" s="2"/>
      <c r="CQ300" s="2"/>
      <c r="CR300" s="2"/>
      <c r="CS300" s="2"/>
      <c r="CT300" s="2"/>
      <c r="CU300" s="2"/>
      <c r="CV300" s="2"/>
      <c r="CW300" s="2"/>
      <c r="CX300" s="2"/>
      <c r="CY300" s="2"/>
      <c r="CZ300" s="2"/>
    </row>
    <row r="301" spans="43:104" ht="15" hidden="1" customHeight="1" x14ac:dyDescent="0.2">
      <c r="AQ301" s="12"/>
      <c r="AR301" s="12">
        <v>1775000</v>
      </c>
      <c r="AS301" s="12">
        <v>2360000</v>
      </c>
      <c r="AT301" s="2"/>
      <c r="AU301" s="2"/>
      <c r="AV301" s="2"/>
      <c r="AW301" s="2"/>
      <c r="AX301" s="2"/>
      <c r="AY301" s="2"/>
      <c r="AZ301" s="2"/>
      <c r="BA301" s="2"/>
      <c r="BB301" s="2"/>
      <c r="BC301" s="2"/>
      <c r="BD301" s="2"/>
      <c r="BE301" s="2"/>
      <c r="BK301" s="2"/>
      <c r="BM301" s="2"/>
      <c r="BN301" s="2"/>
      <c r="BO301" s="2"/>
      <c r="BS301" s="11"/>
      <c r="BT301" s="2"/>
      <c r="BU301" s="3"/>
      <c r="BV301" s="3"/>
      <c r="BW301" s="2"/>
      <c r="BX301" s="2"/>
      <c r="BY301" s="2"/>
      <c r="BZ301" s="2"/>
      <c r="CA301" s="2"/>
      <c r="CB301" s="2"/>
      <c r="CC301" s="2"/>
      <c r="CD301" s="1"/>
      <c r="CE301" s="1"/>
      <c r="CF301" s="1"/>
      <c r="CG301" s="1"/>
      <c r="CH301" s="1"/>
      <c r="CI301" s="2"/>
      <c r="CJ301" s="2"/>
      <c r="CK301" s="2"/>
      <c r="CL301" s="2"/>
      <c r="CM301" s="2"/>
      <c r="CN301" s="2"/>
      <c r="CO301" s="2"/>
      <c r="CP301" s="2"/>
      <c r="CQ301" s="2"/>
      <c r="CR301" s="2"/>
      <c r="CS301" s="2"/>
      <c r="CT301" s="2"/>
      <c r="CU301" s="2"/>
      <c r="CV301" s="2"/>
      <c r="CW301" s="2"/>
      <c r="CX301" s="2"/>
      <c r="CY301" s="2"/>
      <c r="CZ301" s="2"/>
    </row>
    <row r="302" spans="43:104" ht="15" hidden="1" customHeight="1" x14ac:dyDescent="0.2">
      <c r="AQ302" s="13"/>
      <c r="AR302" s="12">
        <v>1780000</v>
      </c>
      <c r="AS302" s="12">
        <v>2370000</v>
      </c>
      <c r="AT302" s="2"/>
      <c r="AU302" s="2"/>
      <c r="AV302" s="2"/>
      <c r="AW302" s="2"/>
      <c r="AX302" s="2"/>
      <c r="AY302" s="2"/>
      <c r="AZ302" s="2"/>
      <c r="BA302" s="2"/>
      <c r="BB302" s="2"/>
      <c r="BC302" s="2"/>
      <c r="BD302" s="2"/>
      <c r="BE302" s="2"/>
      <c r="BK302" s="2"/>
      <c r="BM302" s="2"/>
      <c r="BN302" s="2"/>
      <c r="BO302" s="2"/>
      <c r="BS302" s="11"/>
      <c r="BT302" s="2"/>
      <c r="BU302" s="3"/>
      <c r="BV302" s="3"/>
      <c r="BW302" s="2"/>
      <c r="BX302" s="2"/>
      <c r="BY302" s="2"/>
      <c r="BZ302" s="46"/>
      <c r="CA302" s="1"/>
      <c r="CB302" s="1"/>
      <c r="CC302" s="1"/>
      <c r="CD302" s="1"/>
      <c r="CE302" s="1"/>
      <c r="CF302" s="1"/>
      <c r="CG302" s="1"/>
      <c r="CH302" s="1"/>
      <c r="CI302" s="2"/>
      <c r="CJ302" s="2"/>
      <c r="CK302" s="2"/>
      <c r="CL302" s="2"/>
      <c r="CM302" s="2"/>
      <c r="CN302" s="2"/>
      <c r="CO302" s="2"/>
      <c r="CP302" s="2"/>
      <c r="CQ302" s="2"/>
      <c r="CR302" s="2"/>
      <c r="CS302" s="2"/>
      <c r="CT302" s="2"/>
      <c r="CU302" s="2"/>
      <c r="CV302" s="2"/>
      <c r="CW302" s="2"/>
      <c r="CX302" s="2"/>
      <c r="CY302" s="2"/>
      <c r="CZ302" s="2"/>
    </row>
    <row r="303" spans="43:104" ht="15" hidden="1" customHeight="1" x14ac:dyDescent="0.2">
      <c r="AQ303" s="13"/>
      <c r="AR303" s="12">
        <v>1785000</v>
      </c>
      <c r="AS303" s="12">
        <v>2380000</v>
      </c>
      <c r="AT303" s="2"/>
      <c r="AU303" s="2"/>
      <c r="AV303" s="2"/>
      <c r="AW303" s="2"/>
      <c r="AX303" s="2"/>
      <c r="AY303" s="2"/>
      <c r="AZ303" s="2"/>
      <c r="BA303" s="2"/>
      <c r="BB303" s="2"/>
      <c r="BC303" s="2"/>
      <c r="BD303" s="2"/>
      <c r="BE303" s="2"/>
      <c r="BK303" s="2"/>
      <c r="BM303" s="2"/>
      <c r="BN303" s="2"/>
      <c r="BO303" s="2"/>
      <c r="BS303" s="11"/>
      <c r="BT303" s="2"/>
      <c r="BU303" s="3"/>
      <c r="BV303" s="3"/>
      <c r="BW303" s="2"/>
      <c r="BX303" s="2"/>
      <c r="BY303" s="2"/>
      <c r="BZ303" s="2"/>
      <c r="CA303" s="2"/>
      <c r="CB303" s="2"/>
      <c r="CC303" s="2"/>
      <c r="CD303" s="1"/>
      <c r="CE303" s="1"/>
      <c r="CF303" s="1"/>
      <c r="CG303" s="1"/>
      <c r="CH303" s="1"/>
      <c r="CI303" s="2"/>
      <c r="CJ303" s="2"/>
      <c r="CK303" s="2"/>
      <c r="CL303" s="2"/>
      <c r="CM303" s="2"/>
      <c r="CN303" s="2"/>
      <c r="CO303" s="2"/>
      <c r="CP303" s="2"/>
      <c r="CQ303" s="2"/>
      <c r="CR303" s="2"/>
      <c r="CS303" s="2"/>
      <c r="CT303" s="2"/>
      <c r="CU303" s="2"/>
      <c r="CV303" s="2"/>
      <c r="CW303" s="2"/>
      <c r="CX303" s="2"/>
      <c r="CY303" s="2"/>
      <c r="CZ303" s="2"/>
    </row>
    <row r="304" spans="43:104" ht="15" hidden="1" customHeight="1" x14ac:dyDescent="0.2">
      <c r="AQ304" s="85"/>
      <c r="AR304" s="12">
        <v>1790000</v>
      </c>
      <c r="AS304" s="12">
        <v>2390000</v>
      </c>
      <c r="AT304" s="2"/>
      <c r="AU304" s="2"/>
      <c r="AV304" s="2"/>
      <c r="AW304" s="2"/>
      <c r="AX304" s="2"/>
      <c r="AY304" s="2"/>
      <c r="AZ304" s="2"/>
      <c r="BA304" s="2"/>
      <c r="BB304" s="2"/>
      <c r="BC304" s="2"/>
      <c r="BD304" s="2"/>
      <c r="BE304" s="2"/>
      <c r="BK304" s="2"/>
      <c r="BM304" s="2"/>
      <c r="BN304" s="2"/>
      <c r="BO304" s="2"/>
      <c r="BS304" s="11"/>
      <c r="BT304" s="2"/>
      <c r="BU304" s="3"/>
      <c r="BV304" s="3"/>
      <c r="BW304" s="2"/>
      <c r="BX304" s="2"/>
      <c r="BY304" s="2"/>
      <c r="BZ304" s="2"/>
      <c r="CA304" s="2"/>
      <c r="CB304" s="2"/>
      <c r="CC304" s="2"/>
      <c r="CD304" s="1"/>
      <c r="CE304" s="1"/>
      <c r="CF304" s="1"/>
      <c r="CG304" s="1"/>
      <c r="CH304" s="1"/>
      <c r="CI304" s="2"/>
      <c r="CJ304" s="2"/>
      <c r="CK304" s="2"/>
      <c r="CL304" s="2"/>
      <c r="CM304" s="2"/>
      <c r="CN304" s="2"/>
      <c r="CO304" s="2"/>
      <c r="CP304" s="2"/>
      <c r="CQ304" s="2"/>
      <c r="CR304" s="2"/>
      <c r="CS304" s="2"/>
      <c r="CT304" s="2"/>
      <c r="CU304" s="2"/>
      <c r="CV304" s="2"/>
      <c r="CW304" s="2"/>
      <c r="CX304" s="2"/>
      <c r="CY304" s="2"/>
      <c r="CZ304" s="2"/>
    </row>
    <row r="305" spans="43:104" ht="15" hidden="1" customHeight="1" x14ac:dyDescent="0.2">
      <c r="AQ305" s="12"/>
      <c r="AR305" s="12">
        <v>1795000</v>
      </c>
      <c r="AS305" s="12">
        <v>2400000</v>
      </c>
      <c r="AT305" s="2"/>
      <c r="AU305" s="2"/>
      <c r="AV305" s="2"/>
      <c r="AW305" s="2"/>
      <c r="AX305" s="2"/>
      <c r="AY305" s="2"/>
      <c r="AZ305" s="2"/>
      <c r="BA305" s="2"/>
      <c r="BB305" s="2"/>
      <c r="BC305" s="2"/>
      <c r="BD305" s="2"/>
      <c r="BE305" s="2"/>
      <c r="BK305" s="2"/>
      <c r="BM305" s="2"/>
      <c r="BN305" s="2"/>
      <c r="BO305" s="2"/>
      <c r="BS305" s="11"/>
      <c r="BT305" s="2"/>
      <c r="BU305" s="3"/>
      <c r="BV305" s="3"/>
      <c r="BW305" s="2"/>
      <c r="BX305" s="2"/>
      <c r="BY305" s="2"/>
      <c r="BZ305" s="2"/>
      <c r="CA305" s="2"/>
      <c r="CB305" s="2"/>
      <c r="CC305" s="2"/>
      <c r="CD305" s="1"/>
      <c r="CE305" s="1"/>
      <c r="CF305" s="1"/>
      <c r="CG305" s="1"/>
      <c r="CH305" s="1"/>
      <c r="CI305" s="2"/>
      <c r="CJ305" s="2"/>
      <c r="CK305" s="2"/>
      <c r="CL305" s="2"/>
      <c r="CM305" s="2"/>
      <c r="CN305" s="2"/>
      <c r="CO305" s="2"/>
      <c r="CP305" s="2"/>
      <c r="CQ305" s="2"/>
      <c r="CR305" s="2"/>
      <c r="CS305" s="2"/>
      <c r="CT305" s="2"/>
      <c r="CU305" s="2"/>
      <c r="CV305" s="2"/>
      <c r="CW305" s="2"/>
      <c r="CX305" s="2"/>
      <c r="CY305" s="2"/>
      <c r="CZ305" s="2"/>
    </row>
    <row r="306" spans="43:104" ht="15" hidden="1" customHeight="1" x14ac:dyDescent="0.2">
      <c r="AQ306" s="12"/>
      <c r="AR306" s="12">
        <v>1800000</v>
      </c>
      <c r="AS306" s="12">
        <v>2410000</v>
      </c>
      <c r="AT306" s="2"/>
      <c r="AU306" s="2"/>
      <c r="AV306" s="2"/>
      <c r="AW306" s="2"/>
      <c r="AX306" s="2"/>
      <c r="AY306" s="2"/>
      <c r="AZ306" s="2"/>
      <c r="BA306" s="2"/>
      <c r="BB306" s="2"/>
      <c r="BC306" s="2"/>
      <c r="BD306" s="2"/>
      <c r="BE306" s="2"/>
      <c r="BK306" s="2"/>
      <c r="BM306" s="2"/>
      <c r="BN306" s="2"/>
      <c r="BO306" s="2"/>
      <c r="BS306" s="11"/>
      <c r="BT306" s="2"/>
      <c r="BU306" s="3"/>
      <c r="BV306" s="3"/>
      <c r="BW306" s="2"/>
      <c r="BX306" s="2"/>
      <c r="BY306" s="2"/>
      <c r="BZ306" s="2"/>
      <c r="CA306" s="2"/>
      <c r="CB306" s="2"/>
      <c r="CC306" s="2"/>
      <c r="CD306" s="1"/>
      <c r="CE306" s="1"/>
      <c r="CF306" s="1"/>
      <c r="CG306" s="1"/>
      <c r="CH306" s="1"/>
      <c r="CI306" s="2"/>
      <c r="CJ306" s="2"/>
      <c r="CK306" s="2"/>
      <c r="CL306" s="2"/>
      <c r="CM306" s="2"/>
      <c r="CN306" s="2"/>
      <c r="CO306" s="2"/>
      <c r="CP306" s="2"/>
      <c r="CQ306" s="2"/>
      <c r="CR306" s="2"/>
      <c r="CS306" s="2"/>
      <c r="CT306" s="2"/>
      <c r="CU306" s="2"/>
      <c r="CV306" s="2"/>
      <c r="CW306" s="2"/>
      <c r="CX306" s="2"/>
      <c r="CY306" s="2"/>
      <c r="CZ306" s="2"/>
    </row>
    <row r="307" spans="43:104" ht="15" hidden="1" customHeight="1" x14ac:dyDescent="0.2">
      <c r="AQ307" s="13"/>
      <c r="AR307" s="12">
        <v>1805000</v>
      </c>
      <c r="AS307" s="12">
        <v>2420000</v>
      </c>
      <c r="AT307" s="2"/>
      <c r="AU307" s="2"/>
      <c r="AV307" s="2"/>
      <c r="AW307" s="2"/>
      <c r="AX307" s="2"/>
      <c r="AY307" s="2"/>
      <c r="AZ307" s="2"/>
      <c r="BA307" s="2"/>
      <c r="BB307" s="2"/>
      <c r="BC307" s="2"/>
      <c r="BD307" s="2"/>
      <c r="BE307" s="2"/>
      <c r="BK307" s="2"/>
      <c r="BM307" s="2"/>
      <c r="BN307" s="2"/>
      <c r="BO307" s="2"/>
      <c r="BS307" s="11"/>
      <c r="BT307" s="2"/>
      <c r="BU307" s="3"/>
      <c r="BV307" s="3"/>
      <c r="BW307" s="2"/>
      <c r="BX307" s="2"/>
      <c r="BY307" s="2"/>
      <c r="BZ307" s="2"/>
      <c r="CA307" s="2"/>
      <c r="CB307" s="2"/>
      <c r="CC307" s="2"/>
      <c r="CD307" s="1"/>
      <c r="CE307" s="1"/>
      <c r="CF307" s="1"/>
      <c r="CG307" s="1"/>
      <c r="CH307" s="1"/>
      <c r="CI307" s="2"/>
      <c r="CJ307" s="2"/>
      <c r="CK307" s="2"/>
      <c r="CL307" s="2"/>
      <c r="CM307" s="2"/>
      <c r="CN307" s="2"/>
      <c r="CO307" s="2"/>
      <c r="CP307" s="2"/>
      <c r="CQ307" s="2"/>
      <c r="CR307" s="2"/>
      <c r="CS307" s="2"/>
      <c r="CT307" s="2"/>
      <c r="CU307" s="2"/>
      <c r="CV307" s="2"/>
      <c r="CW307" s="2"/>
      <c r="CX307" s="2"/>
      <c r="CY307" s="2"/>
      <c r="CZ307" s="2"/>
    </row>
    <row r="308" spans="43:104" ht="15" hidden="1" customHeight="1" x14ac:dyDescent="0.2">
      <c r="AQ308" s="13"/>
      <c r="AR308" s="12">
        <v>1810000</v>
      </c>
      <c r="AS308" s="12">
        <v>2430000</v>
      </c>
      <c r="AT308" s="2"/>
      <c r="AU308" s="2"/>
      <c r="AV308" s="2"/>
      <c r="AW308" s="2"/>
      <c r="AX308" s="2"/>
      <c r="AY308" s="2"/>
      <c r="AZ308" s="2"/>
      <c r="BA308" s="2"/>
      <c r="BB308" s="2"/>
      <c r="BC308" s="2"/>
      <c r="BD308" s="2"/>
      <c r="BE308" s="2"/>
      <c r="BK308" s="2"/>
      <c r="BM308" s="2"/>
      <c r="BN308" s="2"/>
      <c r="BO308" s="2"/>
      <c r="BS308" s="11"/>
      <c r="BT308" s="2"/>
      <c r="BU308" s="3"/>
      <c r="BV308" s="3"/>
      <c r="BW308" s="2"/>
      <c r="BX308" s="2"/>
      <c r="BY308" s="2"/>
      <c r="BZ308" s="2"/>
      <c r="CA308" s="2"/>
      <c r="CB308" s="2"/>
      <c r="CC308" s="2"/>
      <c r="CD308" s="1"/>
      <c r="CE308" s="1"/>
      <c r="CF308" s="1"/>
      <c r="CG308" s="1"/>
      <c r="CH308" s="1"/>
      <c r="CI308" s="2"/>
      <c r="CJ308" s="2"/>
      <c r="CK308" s="2"/>
      <c r="CL308" s="2"/>
      <c r="CM308" s="2"/>
      <c r="CN308" s="2"/>
      <c r="CO308" s="2"/>
      <c r="CP308" s="2"/>
      <c r="CQ308" s="2"/>
      <c r="CR308" s="2"/>
      <c r="CS308" s="2"/>
      <c r="CT308" s="2"/>
      <c r="CU308" s="2"/>
      <c r="CV308" s="2"/>
      <c r="CW308" s="2"/>
      <c r="CX308" s="2"/>
      <c r="CY308" s="2"/>
      <c r="CZ308" s="2"/>
    </row>
    <row r="309" spans="43:104" ht="15" hidden="1" customHeight="1" x14ac:dyDescent="0.2">
      <c r="AQ309" s="85"/>
      <c r="AR309" s="12">
        <v>1815000</v>
      </c>
      <c r="AS309" s="12">
        <v>2440000</v>
      </c>
      <c r="AT309" s="2"/>
      <c r="AU309" s="2"/>
      <c r="AV309" s="2"/>
      <c r="AW309" s="2"/>
      <c r="AX309" s="2"/>
      <c r="AY309" s="2"/>
      <c r="AZ309" s="2"/>
      <c r="BA309" s="2"/>
      <c r="BB309" s="2"/>
      <c r="BC309" s="2"/>
      <c r="BD309" s="2"/>
      <c r="BE309" s="2"/>
      <c r="BK309" s="2"/>
      <c r="BM309" s="2"/>
      <c r="BN309" s="2"/>
      <c r="BO309" s="2"/>
      <c r="BS309" s="11"/>
      <c r="BT309" s="2"/>
      <c r="BU309" s="3"/>
      <c r="BV309" s="3"/>
      <c r="BW309" s="2"/>
      <c r="BX309" s="2"/>
      <c r="BY309" s="2"/>
      <c r="BZ309" s="2"/>
      <c r="CA309" s="2"/>
      <c r="CB309" s="2"/>
      <c r="CC309" s="2"/>
      <c r="CD309" s="1"/>
      <c r="CE309" s="1"/>
      <c r="CF309" s="1"/>
      <c r="CG309" s="1"/>
      <c r="CH309" s="1"/>
      <c r="CI309" s="2"/>
      <c r="CJ309" s="2"/>
      <c r="CK309" s="2"/>
      <c r="CL309" s="2"/>
      <c r="CM309" s="2"/>
      <c r="CN309" s="2"/>
      <c r="CO309" s="2"/>
      <c r="CP309" s="2"/>
      <c r="CQ309" s="2"/>
      <c r="CR309" s="2"/>
      <c r="CS309" s="2"/>
      <c r="CT309" s="2"/>
      <c r="CU309" s="2"/>
      <c r="CV309" s="2"/>
      <c r="CW309" s="2"/>
      <c r="CX309" s="2"/>
      <c r="CY309" s="2"/>
      <c r="CZ309" s="2"/>
    </row>
    <row r="310" spans="43:104" ht="15" hidden="1" customHeight="1" x14ac:dyDescent="0.2">
      <c r="AQ310" s="12"/>
      <c r="AR310" s="12">
        <v>1820000</v>
      </c>
      <c r="AS310" s="12">
        <v>2450000</v>
      </c>
      <c r="AT310" s="2"/>
      <c r="AU310" s="2"/>
      <c r="AV310" s="2"/>
      <c r="AW310" s="2"/>
      <c r="AX310" s="2"/>
      <c r="AY310" s="2"/>
      <c r="AZ310" s="2"/>
      <c r="BA310" s="2"/>
      <c r="BB310" s="2"/>
      <c r="BC310" s="2"/>
      <c r="BD310" s="2"/>
      <c r="BE310" s="2"/>
      <c r="BK310" s="2"/>
      <c r="BM310" s="2"/>
      <c r="BN310" s="2"/>
      <c r="BO310" s="2"/>
      <c r="BS310" s="11"/>
      <c r="BT310" s="2"/>
      <c r="BU310" s="3"/>
      <c r="BV310" s="3"/>
      <c r="BW310" s="2"/>
      <c r="BX310" s="2"/>
      <c r="BY310" s="2"/>
      <c r="BZ310" s="2"/>
      <c r="CA310" s="2"/>
      <c r="CB310" s="2"/>
      <c r="CC310" s="2"/>
      <c r="CD310" s="1"/>
      <c r="CE310" s="1"/>
      <c r="CF310" s="1"/>
      <c r="CG310" s="1"/>
      <c r="CH310" s="1"/>
      <c r="CI310" s="2"/>
      <c r="CJ310" s="2"/>
      <c r="CK310" s="2"/>
      <c r="CL310" s="2"/>
      <c r="CM310" s="2"/>
      <c r="CN310" s="2"/>
      <c r="CO310" s="2"/>
      <c r="CP310" s="2"/>
      <c r="CQ310" s="2"/>
      <c r="CR310" s="2"/>
      <c r="CS310" s="2"/>
      <c r="CT310" s="2"/>
      <c r="CU310" s="2"/>
      <c r="CV310" s="2"/>
      <c r="CW310" s="2"/>
      <c r="CX310" s="2"/>
      <c r="CY310" s="2"/>
      <c r="CZ310" s="2"/>
    </row>
    <row r="311" spans="43:104" ht="15" hidden="1" customHeight="1" x14ac:dyDescent="0.2">
      <c r="AQ311" s="12"/>
      <c r="AR311" s="12">
        <v>1825000</v>
      </c>
      <c r="AS311" s="12">
        <v>2460000</v>
      </c>
      <c r="AT311" s="2"/>
      <c r="AU311" s="2"/>
      <c r="AV311" s="2"/>
      <c r="AW311" s="2"/>
      <c r="AX311" s="2"/>
      <c r="AY311" s="2"/>
      <c r="AZ311" s="2"/>
      <c r="BA311" s="2"/>
      <c r="BB311" s="2"/>
      <c r="BC311" s="2"/>
      <c r="BD311" s="2"/>
      <c r="BE311" s="2"/>
      <c r="BK311" s="2"/>
      <c r="BM311" s="2"/>
      <c r="BN311" s="2"/>
      <c r="BO311" s="2"/>
      <c r="BS311" s="11"/>
      <c r="BT311" s="2"/>
      <c r="BU311" s="3"/>
      <c r="BV311" s="3"/>
      <c r="BW311" s="2"/>
      <c r="BX311" s="2"/>
      <c r="BY311" s="2"/>
      <c r="BZ311" s="2"/>
      <c r="CA311" s="2"/>
      <c r="CB311" s="2"/>
      <c r="CC311" s="2"/>
      <c r="CD311" s="1"/>
      <c r="CE311" s="1"/>
      <c r="CF311" s="1"/>
      <c r="CG311" s="1"/>
      <c r="CH311" s="1"/>
      <c r="CI311" s="2"/>
      <c r="CJ311" s="2"/>
      <c r="CK311" s="2"/>
      <c r="CL311" s="2"/>
      <c r="CM311" s="2"/>
      <c r="CN311" s="2"/>
      <c r="CO311" s="2"/>
      <c r="CP311" s="2"/>
      <c r="CQ311" s="2"/>
      <c r="CR311" s="2"/>
      <c r="CS311" s="2"/>
      <c r="CT311" s="2"/>
      <c r="CU311" s="2"/>
      <c r="CV311" s="2"/>
      <c r="CW311" s="2"/>
      <c r="CX311" s="2"/>
      <c r="CY311" s="2"/>
      <c r="CZ311" s="2"/>
    </row>
    <row r="312" spans="43:104" ht="15" hidden="1" customHeight="1" x14ac:dyDescent="0.2">
      <c r="AQ312" s="13"/>
      <c r="AR312" s="12">
        <v>1830000</v>
      </c>
      <c r="AS312" s="12">
        <v>2470000</v>
      </c>
      <c r="AT312" s="2"/>
      <c r="AU312" s="2"/>
      <c r="AV312" s="2"/>
      <c r="AW312" s="2"/>
      <c r="AX312" s="2"/>
      <c r="AY312" s="2"/>
      <c r="AZ312" s="2"/>
      <c r="BA312" s="2"/>
      <c r="BB312" s="2"/>
      <c r="BC312" s="2"/>
      <c r="BD312" s="2"/>
      <c r="BE312" s="2"/>
      <c r="BK312" s="2"/>
      <c r="BM312" s="2"/>
      <c r="BN312" s="2"/>
      <c r="BO312" s="2"/>
      <c r="BS312" s="11"/>
      <c r="BT312" s="2"/>
      <c r="BU312" s="3"/>
      <c r="BV312" s="3"/>
      <c r="BW312" s="2"/>
      <c r="BX312" s="2"/>
      <c r="BY312" s="2"/>
      <c r="BZ312" s="2"/>
      <c r="CA312" s="2"/>
      <c r="CB312" s="2"/>
      <c r="CC312" s="2"/>
      <c r="CD312" s="1"/>
      <c r="CE312" s="1"/>
      <c r="CF312" s="1"/>
      <c r="CG312" s="1"/>
      <c r="CH312" s="1"/>
      <c r="CI312" s="2"/>
      <c r="CJ312" s="2"/>
      <c r="CK312" s="2"/>
      <c r="CL312" s="2"/>
      <c r="CM312" s="2"/>
      <c r="CN312" s="2"/>
      <c r="CO312" s="2"/>
      <c r="CP312" s="2"/>
      <c r="CQ312" s="2"/>
      <c r="CR312" s="2"/>
      <c r="CS312" s="2"/>
      <c r="CT312" s="2"/>
      <c r="CU312" s="2"/>
      <c r="CV312" s="2"/>
      <c r="CW312" s="2"/>
      <c r="CX312" s="2"/>
      <c r="CY312" s="2"/>
      <c r="CZ312" s="2"/>
    </row>
    <row r="313" spans="43:104" ht="15" hidden="1" customHeight="1" x14ac:dyDescent="0.2">
      <c r="AQ313" s="13"/>
      <c r="AR313" s="12">
        <v>1835000</v>
      </c>
      <c r="AS313" s="12">
        <v>2480000</v>
      </c>
      <c r="AT313" s="2"/>
      <c r="AU313" s="2"/>
      <c r="AV313" s="2"/>
      <c r="AW313" s="2"/>
      <c r="AX313" s="2"/>
      <c r="AY313" s="2"/>
      <c r="AZ313" s="2"/>
      <c r="BA313" s="2"/>
      <c r="BB313" s="2"/>
      <c r="BC313" s="2"/>
      <c r="BD313" s="2"/>
      <c r="BE313" s="2"/>
      <c r="BK313" s="2"/>
      <c r="BM313" s="2"/>
      <c r="BN313" s="2"/>
      <c r="BO313" s="2"/>
      <c r="BS313" s="11"/>
      <c r="BT313" s="2"/>
      <c r="BU313" s="3"/>
      <c r="BV313" s="3"/>
      <c r="BW313" s="2"/>
      <c r="BX313" s="2"/>
      <c r="BY313" s="2"/>
      <c r="BZ313" s="2"/>
      <c r="CA313" s="2"/>
      <c r="CB313" s="2"/>
      <c r="CC313" s="2"/>
      <c r="CD313" s="1"/>
      <c r="CE313" s="1"/>
      <c r="CF313" s="1"/>
      <c r="CG313" s="1"/>
      <c r="CH313" s="1"/>
      <c r="CI313" s="2"/>
      <c r="CJ313" s="2"/>
      <c r="CK313" s="2"/>
      <c r="CL313" s="2"/>
      <c r="CM313" s="2"/>
      <c r="CN313" s="2"/>
      <c r="CO313" s="2"/>
      <c r="CP313" s="2"/>
      <c r="CQ313" s="2"/>
      <c r="CR313" s="2"/>
      <c r="CS313" s="2"/>
      <c r="CT313" s="2"/>
      <c r="CU313" s="2"/>
      <c r="CV313" s="2"/>
      <c r="CW313" s="2"/>
      <c r="CX313" s="2"/>
      <c r="CY313" s="2"/>
      <c r="CZ313" s="2"/>
    </row>
    <row r="314" spans="43:104" ht="15" hidden="1" customHeight="1" x14ac:dyDescent="0.2">
      <c r="AQ314" s="85"/>
      <c r="AR314" s="12">
        <v>1840000</v>
      </c>
      <c r="AS314" s="12">
        <v>2490000</v>
      </c>
      <c r="AT314" s="2"/>
      <c r="AU314" s="2"/>
      <c r="AV314" s="2"/>
      <c r="AW314" s="2"/>
      <c r="AX314" s="2"/>
      <c r="AY314" s="2"/>
      <c r="AZ314" s="2"/>
      <c r="BA314" s="2"/>
      <c r="BB314" s="2"/>
      <c r="BC314" s="2"/>
      <c r="BD314" s="2"/>
      <c r="BE314" s="2"/>
      <c r="BK314" s="2"/>
      <c r="BM314" s="2"/>
      <c r="BN314" s="2"/>
      <c r="BO314" s="2"/>
      <c r="BS314" s="11"/>
      <c r="BT314" s="2"/>
      <c r="BU314" s="3"/>
      <c r="BV314" s="3"/>
      <c r="BW314" s="2"/>
      <c r="BX314" s="2"/>
      <c r="BY314" s="2"/>
      <c r="BZ314" s="46"/>
      <c r="CA314" s="1"/>
      <c r="CB314" s="1"/>
      <c r="CC314" s="1"/>
      <c r="CD314" s="1"/>
      <c r="CE314" s="1"/>
      <c r="CF314" s="1"/>
      <c r="CG314" s="1"/>
      <c r="CH314" s="1"/>
      <c r="CI314" s="2"/>
      <c r="CJ314" s="2"/>
      <c r="CK314" s="2"/>
      <c r="CL314" s="2"/>
      <c r="CM314" s="2"/>
      <c r="CN314" s="2"/>
      <c r="CO314" s="2"/>
      <c r="CP314" s="2"/>
      <c r="CQ314" s="2"/>
      <c r="CR314" s="2"/>
      <c r="CS314" s="2"/>
      <c r="CT314" s="2"/>
      <c r="CU314" s="2"/>
      <c r="CV314" s="2"/>
      <c r="CW314" s="2"/>
      <c r="CX314" s="2"/>
      <c r="CY314" s="2"/>
      <c r="CZ314" s="2"/>
    </row>
    <row r="315" spans="43:104" ht="15" hidden="1" customHeight="1" x14ac:dyDescent="0.2">
      <c r="AQ315" s="12"/>
      <c r="AR315" s="12">
        <v>1845000</v>
      </c>
      <c r="AS315" s="12">
        <v>2500000</v>
      </c>
      <c r="AT315" s="2"/>
      <c r="AU315" s="2"/>
      <c r="AV315" s="2"/>
      <c r="AW315" s="2"/>
      <c r="AX315" s="2"/>
      <c r="AY315" s="2"/>
      <c r="AZ315" s="2"/>
      <c r="BA315" s="2"/>
      <c r="BB315" s="2"/>
      <c r="BC315" s="2"/>
      <c r="BD315" s="2"/>
      <c r="BE315" s="2"/>
      <c r="BK315" s="2"/>
      <c r="BM315" s="2"/>
      <c r="BN315" s="2"/>
      <c r="BO315" s="2"/>
      <c r="BS315" s="11"/>
      <c r="BT315" s="2"/>
      <c r="BU315" s="3"/>
      <c r="BV315" s="3"/>
      <c r="BW315" s="2"/>
      <c r="BX315" s="2"/>
      <c r="BY315" s="2"/>
      <c r="BZ315" s="2"/>
      <c r="CA315" s="2"/>
      <c r="CB315" s="2"/>
      <c r="CC315" s="2"/>
      <c r="CD315" s="1"/>
      <c r="CE315" s="1"/>
      <c r="CF315" s="1"/>
      <c r="CG315" s="1"/>
      <c r="CH315" s="1"/>
      <c r="CI315" s="2"/>
      <c r="CJ315" s="2"/>
      <c r="CK315" s="2"/>
      <c r="CL315" s="2"/>
      <c r="CM315" s="2"/>
      <c r="CN315" s="2"/>
      <c r="CO315" s="2"/>
      <c r="CP315" s="2"/>
      <c r="CQ315" s="2"/>
      <c r="CR315" s="2"/>
      <c r="CS315" s="2"/>
      <c r="CT315" s="2"/>
      <c r="CU315" s="2"/>
      <c r="CV315" s="2"/>
      <c r="CW315" s="2"/>
      <c r="CX315" s="2"/>
      <c r="CY315" s="2"/>
      <c r="CZ315" s="2"/>
    </row>
    <row r="316" spans="43:104" ht="15" hidden="1" customHeight="1" x14ac:dyDescent="0.2">
      <c r="AQ316" s="12"/>
      <c r="AR316" s="12">
        <v>1850000</v>
      </c>
      <c r="AS316" s="12">
        <v>2510000</v>
      </c>
      <c r="AT316" s="2"/>
      <c r="AU316" s="2"/>
      <c r="AV316" s="2"/>
      <c r="AW316" s="2"/>
      <c r="AX316" s="2"/>
      <c r="AY316" s="2"/>
      <c r="AZ316" s="2"/>
      <c r="BA316" s="2"/>
      <c r="BB316" s="2"/>
      <c r="BC316" s="2"/>
      <c r="BD316" s="2"/>
      <c r="BE316" s="2"/>
      <c r="BK316" s="2"/>
      <c r="BM316" s="2"/>
      <c r="BN316" s="2"/>
      <c r="BO316" s="2"/>
      <c r="BS316" s="11"/>
      <c r="BT316" s="2"/>
      <c r="BU316" s="3"/>
      <c r="BV316" s="3"/>
      <c r="BW316" s="2"/>
      <c r="BX316" s="2"/>
      <c r="BY316" s="2"/>
      <c r="BZ316" s="2"/>
      <c r="CA316" s="2"/>
      <c r="CB316" s="2"/>
      <c r="CC316" s="2"/>
      <c r="CD316" s="1"/>
      <c r="CE316" s="1"/>
      <c r="CF316" s="1"/>
      <c r="CG316" s="1"/>
      <c r="CH316" s="1"/>
      <c r="CI316" s="2"/>
      <c r="CJ316" s="2"/>
      <c r="CK316" s="2"/>
      <c r="CL316" s="2"/>
      <c r="CM316" s="2"/>
      <c r="CN316" s="2"/>
      <c r="CO316" s="2"/>
      <c r="CP316" s="2"/>
      <c r="CQ316" s="2"/>
      <c r="CR316" s="2"/>
      <c r="CS316" s="2"/>
      <c r="CT316" s="2"/>
      <c r="CU316" s="2"/>
      <c r="CV316" s="2"/>
      <c r="CW316" s="2"/>
      <c r="CX316" s="2"/>
      <c r="CY316" s="2"/>
      <c r="CZ316" s="2"/>
    </row>
    <row r="317" spans="43:104" ht="15" hidden="1" customHeight="1" x14ac:dyDescent="0.2">
      <c r="AQ317" s="13"/>
      <c r="AR317" s="12">
        <v>1855000</v>
      </c>
      <c r="AS317" s="12">
        <v>2520000</v>
      </c>
      <c r="AT317" s="2"/>
      <c r="AU317" s="2"/>
      <c r="AV317" s="2"/>
      <c r="AW317" s="2"/>
      <c r="AX317" s="2"/>
      <c r="AY317" s="2"/>
      <c r="AZ317" s="2"/>
      <c r="BA317" s="2"/>
      <c r="BB317" s="2"/>
      <c r="BC317" s="2"/>
      <c r="BD317" s="2"/>
      <c r="BE317" s="2"/>
      <c r="BK317" s="2"/>
      <c r="BM317" s="2"/>
      <c r="BN317" s="2"/>
      <c r="BO317" s="2"/>
      <c r="BS317" s="11"/>
      <c r="BT317" s="2"/>
      <c r="BU317" s="3"/>
      <c r="BV317" s="3"/>
      <c r="BW317" s="2"/>
      <c r="BX317" s="2"/>
      <c r="BY317" s="2"/>
      <c r="BZ317" s="2"/>
      <c r="CA317" s="2"/>
      <c r="CB317" s="2"/>
      <c r="CC317" s="2"/>
      <c r="CD317" s="1"/>
      <c r="CE317" s="1"/>
      <c r="CF317" s="1"/>
      <c r="CG317" s="1"/>
      <c r="CH317" s="1"/>
      <c r="CI317" s="2"/>
      <c r="CJ317" s="2"/>
      <c r="CK317" s="2"/>
      <c r="CL317" s="2"/>
      <c r="CM317" s="2"/>
      <c r="CN317" s="2"/>
      <c r="CO317" s="2"/>
      <c r="CP317" s="2"/>
      <c r="CQ317" s="2"/>
      <c r="CR317" s="2"/>
      <c r="CS317" s="2"/>
      <c r="CT317" s="2"/>
      <c r="CU317" s="2"/>
      <c r="CV317" s="2"/>
      <c r="CW317" s="2"/>
      <c r="CX317" s="2"/>
      <c r="CY317" s="2"/>
      <c r="CZ317" s="2"/>
    </row>
    <row r="318" spans="43:104" ht="15" hidden="1" customHeight="1" x14ac:dyDescent="0.2">
      <c r="AQ318" s="13"/>
      <c r="AR318" s="12">
        <v>1860000</v>
      </c>
      <c r="AS318" s="12">
        <v>2530000</v>
      </c>
      <c r="AT318" s="2"/>
      <c r="AU318" s="2"/>
      <c r="AV318" s="2"/>
      <c r="AW318" s="2"/>
      <c r="AX318" s="2"/>
      <c r="AY318" s="2"/>
      <c r="AZ318" s="2"/>
      <c r="BA318" s="2"/>
      <c r="BB318" s="2"/>
      <c r="BC318" s="2"/>
      <c r="BD318" s="2"/>
      <c r="BE318" s="2"/>
      <c r="BK318" s="2"/>
      <c r="BM318" s="2"/>
      <c r="BN318" s="2"/>
      <c r="BO318" s="2"/>
      <c r="BS318" s="11"/>
      <c r="BT318" s="2"/>
      <c r="BU318" s="3"/>
      <c r="BV318" s="3"/>
      <c r="BW318" s="2"/>
      <c r="BX318" s="2"/>
      <c r="BY318" s="2"/>
      <c r="BZ318" s="2"/>
      <c r="CA318" s="2"/>
      <c r="CB318" s="2"/>
      <c r="CC318" s="2"/>
      <c r="CD318" s="1"/>
      <c r="CE318" s="1"/>
      <c r="CF318" s="1"/>
      <c r="CG318" s="1"/>
      <c r="CH318" s="1"/>
      <c r="CI318" s="2"/>
      <c r="CJ318" s="2"/>
      <c r="CK318" s="2"/>
      <c r="CL318" s="2"/>
      <c r="CM318" s="2"/>
      <c r="CN318" s="2"/>
      <c r="CO318" s="2"/>
      <c r="CP318" s="2"/>
      <c r="CQ318" s="2"/>
      <c r="CR318" s="2"/>
      <c r="CS318" s="2"/>
      <c r="CT318" s="2"/>
      <c r="CU318" s="2"/>
      <c r="CV318" s="2"/>
      <c r="CW318" s="2"/>
      <c r="CX318" s="2"/>
      <c r="CY318" s="2"/>
      <c r="CZ318" s="2"/>
    </row>
    <row r="319" spans="43:104" ht="15" hidden="1" customHeight="1" x14ac:dyDescent="0.2">
      <c r="AQ319" s="85"/>
      <c r="AR319" s="12">
        <v>1865000</v>
      </c>
      <c r="AS319" s="12">
        <v>2540000</v>
      </c>
      <c r="AT319" s="2"/>
      <c r="AU319" s="2"/>
      <c r="AV319" s="2"/>
      <c r="AW319" s="2"/>
      <c r="AX319" s="2"/>
      <c r="AY319" s="2"/>
      <c r="AZ319" s="2"/>
      <c r="BA319" s="2"/>
      <c r="BB319" s="2"/>
      <c r="BC319" s="2"/>
      <c r="BD319" s="2"/>
      <c r="BE319" s="2"/>
      <c r="BK319" s="2"/>
      <c r="BM319" s="2"/>
      <c r="BN319" s="2"/>
      <c r="BO319" s="2"/>
      <c r="BS319" s="11"/>
      <c r="BT319" s="2"/>
      <c r="BU319" s="3"/>
      <c r="BV319" s="3"/>
      <c r="BW319" s="2"/>
      <c r="BX319" s="2"/>
      <c r="BY319" s="2"/>
      <c r="BZ319" s="2"/>
      <c r="CA319" s="2"/>
      <c r="CB319" s="2"/>
      <c r="CC319" s="2"/>
      <c r="CD319" s="1"/>
      <c r="CE319" s="1"/>
      <c r="CF319" s="1"/>
      <c r="CG319" s="1"/>
      <c r="CH319" s="1"/>
      <c r="CI319" s="2"/>
      <c r="CJ319" s="2"/>
      <c r="CK319" s="2"/>
      <c r="CL319" s="2"/>
      <c r="CM319" s="2"/>
      <c r="CN319" s="2"/>
      <c r="CO319" s="2"/>
      <c r="CP319" s="2"/>
      <c r="CQ319" s="2"/>
      <c r="CR319" s="2"/>
      <c r="CS319" s="2"/>
      <c r="CT319" s="2"/>
      <c r="CU319" s="2"/>
      <c r="CV319" s="2"/>
      <c r="CW319" s="2"/>
      <c r="CX319" s="2"/>
      <c r="CY319" s="2"/>
      <c r="CZ319" s="2"/>
    </row>
    <row r="320" spans="43:104" ht="15" hidden="1" customHeight="1" x14ac:dyDescent="0.2">
      <c r="AQ320" s="12"/>
      <c r="AR320" s="12">
        <v>1870000</v>
      </c>
      <c r="AS320" s="12">
        <v>2550000</v>
      </c>
      <c r="AT320" s="2"/>
      <c r="AU320" s="2"/>
      <c r="AV320" s="2"/>
      <c r="AW320" s="2"/>
      <c r="AX320" s="2"/>
      <c r="AY320" s="2"/>
      <c r="AZ320" s="2"/>
      <c r="BA320" s="2"/>
      <c r="BB320" s="2"/>
      <c r="BC320" s="2"/>
      <c r="BD320" s="2"/>
      <c r="BE320" s="2"/>
      <c r="BK320" s="2"/>
      <c r="BM320" s="2"/>
      <c r="BN320" s="2"/>
      <c r="BO320" s="2"/>
      <c r="BS320" s="11"/>
      <c r="BT320" s="2"/>
      <c r="BU320" s="3"/>
      <c r="BV320" s="3"/>
      <c r="BW320" s="2"/>
      <c r="BX320" s="2"/>
      <c r="BY320" s="2"/>
      <c r="BZ320" s="2"/>
      <c r="CA320" s="2"/>
      <c r="CB320" s="2"/>
      <c r="CC320" s="2"/>
      <c r="CD320" s="1"/>
      <c r="CE320" s="1"/>
      <c r="CF320" s="1"/>
      <c r="CG320" s="1"/>
      <c r="CH320" s="1"/>
      <c r="CI320" s="2"/>
      <c r="CJ320" s="2"/>
      <c r="CK320" s="2"/>
      <c r="CL320" s="2"/>
      <c r="CM320" s="2"/>
      <c r="CN320" s="2"/>
      <c r="CO320" s="2"/>
      <c r="CP320" s="2"/>
      <c r="CQ320" s="2"/>
      <c r="CR320" s="2"/>
      <c r="CS320" s="2"/>
      <c r="CT320" s="2"/>
      <c r="CU320" s="2"/>
      <c r="CV320" s="2"/>
      <c r="CW320" s="2"/>
      <c r="CX320" s="2"/>
      <c r="CY320" s="2"/>
      <c r="CZ320" s="2"/>
    </row>
    <row r="321" spans="43:104" ht="15" hidden="1" customHeight="1" x14ac:dyDescent="0.2">
      <c r="AQ321" s="12"/>
      <c r="AR321" s="12">
        <v>1875000</v>
      </c>
      <c r="AS321" s="12">
        <v>2560000</v>
      </c>
      <c r="AT321" s="2"/>
      <c r="AU321" s="2"/>
      <c r="AV321" s="2"/>
      <c r="AW321" s="2"/>
      <c r="AX321" s="2"/>
      <c r="AY321" s="2"/>
      <c r="AZ321" s="2"/>
      <c r="BA321" s="2"/>
      <c r="BB321" s="2"/>
      <c r="BC321" s="2"/>
      <c r="BD321" s="2"/>
      <c r="BE321" s="2"/>
      <c r="BK321" s="2"/>
      <c r="BM321" s="2"/>
      <c r="BN321" s="2"/>
      <c r="BO321" s="2"/>
      <c r="BS321" s="11"/>
      <c r="BT321" s="2"/>
      <c r="BU321" s="3"/>
      <c r="BV321" s="3"/>
      <c r="BW321" s="2"/>
      <c r="BX321" s="2"/>
      <c r="BY321" s="2"/>
      <c r="BZ321" s="2"/>
      <c r="CA321" s="2"/>
      <c r="CB321" s="2"/>
      <c r="CC321" s="2"/>
      <c r="CD321" s="1"/>
      <c r="CE321" s="1"/>
      <c r="CF321" s="1"/>
      <c r="CG321" s="1"/>
      <c r="CH321" s="1"/>
      <c r="CI321" s="2"/>
      <c r="CJ321" s="2"/>
      <c r="CK321" s="2"/>
      <c r="CL321" s="2"/>
      <c r="CM321" s="2"/>
      <c r="CN321" s="2"/>
      <c r="CO321" s="2"/>
      <c r="CP321" s="2"/>
      <c r="CQ321" s="2"/>
      <c r="CR321" s="2"/>
      <c r="CS321" s="2"/>
      <c r="CT321" s="2"/>
      <c r="CU321" s="2"/>
      <c r="CV321" s="2"/>
      <c r="CW321" s="2"/>
      <c r="CX321" s="2"/>
      <c r="CY321" s="2"/>
      <c r="CZ321" s="2"/>
    </row>
    <row r="322" spans="43:104" ht="15" hidden="1" customHeight="1" x14ac:dyDescent="0.2">
      <c r="AQ322" s="13"/>
      <c r="AR322" s="12">
        <v>1880000</v>
      </c>
      <c r="AS322" s="12">
        <v>2570000</v>
      </c>
      <c r="AT322" s="2"/>
      <c r="AU322" s="2"/>
      <c r="AV322" s="2"/>
      <c r="AW322" s="2"/>
      <c r="AX322" s="2"/>
      <c r="AY322" s="2"/>
      <c r="AZ322" s="2"/>
      <c r="BA322" s="2"/>
      <c r="BB322" s="2"/>
      <c r="BC322" s="2"/>
      <c r="BD322" s="2"/>
      <c r="BE322" s="2"/>
      <c r="BK322" s="2"/>
      <c r="BM322" s="2"/>
      <c r="BN322" s="2"/>
      <c r="BO322" s="2"/>
      <c r="BS322" s="11"/>
      <c r="BT322" s="2"/>
      <c r="BU322" s="3"/>
      <c r="BV322" s="3"/>
      <c r="BW322" s="2"/>
      <c r="BX322" s="2"/>
      <c r="BY322" s="2"/>
      <c r="BZ322" s="2"/>
      <c r="CA322" s="2"/>
      <c r="CB322" s="2"/>
      <c r="CC322" s="2"/>
      <c r="CD322" s="1"/>
      <c r="CE322" s="1"/>
      <c r="CF322" s="1"/>
      <c r="CG322" s="1"/>
      <c r="CH322" s="1"/>
      <c r="CI322" s="2"/>
      <c r="CJ322" s="2"/>
      <c r="CK322" s="2"/>
      <c r="CL322" s="2"/>
      <c r="CM322" s="2"/>
      <c r="CN322" s="2"/>
      <c r="CO322" s="2"/>
      <c r="CP322" s="2"/>
      <c r="CQ322" s="2"/>
      <c r="CR322" s="2"/>
      <c r="CS322" s="2"/>
      <c r="CT322" s="2"/>
      <c r="CU322" s="2"/>
      <c r="CV322" s="2"/>
      <c r="CW322" s="2"/>
      <c r="CX322" s="2"/>
      <c r="CY322" s="2"/>
      <c r="CZ322" s="2"/>
    </row>
    <row r="323" spans="43:104" ht="15" hidden="1" customHeight="1" x14ac:dyDescent="0.2">
      <c r="AQ323" s="13"/>
      <c r="AR323" s="12">
        <v>1885000</v>
      </c>
      <c r="AS323" s="12">
        <v>2580000</v>
      </c>
      <c r="AT323" s="2"/>
      <c r="AU323" s="2"/>
      <c r="AV323" s="2"/>
      <c r="AW323" s="2"/>
      <c r="AX323" s="2"/>
      <c r="AY323" s="2"/>
      <c r="AZ323" s="2"/>
      <c r="BA323" s="2"/>
      <c r="BB323" s="2"/>
      <c r="BC323" s="2"/>
      <c r="BD323" s="2"/>
      <c r="BE323" s="2"/>
      <c r="BK323" s="2"/>
      <c r="BM323" s="2"/>
      <c r="BN323" s="2"/>
      <c r="BO323" s="2"/>
      <c r="BS323" s="11"/>
      <c r="BT323" s="2"/>
      <c r="BU323" s="3"/>
      <c r="BV323" s="3"/>
      <c r="BW323" s="2"/>
      <c r="BX323" s="2"/>
      <c r="BY323" s="2"/>
      <c r="BZ323" s="2"/>
      <c r="CA323" s="2"/>
      <c r="CB323" s="2"/>
      <c r="CC323" s="2"/>
      <c r="CD323" s="1"/>
      <c r="CE323" s="1"/>
      <c r="CF323" s="1"/>
      <c r="CG323" s="1"/>
      <c r="CH323" s="1"/>
      <c r="CI323" s="2"/>
      <c r="CJ323" s="2"/>
      <c r="CK323" s="2"/>
      <c r="CL323" s="2"/>
      <c r="CM323" s="2"/>
      <c r="CN323" s="2"/>
      <c r="CO323" s="2"/>
      <c r="CP323" s="2"/>
      <c r="CQ323" s="2"/>
      <c r="CR323" s="2"/>
      <c r="CS323" s="2"/>
      <c r="CT323" s="2"/>
      <c r="CU323" s="2"/>
      <c r="CV323" s="2"/>
      <c r="CW323" s="2"/>
      <c r="CX323" s="2"/>
      <c r="CY323" s="2"/>
      <c r="CZ323" s="2"/>
    </row>
    <row r="324" spans="43:104" ht="15" hidden="1" customHeight="1" x14ac:dyDescent="0.2">
      <c r="AQ324" s="85"/>
      <c r="AR324" s="12">
        <v>1890000</v>
      </c>
      <c r="AS324" s="12">
        <v>2590000</v>
      </c>
      <c r="AT324" s="2"/>
      <c r="AU324" s="2"/>
      <c r="AV324" s="2"/>
      <c r="AW324" s="2"/>
      <c r="AX324" s="2"/>
      <c r="AY324" s="2"/>
      <c r="AZ324" s="2"/>
      <c r="BA324" s="2"/>
      <c r="BB324" s="2"/>
      <c r="BC324" s="2"/>
      <c r="BD324" s="2"/>
      <c r="BE324" s="2"/>
      <c r="BK324" s="2"/>
      <c r="BM324" s="2"/>
      <c r="BN324" s="2"/>
      <c r="BO324" s="2"/>
      <c r="BS324" s="11"/>
      <c r="BT324" s="2"/>
      <c r="BU324" s="3"/>
      <c r="BV324" s="3"/>
      <c r="BW324" s="2"/>
      <c r="BX324" s="2"/>
      <c r="BY324" s="2"/>
      <c r="BZ324" s="2"/>
      <c r="CA324" s="2"/>
      <c r="CB324" s="2"/>
      <c r="CC324" s="2"/>
      <c r="CD324" s="1"/>
      <c r="CE324" s="1"/>
      <c r="CF324" s="1"/>
      <c r="CG324" s="1"/>
      <c r="CH324" s="1"/>
      <c r="CI324" s="2"/>
      <c r="CJ324" s="2"/>
      <c r="CK324" s="2"/>
      <c r="CL324" s="2"/>
      <c r="CM324" s="2"/>
      <c r="CN324" s="2"/>
      <c r="CO324" s="2"/>
      <c r="CP324" s="2"/>
      <c r="CQ324" s="2"/>
      <c r="CR324" s="2"/>
      <c r="CS324" s="2"/>
      <c r="CT324" s="2"/>
      <c r="CU324" s="2"/>
      <c r="CV324" s="2"/>
      <c r="CW324" s="2"/>
      <c r="CX324" s="2"/>
      <c r="CY324" s="2"/>
      <c r="CZ324" s="2"/>
    </row>
    <row r="325" spans="43:104" ht="15" hidden="1" customHeight="1" x14ac:dyDescent="0.2">
      <c r="AQ325" s="12"/>
      <c r="AR325" s="12">
        <v>1895000</v>
      </c>
      <c r="AS325" s="12">
        <v>2600000</v>
      </c>
      <c r="AT325" s="2"/>
      <c r="AU325" s="2"/>
      <c r="AV325" s="2"/>
      <c r="AW325" s="2"/>
      <c r="AX325" s="2"/>
      <c r="AY325" s="2"/>
      <c r="AZ325" s="2"/>
      <c r="BA325" s="2"/>
      <c r="BB325" s="2"/>
      <c r="BC325" s="2"/>
      <c r="BD325" s="2"/>
      <c r="BE325" s="2"/>
      <c r="BK325" s="2"/>
      <c r="BM325" s="2"/>
      <c r="BN325" s="2"/>
      <c r="BO325" s="2"/>
      <c r="BS325" s="11"/>
      <c r="BT325" s="2"/>
      <c r="BU325" s="3"/>
      <c r="BV325" s="3"/>
      <c r="BW325" s="2"/>
      <c r="BX325" s="2"/>
      <c r="BY325" s="2"/>
      <c r="BZ325" s="2"/>
      <c r="CA325" s="2"/>
      <c r="CB325" s="2"/>
      <c r="CC325" s="2"/>
      <c r="CD325" s="1"/>
      <c r="CE325" s="1"/>
      <c r="CF325" s="1"/>
      <c r="CG325" s="1"/>
      <c r="CH325" s="1"/>
      <c r="CI325" s="2"/>
      <c r="CJ325" s="2"/>
      <c r="CK325" s="2"/>
      <c r="CL325" s="2"/>
      <c r="CM325" s="2"/>
      <c r="CN325" s="2"/>
      <c r="CO325" s="2"/>
      <c r="CP325" s="2"/>
      <c r="CQ325" s="2"/>
      <c r="CR325" s="2"/>
      <c r="CS325" s="2"/>
      <c r="CT325" s="2"/>
      <c r="CU325" s="2"/>
      <c r="CV325" s="2"/>
      <c r="CW325" s="2"/>
      <c r="CX325" s="2"/>
      <c r="CY325" s="2"/>
      <c r="CZ325" s="2"/>
    </row>
    <row r="326" spans="43:104" ht="15" hidden="1" customHeight="1" x14ac:dyDescent="0.2">
      <c r="AQ326" s="12"/>
      <c r="AR326" s="12">
        <v>1900000</v>
      </c>
      <c r="AS326" s="12">
        <v>2610000</v>
      </c>
      <c r="AT326" s="2"/>
      <c r="AU326" s="2"/>
      <c r="AV326" s="2"/>
      <c r="AW326" s="2"/>
      <c r="AX326" s="2"/>
      <c r="AY326" s="2"/>
      <c r="AZ326" s="2"/>
      <c r="BA326" s="2"/>
      <c r="BB326" s="2"/>
      <c r="BC326" s="2"/>
      <c r="BD326" s="2"/>
      <c r="BE326" s="2"/>
      <c r="BK326" s="2"/>
      <c r="BM326" s="2"/>
      <c r="BN326" s="2"/>
      <c r="BO326" s="2"/>
      <c r="BS326" s="11"/>
      <c r="BT326" s="2"/>
      <c r="BU326" s="3"/>
      <c r="BV326" s="3"/>
      <c r="BW326" s="2"/>
      <c r="BX326" s="2"/>
      <c r="BY326" s="2"/>
      <c r="BZ326" s="2"/>
      <c r="CA326" s="2"/>
      <c r="CB326" s="2"/>
      <c r="CC326" s="2"/>
      <c r="CD326" s="1"/>
      <c r="CE326" s="1"/>
      <c r="CF326" s="1"/>
      <c r="CG326" s="1"/>
      <c r="CH326" s="1"/>
      <c r="CI326" s="2"/>
      <c r="CJ326" s="2"/>
      <c r="CK326" s="2"/>
      <c r="CL326" s="2"/>
      <c r="CM326" s="2"/>
      <c r="CN326" s="2"/>
      <c r="CO326" s="2"/>
      <c r="CP326" s="2"/>
      <c r="CQ326" s="2"/>
      <c r="CR326" s="2"/>
      <c r="CS326" s="2"/>
      <c r="CT326" s="2"/>
      <c r="CU326" s="2"/>
      <c r="CV326" s="2"/>
      <c r="CW326" s="2"/>
      <c r="CX326" s="2"/>
      <c r="CY326" s="2"/>
      <c r="CZ326" s="2"/>
    </row>
    <row r="327" spans="43:104" ht="15" hidden="1" customHeight="1" x14ac:dyDescent="0.2">
      <c r="AQ327" s="13"/>
      <c r="AR327" s="12">
        <v>1905000</v>
      </c>
      <c r="AS327" s="12">
        <v>2620000</v>
      </c>
      <c r="AT327" s="2"/>
      <c r="AU327" s="2"/>
      <c r="AV327" s="2"/>
      <c r="AW327" s="2"/>
      <c r="AX327" s="2"/>
      <c r="AY327" s="2"/>
      <c r="AZ327" s="2"/>
      <c r="BA327" s="2"/>
      <c r="BB327" s="2"/>
      <c r="BC327" s="2"/>
      <c r="BD327" s="2"/>
      <c r="BE327" s="2"/>
      <c r="BK327" s="2"/>
      <c r="BM327" s="2"/>
      <c r="BN327" s="2"/>
      <c r="BO327" s="2"/>
      <c r="BS327" s="11"/>
      <c r="BT327" s="2"/>
      <c r="BU327" s="3"/>
      <c r="BV327" s="3"/>
      <c r="BW327" s="2"/>
      <c r="BX327" s="2"/>
      <c r="BY327" s="2"/>
      <c r="BZ327" s="2"/>
      <c r="CA327" s="2"/>
      <c r="CB327" s="2"/>
      <c r="CC327" s="2"/>
      <c r="CD327" s="1"/>
      <c r="CE327" s="1"/>
      <c r="CF327" s="1"/>
      <c r="CG327" s="1"/>
      <c r="CH327" s="1"/>
      <c r="CI327" s="2"/>
      <c r="CJ327" s="2"/>
      <c r="CK327" s="2"/>
      <c r="CL327" s="2"/>
      <c r="CM327" s="2"/>
      <c r="CN327" s="2"/>
      <c r="CO327" s="2"/>
      <c r="CP327" s="2"/>
      <c r="CQ327" s="2"/>
      <c r="CR327" s="2"/>
      <c r="CS327" s="2"/>
      <c r="CT327" s="2"/>
      <c r="CU327" s="2"/>
      <c r="CV327" s="2"/>
      <c r="CW327" s="2"/>
      <c r="CX327" s="2"/>
      <c r="CY327" s="2"/>
      <c r="CZ327" s="2"/>
    </row>
    <row r="328" spans="43:104" ht="15" hidden="1" customHeight="1" x14ac:dyDescent="0.2">
      <c r="AQ328" s="13"/>
      <c r="AR328" s="12">
        <v>1910000</v>
      </c>
      <c r="AS328" s="12">
        <v>2630000</v>
      </c>
      <c r="AT328" s="2"/>
      <c r="AU328" s="2"/>
      <c r="AV328" s="2"/>
      <c r="AW328" s="2"/>
      <c r="AX328" s="2"/>
      <c r="AY328" s="2"/>
      <c r="AZ328" s="2"/>
      <c r="BA328" s="2"/>
      <c r="BB328" s="2"/>
      <c r="BC328" s="2"/>
      <c r="BD328" s="2"/>
      <c r="BE328" s="2"/>
      <c r="BK328" s="2"/>
      <c r="BM328" s="2"/>
      <c r="BN328" s="2"/>
      <c r="BO328" s="2"/>
      <c r="BS328" s="11"/>
      <c r="BT328" s="2"/>
      <c r="BU328" s="3"/>
      <c r="BV328" s="3"/>
      <c r="BW328" s="2"/>
      <c r="BX328" s="2"/>
      <c r="BY328" s="2"/>
      <c r="BZ328" s="2"/>
      <c r="CA328" s="2"/>
      <c r="CB328" s="2"/>
      <c r="CC328" s="2"/>
      <c r="CD328" s="1"/>
      <c r="CE328" s="1"/>
      <c r="CF328" s="1"/>
      <c r="CG328" s="1"/>
      <c r="CH328" s="1"/>
      <c r="CI328" s="2"/>
      <c r="CJ328" s="2"/>
      <c r="CK328" s="2"/>
      <c r="CL328" s="2"/>
      <c r="CM328" s="2"/>
      <c r="CN328" s="2"/>
      <c r="CO328" s="2"/>
      <c r="CP328" s="2"/>
      <c r="CQ328" s="2"/>
      <c r="CR328" s="2"/>
      <c r="CS328" s="2"/>
      <c r="CT328" s="2"/>
      <c r="CU328" s="2"/>
      <c r="CV328" s="2"/>
      <c r="CW328" s="2"/>
      <c r="CX328" s="2"/>
      <c r="CY328" s="2"/>
      <c r="CZ328" s="2"/>
    </row>
    <row r="329" spans="43:104" ht="15" hidden="1" customHeight="1" x14ac:dyDescent="0.2">
      <c r="AQ329" s="85"/>
      <c r="AR329" s="12">
        <v>1915000</v>
      </c>
      <c r="AS329" s="12">
        <v>2640000</v>
      </c>
      <c r="AT329" s="2"/>
      <c r="AU329" s="2"/>
      <c r="AV329" s="2"/>
      <c r="AW329" s="2"/>
      <c r="AX329" s="2"/>
      <c r="AY329" s="2"/>
      <c r="AZ329" s="2"/>
      <c r="BA329" s="2"/>
      <c r="BB329" s="2"/>
      <c r="BC329" s="2"/>
      <c r="BD329" s="2"/>
      <c r="BE329" s="2"/>
      <c r="BK329" s="2"/>
      <c r="BM329" s="2"/>
      <c r="BN329" s="2"/>
      <c r="BO329" s="2"/>
      <c r="BS329" s="11"/>
      <c r="BT329" s="2"/>
      <c r="BU329" s="3"/>
      <c r="BV329" s="3"/>
      <c r="BW329" s="2"/>
      <c r="BX329" s="2"/>
      <c r="BY329" s="2"/>
      <c r="BZ329" s="2"/>
      <c r="CA329" s="2"/>
      <c r="CB329" s="2"/>
      <c r="CC329" s="2"/>
      <c r="CD329" s="1"/>
      <c r="CE329" s="1"/>
      <c r="CF329" s="1"/>
      <c r="CG329" s="1"/>
      <c r="CH329" s="1"/>
      <c r="CI329" s="2"/>
      <c r="CJ329" s="2"/>
      <c r="CK329" s="2"/>
      <c r="CL329" s="2"/>
      <c r="CM329" s="2"/>
      <c r="CN329" s="2"/>
      <c r="CO329" s="2"/>
      <c r="CP329" s="2"/>
      <c r="CQ329" s="2"/>
      <c r="CR329" s="2"/>
      <c r="CS329" s="2"/>
      <c r="CT329" s="2"/>
      <c r="CU329" s="2"/>
      <c r="CV329" s="2"/>
      <c r="CW329" s="2"/>
      <c r="CX329" s="2"/>
      <c r="CY329" s="2"/>
      <c r="CZ329" s="2"/>
    </row>
    <row r="330" spans="43:104" ht="15" hidden="1" customHeight="1" x14ac:dyDescent="0.2">
      <c r="AQ330" s="12"/>
      <c r="AR330" s="12">
        <v>1920000</v>
      </c>
      <c r="AS330" s="12">
        <v>2650000</v>
      </c>
      <c r="AT330" s="2"/>
      <c r="AU330" s="2"/>
      <c r="AV330" s="2"/>
      <c r="AW330" s="2"/>
      <c r="AX330" s="2"/>
      <c r="AY330" s="2"/>
      <c r="AZ330" s="2"/>
      <c r="BA330" s="2"/>
      <c r="BB330" s="2"/>
      <c r="BC330" s="2"/>
      <c r="BD330" s="2"/>
      <c r="BE330" s="2"/>
      <c r="BK330" s="2"/>
      <c r="BM330" s="2"/>
      <c r="BN330" s="2"/>
      <c r="BO330" s="2"/>
      <c r="BS330" s="11"/>
      <c r="BT330" s="2"/>
      <c r="BU330" s="3"/>
      <c r="BV330" s="3"/>
      <c r="BW330" s="2"/>
      <c r="BX330" s="2"/>
      <c r="BY330" s="2"/>
      <c r="BZ330" s="46"/>
      <c r="CA330" s="1"/>
      <c r="CB330" s="1"/>
      <c r="CC330" s="1"/>
      <c r="CD330" s="1"/>
      <c r="CE330" s="1"/>
      <c r="CF330" s="1"/>
      <c r="CG330" s="1"/>
      <c r="CH330" s="1"/>
      <c r="CI330" s="2"/>
      <c r="CJ330" s="2"/>
      <c r="CK330" s="2"/>
      <c r="CL330" s="2"/>
      <c r="CM330" s="2"/>
      <c r="CN330" s="2"/>
      <c r="CO330" s="2"/>
      <c r="CP330" s="2"/>
      <c r="CQ330" s="2"/>
      <c r="CR330" s="2"/>
      <c r="CS330" s="2"/>
      <c r="CT330" s="2"/>
      <c r="CU330" s="2"/>
      <c r="CV330" s="2"/>
      <c r="CW330" s="2"/>
      <c r="CX330" s="2"/>
      <c r="CY330" s="2"/>
      <c r="CZ330" s="2"/>
    </row>
    <row r="331" spans="43:104" ht="15" hidden="1" customHeight="1" x14ac:dyDescent="0.2">
      <c r="AQ331" s="12"/>
      <c r="AR331" s="12">
        <v>1925000</v>
      </c>
      <c r="AS331" s="12">
        <v>2660000</v>
      </c>
      <c r="AT331" s="2"/>
      <c r="AU331" s="2"/>
      <c r="AV331" s="2"/>
      <c r="AW331" s="2"/>
      <c r="AX331" s="2"/>
      <c r="AY331" s="2"/>
      <c r="AZ331" s="2"/>
      <c r="BA331" s="2"/>
      <c r="BB331" s="2"/>
      <c r="BC331" s="2"/>
      <c r="BD331" s="2"/>
      <c r="BE331" s="2"/>
      <c r="BK331" s="2"/>
      <c r="BM331" s="2"/>
      <c r="BN331" s="2"/>
      <c r="BO331" s="2"/>
      <c r="BS331" s="11"/>
      <c r="BT331" s="2"/>
      <c r="BU331" s="3"/>
      <c r="BV331" s="3"/>
      <c r="BW331" s="2"/>
      <c r="BX331" s="2"/>
      <c r="BY331" s="2"/>
      <c r="BZ331" s="2"/>
      <c r="CA331" s="2"/>
      <c r="CB331" s="2"/>
      <c r="CC331" s="2"/>
      <c r="CD331" s="1"/>
      <c r="CE331" s="1"/>
      <c r="CF331" s="1"/>
      <c r="CG331" s="1"/>
      <c r="CH331" s="1"/>
      <c r="CI331" s="2"/>
      <c r="CJ331" s="2"/>
      <c r="CK331" s="2"/>
      <c r="CL331" s="2"/>
      <c r="CM331" s="2"/>
      <c r="CN331" s="2"/>
      <c r="CO331" s="2"/>
      <c r="CP331" s="2"/>
      <c r="CQ331" s="2"/>
      <c r="CR331" s="2"/>
      <c r="CS331" s="2"/>
      <c r="CT331" s="2"/>
      <c r="CU331" s="2"/>
      <c r="CV331" s="2"/>
      <c r="CW331" s="2"/>
      <c r="CX331" s="2"/>
      <c r="CY331" s="2"/>
      <c r="CZ331" s="2"/>
    </row>
    <row r="332" spans="43:104" ht="15" hidden="1" customHeight="1" x14ac:dyDescent="0.2">
      <c r="AQ332" s="13"/>
      <c r="AR332" s="12">
        <v>1930000</v>
      </c>
      <c r="AS332" s="12">
        <v>2670000</v>
      </c>
      <c r="AT332" s="2"/>
      <c r="AU332" s="2"/>
      <c r="AV332" s="2"/>
      <c r="AW332" s="2"/>
      <c r="AX332" s="2"/>
      <c r="AY332" s="2"/>
      <c r="AZ332" s="2"/>
      <c r="BA332" s="2"/>
      <c r="BB332" s="2"/>
      <c r="BC332" s="2"/>
      <c r="BD332" s="2"/>
      <c r="BE332" s="2"/>
      <c r="BK332" s="2"/>
      <c r="BM332" s="2"/>
      <c r="BN332" s="2"/>
      <c r="BO332" s="2"/>
      <c r="BS332" s="11"/>
      <c r="BT332" s="2"/>
      <c r="BU332" s="3"/>
      <c r="BV332" s="3"/>
      <c r="BW332" s="2"/>
      <c r="BX332" s="2"/>
      <c r="BY332" s="2"/>
      <c r="BZ332" s="2"/>
      <c r="CA332" s="2"/>
      <c r="CB332" s="2"/>
      <c r="CC332" s="2"/>
      <c r="CD332" s="1"/>
      <c r="CE332" s="1"/>
      <c r="CF332" s="1"/>
      <c r="CG332" s="1"/>
      <c r="CH332" s="1"/>
      <c r="CI332" s="2"/>
      <c r="CJ332" s="2"/>
      <c r="CK332" s="2"/>
      <c r="CL332" s="2"/>
      <c r="CM332" s="2"/>
      <c r="CN332" s="2"/>
      <c r="CO332" s="2"/>
      <c r="CP332" s="2"/>
      <c r="CQ332" s="2"/>
      <c r="CR332" s="2"/>
      <c r="CS332" s="2"/>
      <c r="CT332" s="2"/>
      <c r="CU332" s="2"/>
      <c r="CV332" s="2"/>
      <c r="CW332" s="2"/>
      <c r="CX332" s="2"/>
      <c r="CY332" s="2"/>
      <c r="CZ332" s="2"/>
    </row>
    <row r="333" spans="43:104" ht="15" hidden="1" customHeight="1" x14ac:dyDescent="0.2">
      <c r="AQ333" s="13"/>
      <c r="AR333" s="12">
        <v>1935000</v>
      </c>
      <c r="AS333" s="12">
        <v>2680000</v>
      </c>
      <c r="AT333" s="2"/>
      <c r="AU333" s="2"/>
      <c r="AV333" s="2"/>
      <c r="AW333" s="2"/>
      <c r="AX333" s="2"/>
      <c r="AY333" s="2"/>
      <c r="AZ333" s="2"/>
      <c r="BA333" s="2"/>
      <c r="BB333" s="2"/>
      <c r="BC333" s="2"/>
      <c r="BD333" s="2"/>
      <c r="BE333" s="2"/>
      <c r="BK333" s="2"/>
      <c r="BM333" s="2"/>
      <c r="BN333" s="2"/>
      <c r="BO333" s="2"/>
      <c r="BS333" s="11"/>
      <c r="BT333" s="2"/>
      <c r="BU333" s="3"/>
      <c r="BV333" s="3"/>
      <c r="BW333" s="2"/>
      <c r="BX333" s="2"/>
      <c r="BY333" s="2"/>
      <c r="BZ333" s="2"/>
      <c r="CA333" s="2"/>
      <c r="CB333" s="2"/>
      <c r="CC333" s="2"/>
      <c r="CD333" s="1"/>
      <c r="CE333" s="1"/>
      <c r="CF333" s="1"/>
      <c r="CG333" s="1"/>
      <c r="CH333" s="1"/>
      <c r="CI333" s="2"/>
      <c r="CJ333" s="2"/>
      <c r="CK333" s="2"/>
      <c r="CL333" s="2"/>
      <c r="CM333" s="2"/>
      <c r="CN333" s="2"/>
      <c r="CO333" s="2"/>
      <c r="CP333" s="2"/>
      <c r="CQ333" s="2"/>
      <c r="CR333" s="2"/>
      <c r="CS333" s="2"/>
      <c r="CT333" s="2"/>
      <c r="CU333" s="2"/>
      <c r="CV333" s="2"/>
      <c r="CW333" s="2"/>
      <c r="CX333" s="2"/>
      <c r="CY333" s="2"/>
      <c r="CZ333" s="2"/>
    </row>
    <row r="334" spans="43:104" ht="15" hidden="1" customHeight="1" x14ac:dyDescent="0.2">
      <c r="AQ334" s="85"/>
      <c r="AR334" s="12">
        <v>1940000</v>
      </c>
      <c r="AS334" s="12">
        <v>2690000</v>
      </c>
      <c r="AT334" s="2"/>
      <c r="AU334" s="2"/>
      <c r="AV334" s="2"/>
      <c r="AW334" s="2"/>
      <c r="AX334" s="2"/>
      <c r="AY334" s="2"/>
      <c r="AZ334" s="2"/>
      <c r="BA334" s="2"/>
      <c r="BB334" s="2"/>
      <c r="BC334" s="2"/>
      <c r="BD334" s="2"/>
      <c r="BE334" s="2"/>
      <c r="BK334" s="2"/>
      <c r="BM334" s="2"/>
      <c r="BN334" s="2"/>
      <c r="BO334" s="2"/>
      <c r="BS334" s="11"/>
      <c r="BT334" s="2"/>
      <c r="BU334" s="3"/>
      <c r="BV334" s="3"/>
      <c r="BW334" s="2"/>
      <c r="BX334" s="2"/>
      <c r="BY334" s="2"/>
      <c r="BZ334" s="2"/>
      <c r="CA334" s="2"/>
      <c r="CB334" s="2"/>
      <c r="CC334" s="2"/>
      <c r="CD334" s="1"/>
      <c r="CE334" s="1"/>
      <c r="CF334" s="1"/>
      <c r="CG334" s="1"/>
      <c r="CH334" s="1"/>
      <c r="CI334" s="2"/>
      <c r="CJ334" s="2"/>
      <c r="CK334" s="2"/>
      <c r="CL334" s="2"/>
      <c r="CM334" s="2"/>
      <c r="CN334" s="2"/>
      <c r="CO334" s="2"/>
      <c r="CP334" s="2"/>
      <c r="CQ334" s="2"/>
      <c r="CR334" s="2"/>
      <c r="CS334" s="2"/>
      <c r="CT334" s="2"/>
      <c r="CU334" s="2"/>
      <c r="CV334" s="2"/>
      <c r="CW334" s="2"/>
      <c r="CX334" s="2"/>
      <c r="CY334" s="2"/>
      <c r="CZ334" s="2"/>
    </row>
    <row r="335" spans="43:104" ht="15" hidden="1" customHeight="1" x14ac:dyDescent="0.2">
      <c r="AQ335" s="12"/>
      <c r="AR335" s="12">
        <v>1945000</v>
      </c>
      <c r="AS335" s="12">
        <v>2700000</v>
      </c>
      <c r="AT335" s="2"/>
      <c r="AU335" s="2"/>
      <c r="AV335" s="2"/>
      <c r="AW335" s="2"/>
      <c r="AX335" s="2"/>
      <c r="AY335" s="2"/>
      <c r="AZ335" s="2"/>
      <c r="BA335" s="2"/>
      <c r="BB335" s="2"/>
      <c r="BC335" s="2"/>
      <c r="BD335" s="2"/>
      <c r="BE335" s="2"/>
      <c r="BK335" s="2"/>
      <c r="BM335" s="2"/>
      <c r="BN335" s="2"/>
      <c r="BO335" s="2"/>
      <c r="BS335" s="11"/>
      <c r="BT335" s="2"/>
      <c r="BU335" s="3"/>
      <c r="BV335" s="3"/>
      <c r="BW335" s="2"/>
      <c r="BX335" s="2"/>
      <c r="BY335" s="2"/>
      <c r="BZ335" s="2"/>
      <c r="CA335" s="2"/>
      <c r="CB335" s="2"/>
      <c r="CC335" s="2"/>
      <c r="CD335" s="1"/>
      <c r="CE335" s="1"/>
      <c r="CF335" s="1"/>
      <c r="CG335" s="1"/>
      <c r="CH335" s="1"/>
      <c r="CI335" s="2"/>
      <c r="CJ335" s="2"/>
      <c r="CK335" s="2"/>
      <c r="CL335" s="2"/>
      <c r="CM335" s="2"/>
      <c r="CN335" s="2"/>
      <c r="CO335" s="2"/>
      <c r="CP335" s="2"/>
      <c r="CQ335" s="2"/>
      <c r="CR335" s="2"/>
      <c r="CS335" s="2"/>
      <c r="CT335" s="2"/>
      <c r="CU335" s="2"/>
      <c r="CV335" s="2"/>
      <c r="CW335" s="2"/>
      <c r="CX335" s="2"/>
      <c r="CY335" s="2"/>
      <c r="CZ335" s="2"/>
    </row>
    <row r="336" spans="43:104" ht="15" hidden="1" customHeight="1" x14ac:dyDescent="0.2">
      <c r="AQ336" s="12"/>
      <c r="AR336" s="12">
        <v>1950000</v>
      </c>
      <c r="AS336" s="12">
        <v>2710000</v>
      </c>
      <c r="AT336" s="2"/>
      <c r="AU336" s="2"/>
      <c r="AV336" s="2"/>
      <c r="AW336" s="2"/>
      <c r="AX336" s="2"/>
      <c r="AY336" s="2"/>
      <c r="AZ336" s="2"/>
      <c r="BA336" s="2"/>
      <c r="BB336" s="2"/>
      <c r="BC336" s="2"/>
      <c r="BD336" s="2"/>
      <c r="BE336" s="2"/>
      <c r="BK336" s="2"/>
      <c r="BM336" s="2"/>
      <c r="BN336" s="2"/>
      <c r="BO336" s="2"/>
      <c r="BS336" s="11"/>
      <c r="BT336" s="2"/>
      <c r="BU336" s="3"/>
      <c r="BV336" s="3"/>
      <c r="BW336" s="2"/>
      <c r="BX336" s="2"/>
      <c r="BY336" s="2"/>
      <c r="BZ336" s="2"/>
      <c r="CA336" s="2"/>
      <c r="CB336" s="2"/>
      <c r="CC336" s="2"/>
      <c r="CD336" s="1"/>
      <c r="CE336" s="1"/>
      <c r="CF336" s="1"/>
      <c r="CG336" s="1"/>
      <c r="CH336" s="1"/>
      <c r="CI336" s="2"/>
      <c r="CJ336" s="2"/>
      <c r="CK336" s="2"/>
      <c r="CL336" s="2"/>
      <c r="CM336" s="2"/>
      <c r="CN336" s="2"/>
      <c r="CO336" s="2"/>
      <c r="CP336" s="2"/>
      <c r="CQ336" s="2"/>
      <c r="CR336" s="2"/>
      <c r="CS336" s="2"/>
      <c r="CT336" s="2"/>
      <c r="CU336" s="2"/>
      <c r="CV336" s="2"/>
      <c r="CW336" s="2"/>
      <c r="CX336" s="2"/>
      <c r="CY336" s="2"/>
      <c r="CZ336" s="2"/>
    </row>
    <row r="337" spans="43:104" ht="15" hidden="1" customHeight="1" x14ac:dyDescent="0.2">
      <c r="AQ337" s="13"/>
      <c r="AR337" s="12">
        <v>1955000</v>
      </c>
      <c r="AS337" s="12">
        <v>2720000</v>
      </c>
      <c r="AT337" s="2"/>
      <c r="AU337" s="2"/>
      <c r="AV337" s="2"/>
      <c r="AW337" s="2"/>
      <c r="AX337" s="2"/>
      <c r="AY337" s="2"/>
      <c r="AZ337" s="2"/>
      <c r="BA337" s="2"/>
      <c r="BB337" s="2"/>
      <c r="BC337" s="2"/>
      <c r="BD337" s="2"/>
      <c r="BE337" s="2"/>
      <c r="BK337" s="2"/>
      <c r="BM337" s="2"/>
      <c r="BN337" s="2"/>
      <c r="BO337" s="2"/>
      <c r="BS337" s="11"/>
      <c r="BT337" s="2"/>
      <c r="BU337" s="3"/>
      <c r="BV337" s="3"/>
      <c r="BW337" s="2"/>
      <c r="BX337" s="2"/>
      <c r="BY337" s="2"/>
      <c r="BZ337" s="2"/>
      <c r="CA337" s="2"/>
      <c r="CB337" s="2"/>
      <c r="CC337" s="2"/>
      <c r="CD337" s="1"/>
      <c r="CE337" s="1"/>
      <c r="CF337" s="1"/>
      <c r="CG337" s="1"/>
      <c r="CH337" s="1"/>
      <c r="CI337" s="2"/>
      <c r="CJ337" s="2"/>
      <c r="CK337" s="2"/>
      <c r="CL337" s="2"/>
      <c r="CM337" s="2"/>
      <c r="CN337" s="2"/>
      <c r="CO337" s="2"/>
      <c r="CP337" s="2"/>
      <c r="CQ337" s="2"/>
      <c r="CR337" s="2"/>
      <c r="CS337" s="2"/>
      <c r="CT337" s="2"/>
      <c r="CU337" s="2"/>
      <c r="CV337" s="2"/>
      <c r="CW337" s="2"/>
      <c r="CX337" s="2"/>
      <c r="CY337" s="2"/>
      <c r="CZ337" s="2"/>
    </row>
    <row r="338" spans="43:104" ht="15" hidden="1" customHeight="1" x14ac:dyDescent="0.2">
      <c r="AQ338" s="13"/>
      <c r="AR338" s="12">
        <v>1960000</v>
      </c>
      <c r="AS338" s="12">
        <v>2730000</v>
      </c>
      <c r="AT338" s="2"/>
      <c r="AU338" s="2"/>
      <c r="AV338" s="2"/>
      <c r="AW338" s="2"/>
      <c r="AX338" s="2"/>
      <c r="AY338" s="2"/>
      <c r="AZ338" s="2"/>
      <c r="BA338" s="2"/>
      <c r="BB338" s="2"/>
      <c r="BC338" s="2"/>
      <c r="BD338" s="2"/>
      <c r="BE338" s="2"/>
      <c r="BK338" s="2"/>
      <c r="BM338" s="2"/>
      <c r="BN338" s="2"/>
      <c r="BO338" s="2"/>
      <c r="BS338" s="11"/>
      <c r="BT338" s="2"/>
      <c r="BU338" s="3"/>
      <c r="BV338" s="3"/>
      <c r="BW338" s="2"/>
      <c r="BX338" s="2"/>
      <c r="BY338" s="2"/>
      <c r="BZ338" s="2"/>
      <c r="CA338" s="2"/>
      <c r="CB338" s="2"/>
      <c r="CC338" s="2"/>
      <c r="CD338" s="1"/>
      <c r="CE338" s="1"/>
      <c r="CF338" s="1"/>
      <c r="CG338" s="1"/>
      <c r="CH338" s="1"/>
      <c r="CI338" s="2"/>
      <c r="CJ338" s="2"/>
      <c r="CK338" s="2"/>
      <c r="CL338" s="2"/>
      <c r="CM338" s="2"/>
      <c r="CN338" s="2"/>
      <c r="CO338" s="2"/>
      <c r="CP338" s="2"/>
      <c r="CQ338" s="2"/>
      <c r="CR338" s="2"/>
      <c r="CS338" s="2"/>
      <c r="CT338" s="2"/>
      <c r="CU338" s="2"/>
      <c r="CV338" s="2"/>
      <c r="CW338" s="2"/>
      <c r="CX338" s="2"/>
      <c r="CY338" s="2"/>
      <c r="CZ338" s="2"/>
    </row>
    <row r="339" spans="43:104" ht="15" hidden="1" customHeight="1" x14ac:dyDescent="0.2">
      <c r="AQ339" s="85"/>
      <c r="AR339" s="12">
        <v>1965000</v>
      </c>
      <c r="AS339" s="12">
        <v>2740000</v>
      </c>
      <c r="AT339" s="2"/>
      <c r="AU339" s="2"/>
      <c r="AV339" s="2"/>
      <c r="AW339" s="2"/>
      <c r="AX339" s="2"/>
      <c r="AY339" s="2"/>
      <c r="AZ339" s="2"/>
      <c r="BA339" s="2"/>
      <c r="BB339" s="2"/>
      <c r="BC339" s="2"/>
      <c r="BD339" s="2"/>
      <c r="BE339" s="2"/>
      <c r="BK339" s="2"/>
      <c r="BM339" s="2"/>
      <c r="BN339" s="2"/>
      <c r="BO339" s="2"/>
      <c r="BS339" s="11"/>
      <c r="BT339" s="2"/>
      <c r="BU339" s="3"/>
      <c r="BV339" s="3"/>
      <c r="BW339" s="2"/>
      <c r="BX339" s="2"/>
      <c r="BY339" s="2"/>
      <c r="BZ339" s="2"/>
      <c r="CA339" s="2"/>
      <c r="CB339" s="2"/>
      <c r="CC339" s="2"/>
      <c r="CD339" s="1"/>
      <c r="CE339" s="1"/>
      <c r="CF339" s="1"/>
      <c r="CG339" s="1"/>
      <c r="CH339" s="1"/>
      <c r="CI339" s="2"/>
      <c r="CJ339" s="2"/>
      <c r="CK339" s="2"/>
      <c r="CL339" s="2"/>
      <c r="CM339" s="2"/>
      <c r="CN339" s="2"/>
      <c r="CO339" s="2"/>
      <c r="CP339" s="2"/>
      <c r="CQ339" s="2"/>
      <c r="CR339" s="2"/>
      <c r="CS339" s="2"/>
      <c r="CT339" s="2"/>
      <c r="CU339" s="2"/>
      <c r="CV339" s="2"/>
      <c r="CW339" s="2"/>
      <c r="CX339" s="2"/>
      <c r="CY339" s="2"/>
      <c r="CZ339" s="2"/>
    </row>
    <row r="340" spans="43:104" ht="15" hidden="1" customHeight="1" x14ac:dyDescent="0.2">
      <c r="AQ340" s="12"/>
      <c r="AR340" s="12">
        <v>1970000</v>
      </c>
      <c r="AS340" s="12">
        <v>2750000</v>
      </c>
      <c r="AT340" s="2"/>
      <c r="AU340" s="2"/>
      <c r="AV340" s="2"/>
      <c r="AW340" s="2"/>
      <c r="AX340" s="2"/>
      <c r="AY340" s="2"/>
      <c r="AZ340" s="2"/>
      <c r="BA340" s="2"/>
      <c r="BB340" s="2"/>
      <c r="BC340" s="2"/>
      <c r="BD340" s="2"/>
      <c r="BE340" s="2"/>
      <c r="BK340" s="2"/>
      <c r="BM340" s="2"/>
      <c r="BN340" s="2"/>
      <c r="BO340" s="2"/>
      <c r="BS340" s="11"/>
      <c r="BT340" s="2"/>
      <c r="BU340" s="3"/>
      <c r="BV340" s="3"/>
      <c r="BW340" s="2"/>
      <c r="BX340" s="2"/>
      <c r="BY340" s="2"/>
      <c r="BZ340" s="2"/>
      <c r="CA340" s="2"/>
      <c r="CB340" s="2"/>
      <c r="CC340" s="2"/>
      <c r="CD340" s="1"/>
      <c r="CE340" s="1"/>
      <c r="CF340" s="1"/>
      <c r="CG340" s="1"/>
      <c r="CH340" s="1"/>
      <c r="CI340" s="2"/>
      <c r="CJ340" s="2"/>
      <c r="CK340" s="2"/>
      <c r="CL340" s="2"/>
      <c r="CM340" s="2"/>
      <c r="CN340" s="2"/>
      <c r="CO340" s="2"/>
      <c r="CP340" s="2"/>
      <c r="CQ340" s="2"/>
      <c r="CR340" s="2"/>
      <c r="CS340" s="2"/>
      <c r="CT340" s="2"/>
      <c r="CU340" s="2"/>
      <c r="CV340" s="2"/>
      <c r="CW340" s="2"/>
      <c r="CX340" s="2"/>
      <c r="CY340" s="2"/>
      <c r="CZ340" s="2"/>
    </row>
    <row r="341" spans="43:104" ht="15" hidden="1" customHeight="1" x14ac:dyDescent="0.2">
      <c r="AQ341" s="12"/>
      <c r="AR341" s="12">
        <v>1975000</v>
      </c>
      <c r="AS341" s="12">
        <v>2760000</v>
      </c>
      <c r="AT341" s="2"/>
      <c r="AU341" s="2"/>
      <c r="AV341" s="2"/>
      <c r="AW341" s="2"/>
      <c r="AX341" s="2"/>
      <c r="AY341" s="2"/>
      <c r="AZ341" s="2"/>
      <c r="BA341" s="2"/>
      <c r="BB341" s="2"/>
      <c r="BC341" s="2"/>
      <c r="BD341" s="2"/>
      <c r="BE341" s="2"/>
      <c r="BK341" s="2"/>
      <c r="BM341" s="2"/>
      <c r="BN341" s="2"/>
      <c r="BO341" s="2"/>
      <c r="BS341" s="11"/>
      <c r="BT341" s="2"/>
      <c r="BU341" s="3"/>
      <c r="BV341" s="3"/>
      <c r="BW341" s="2"/>
      <c r="BX341" s="2"/>
      <c r="BY341" s="2"/>
      <c r="BZ341" s="2"/>
      <c r="CA341" s="2"/>
      <c r="CB341" s="2"/>
      <c r="CC341" s="2"/>
      <c r="CD341" s="1"/>
      <c r="CE341" s="1"/>
      <c r="CF341" s="1"/>
      <c r="CG341" s="1"/>
      <c r="CH341" s="1"/>
      <c r="CI341" s="2"/>
      <c r="CJ341" s="2"/>
      <c r="CK341" s="2"/>
      <c r="CL341" s="2"/>
      <c r="CM341" s="2"/>
      <c r="CN341" s="2"/>
      <c r="CO341" s="2"/>
      <c r="CP341" s="2"/>
      <c r="CQ341" s="2"/>
      <c r="CR341" s="2"/>
      <c r="CS341" s="2"/>
      <c r="CT341" s="2"/>
      <c r="CU341" s="2"/>
      <c r="CV341" s="2"/>
      <c r="CW341" s="2"/>
      <c r="CX341" s="2"/>
      <c r="CY341" s="2"/>
      <c r="CZ341" s="2"/>
    </row>
    <row r="342" spans="43:104" ht="15" hidden="1" customHeight="1" x14ac:dyDescent="0.2">
      <c r="AQ342" s="13"/>
      <c r="AR342" s="12">
        <v>1980000</v>
      </c>
      <c r="AS342" s="12">
        <v>2770000</v>
      </c>
      <c r="AT342" s="2"/>
      <c r="AU342" s="2"/>
      <c r="AV342" s="2"/>
      <c r="AW342" s="2"/>
      <c r="AX342" s="2"/>
      <c r="AY342" s="2"/>
      <c r="AZ342" s="2"/>
      <c r="BA342" s="2"/>
      <c r="BB342" s="2"/>
      <c r="BC342" s="2"/>
      <c r="BD342" s="2"/>
      <c r="BE342" s="2"/>
      <c r="BK342" s="2"/>
      <c r="BM342" s="2"/>
      <c r="BN342" s="2"/>
      <c r="BO342" s="2"/>
      <c r="BS342" s="11"/>
      <c r="BT342" s="2"/>
      <c r="BU342" s="3"/>
      <c r="BV342" s="3"/>
      <c r="BW342" s="2"/>
      <c r="BX342" s="2"/>
      <c r="BY342" s="2"/>
      <c r="BZ342" s="2"/>
      <c r="CA342" s="2"/>
      <c r="CB342" s="2"/>
      <c r="CC342" s="2"/>
      <c r="CD342" s="1"/>
      <c r="CE342" s="1"/>
      <c r="CF342" s="1"/>
      <c r="CG342" s="1"/>
      <c r="CH342" s="1"/>
      <c r="CI342" s="2"/>
      <c r="CJ342" s="2"/>
      <c r="CK342" s="2"/>
      <c r="CL342" s="2"/>
      <c r="CM342" s="2"/>
      <c r="CN342" s="2"/>
      <c r="CO342" s="2"/>
      <c r="CP342" s="2"/>
      <c r="CQ342" s="2"/>
      <c r="CR342" s="2"/>
      <c r="CS342" s="2"/>
      <c r="CT342" s="2"/>
      <c r="CU342" s="2"/>
      <c r="CV342" s="2"/>
      <c r="CW342" s="2"/>
      <c r="CX342" s="2"/>
      <c r="CY342" s="2"/>
      <c r="CZ342" s="2"/>
    </row>
    <row r="343" spans="43:104" ht="15" hidden="1" customHeight="1" x14ac:dyDescent="0.2">
      <c r="AQ343" s="13"/>
      <c r="AR343" s="12">
        <v>1985000</v>
      </c>
      <c r="AS343" s="12">
        <v>2780000</v>
      </c>
      <c r="AT343" s="2"/>
      <c r="AU343" s="2"/>
      <c r="AV343" s="2"/>
      <c r="AW343" s="2"/>
      <c r="AX343" s="2"/>
      <c r="AY343" s="2"/>
      <c r="AZ343" s="2"/>
      <c r="BA343" s="2"/>
      <c r="BB343" s="2"/>
      <c r="BC343" s="2"/>
      <c r="BD343" s="2"/>
      <c r="BE343" s="2"/>
      <c r="BK343" s="2"/>
      <c r="BM343" s="2"/>
      <c r="BN343" s="2"/>
      <c r="BO343" s="2"/>
      <c r="BS343" s="11"/>
      <c r="BT343" s="2"/>
      <c r="BU343" s="3"/>
      <c r="BV343" s="3"/>
      <c r="BW343" s="2"/>
      <c r="BX343" s="2"/>
      <c r="BY343" s="2"/>
      <c r="BZ343" s="2"/>
      <c r="CA343" s="2"/>
      <c r="CB343" s="2"/>
      <c r="CC343" s="2"/>
      <c r="CD343" s="1"/>
      <c r="CE343" s="1"/>
      <c r="CF343" s="1"/>
      <c r="CG343" s="1"/>
      <c r="CH343" s="1"/>
      <c r="CI343" s="2"/>
      <c r="CJ343" s="2"/>
      <c r="CK343" s="2"/>
      <c r="CL343" s="2"/>
      <c r="CM343" s="2"/>
      <c r="CN343" s="2"/>
      <c r="CO343" s="2"/>
      <c r="CP343" s="2"/>
      <c r="CQ343" s="2"/>
      <c r="CR343" s="2"/>
      <c r="CS343" s="2"/>
      <c r="CT343" s="2"/>
      <c r="CU343" s="2"/>
      <c r="CV343" s="2"/>
      <c r="CW343" s="2"/>
      <c r="CX343" s="2"/>
      <c r="CY343" s="2"/>
      <c r="CZ343" s="2"/>
    </row>
    <row r="344" spans="43:104" ht="15" hidden="1" customHeight="1" x14ac:dyDescent="0.2">
      <c r="AQ344" s="85"/>
      <c r="AR344" s="12">
        <v>1990000</v>
      </c>
      <c r="AS344" s="12">
        <v>2790000</v>
      </c>
      <c r="AT344" s="2"/>
      <c r="AU344" s="2"/>
      <c r="AV344" s="2"/>
      <c r="AW344" s="2"/>
      <c r="AX344" s="2"/>
      <c r="AY344" s="2"/>
      <c r="AZ344" s="2"/>
      <c r="BA344" s="2"/>
      <c r="BB344" s="2"/>
      <c r="BC344" s="2"/>
      <c r="BD344" s="2"/>
      <c r="BE344" s="2"/>
      <c r="BK344" s="2"/>
      <c r="BM344" s="2"/>
      <c r="BN344" s="2"/>
      <c r="BO344" s="2"/>
      <c r="BS344" s="11"/>
      <c r="BT344" s="2"/>
      <c r="BU344" s="3"/>
      <c r="BV344" s="3"/>
      <c r="BW344" s="2"/>
      <c r="BX344" s="2"/>
      <c r="BY344" s="2"/>
      <c r="BZ344" s="2"/>
      <c r="CA344" s="2"/>
      <c r="CB344" s="2"/>
      <c r="CC344" s="2"/>
      <c r="CD344" s="1"/>
      <c r="CE344" s="1"/>
      <c r="CF344" s="1"/>
      <c r="CG344" s="1"/>
      <c r="CH344" s="1"/>
      <c r="CI344" s="2"/>
      <c r="CJ344" s="2"/>
      <c r="CK344" s="2"/>
      <c r="CL344" s="2"/>
      <c r="CM344" s="2"/>
      <c r="CN344" s="2"/>
      <c r="CO344" s="2"/>
      <c r="CP344" s="2"/>
      <c r="CQ344" s="2"/>
      <c r="CR344" s="2"/>
      <c r="CS344" s="2"/>
      <c r="CT344" s="2"/>
      <c r="CU344" s="2"/>
      <c r="CV344" s="2"/>
      <c r="CW344" s="2"/>
      <c r="CX344" s="2"/>
      <c r="CY344" s="2"/>
      <c r="CZ344" s="2"/>
    </row>
    <row r="345" spans="43:104" ht="15" hidden="1" customHeight="1" x14ac:dyDescent="0.2">
      <c r="AQ345" s="12"/>
      <c r="AR345" s="12">
        <v>1995000</v>
      </c>
      <c r="AS345" s="12">
        <v>2800000</v>
      </c>
      <c r="AT345" s="2"/>
      <c r="AU345" s="2"/>
      <c r="AV345" s="2"/>
      <c r="AW345" s="2"/>
      <c r="AX345" s="2"/>
      <c r="AY345" s="2"/>
      <c r="AZ345" s="2"/>
      <c r="BA345" s="2"/>
      <c r="BB345" s="2"/>
      <c r="BC345" s="2"/>
      <c r="BD345" s="2"/>
      <c r="BE345" s="2"/>
      <c r="BK345" s="2"/>
      <c r="BM345" s="2"/>
      <c r="BN345" s="2"/>
      <c r="BO345" s="2"/>
      <c r="BS345" s="11"/>
      <c r="BT345" s="2"/>
      <c r="BU345" s="3"/>
      <c r="BV345" s="3"/>
      <c r="BW345" s="2"/>
      <c r="BX345" s="2"/>
      <c r="BY345" s="2"/>
      <c r="BZ345" s="46"/>
      <c r="CA345" s="1"/>
      <c r="CB345" s="1"/>
      <c r="CC345" s="1"/>
      <c r="CD345" s="1"/>
      <c r="CE345" s="1"/>
      <c r="CF345" s="1"/>
      <c r="CG345" s="1"/>
      <c r="CH345" s="1"/>
      <c r="CI345" s="2"/>
      <c r="CJ345" s="2"/>
      <c r="CK345" s="2"/>
      <c r="CL345" s="2"/>
      <c r="CM345" s="2"/>
      <c r="CN345" s="2"/>
      <c r="CO345" s="2"/>
      <c r="CP345" s="2"/>
      <c r="CQ345" s="2"/>
      <c r="CR345" s="2"/>
      <c r="CS345" s="2"/>
      <c r="CT345" s="2"/>
      <c r="CU345" s="2"/>
      <c r="CV345" s="2"/>
      <c r="CW345" s="2"/>
      <c r="CX345" s="2"/>
      <c r="CY345" s="2"/>
      <c r="CZ345" s="2"/>
    </row>
    <row r="346" spans="43:104" ht="15" hidden="1" customHeight="1" x14ac:dyDescent="0.2">
      <c r="AQ346" s="12"/>
      <c r="AR346" s="12">
        <v>2000000</v>
      </c>
      <c r="AS346" s="12">
        <v>2810000</v>
      </c>
      <c r="AT346" s="2"/>
      <c r="AU346" s="2"/>
      <c r="AV346" s="2"/>
      <c r="AW346" s="2"/>
      <c r="AX346" s="2"/>
      <c r="AY346" s="2"/>
      <c r="AZ346" s="2"/>
      <c r="BA346" s="2"/>
      <c r="BB346" s="2"/>
      <c r="BC346" s="2"/>
      <c r="BD346" s="2"/>
      <c r="BE346" s="2"/>
      <c r="BK346" s="2"/>
      <c r="BM346" s="2"/>
      <c r="BN346" s="2"/>
      <c r="BO346" s="2"/>
      <c r="BS346" s="11"/>
      <c r="BT346" s="2"/>
      <c r="BU346" s="3"/>
      <c r="BV346" s="3"/>
      <c r="BW346" s="2"/>
      <c r="BX346" s="2"/>
      <c r="BY346" s="2"/>
      <c r="BZ346" s="2"/>
      <c r="CA346" s="2"/>
      <c r="CB346" s="2"/>
      <c r="CC346" s="2"/>
      <c r="CD346" s="1"/>
      <c r="CE346" s="1"/>
      <c r="CF346" s="1"/>
      <c r="CG346" s="1"/>
      <c r="CH346" s="1"/>
      <c r="CI346" s="2"/>
      <c r="CJ346" s="2"/>
      <c r="CK346" s="2"/>
      <c r="CL346" s="2"/>
      <c r="CM346" s="2"/>
      <c r="CN346" s="2"/>
      <c r="CO346" s="2"/>
      <c r="CP346" s="2"/>
      <c r="CQ346" s="2"/>
      <c r="CR346" s="2"/>
      <c r="CS346" s="2"/>
      <c r="CT346" s="2"/>
      <c r="CU346" s="2"/>
      <c r="CV346" s="2"/>
      <c r="CW346" s="2"/>
      <c r="CX346" s="2"/>
      <c r="CY346" s="2"/>
      <c r="CZ346" s="2"/>
    </row>
    <row r="347" spans="43:104" ht="15" hidden="1" customHeight="1" x14ac:dyDescent="0.2">
      <c r="AQ347" s="2"/>
      <c r="AR347" s="12"/>
      <c r="AS347" s="2"/>
      <c r="AT347" s="2"/>
      <c r="AU347" s="2"/>
      <c r="AV347" s="2"/>
      <c r="AW347" s="2"/>
      <c r="AX347" s="2"/>
      <c r="AY347" s="2"/>
      <c r="AZ347" s="2"/>
      <c r="BA347" s="2"/>
      <c r="BB347" s="2"/>
      <c r="BC347" s="2"/>
      <c r="BD347" s="2"/>
      <c r="BE347" s="2"/>
      <c r="BK347" s="2"/>
      <c r="BM347" s="2"/>
      <c r="BN347" s="2"/>
      <c r="BO347" s="2"/>
      <c r="BS347" s="11"/>
      <c r="BT347" s="2"/>
      <c r="BU347" s="3"/>
      <c r="BV347" s="3"/>
      <c r="BW347" s="2"/>
      <c r="BX347" s="2"/>
      <c r="BY347" s="2"/>
      <c r="BZ347" s="2"/>
      <c r="CA347" s="2"/>
      <c r="CB347" s="2"/>
      <c r="CC347" s="2"/>
      <c r="CD347" s="1"/>
      <c r="CE347" s="1"/>
      <c r="CF347" s="1"/>
      <c r="CG347" s="1"/>
      <c r="CH347" s="1"/>
      <c r="CI347" s="2"/>
      <c r="CJ347" s="2"/>
      <c r="CK347" s="2"/>
      <c r="CL347" s="2"/>
      <c r="CM347" s="2"/>
      <c r="CN347" s="2"/>
      <c r="CO347" s="2"/>
      <c r="CP347" s="2"/>
      <c r="CQ347" s="2"/>
      <c r="CR347" s="2"/>
      <c r="CS347" s="2"/>
      <c r="CT347" s="2"/>
      <c r="CU347" s="2"/>
      <c r="CV347" s="2"/>
      <c r="CW347" s="2"/>
      <c r="CX347" s="2"/>
      <c r="CY347" s="2"/>
      <c r="CZ347" s="2"/>
    </row>
    <row r="348" spans="43:104" ht="15" hidden="1" customHeight="1" x14ac:dyDescent="0.2">
      <c r="AQ348" s="2"/>
      <c r="AR348" s="12"/>
      <c r="AS348" s="2"/>
      <c r="AT348" s="2"/>
      <c r="AU348" s="2"/>
      <c r="AV348" s="2"/>
      <c r="AW348" s="2"/>
      <c r="AX348" s="2"/>
      <c r="AY348" s="2"/>
      <c r="AZ348" s="2"/>
      <c r="BA348" s="2"/>
      <c r="BB348" s="2"/>
      <c r="BC348" s="2"/>
      <c r="BD348" s="2"/>
      <c r="BE348" s="2"/>
      <c r="BK348" s="2"/>
      <c r="BM348" s="2"/>
      <c r="BN348" s="2"/>
      <c r="BO348" s="2"/>
      <c r="BS348" s="11"/>
      <c r="BT348" s="2"/>
      <c r="BU348" s="3"/>
      <c r="BV348" s="3"/>
      <c r="BW348" s="2"/>
      <c r="BX348" s="2"/>
      <c r="BY348" s="2"/>
      <c r="BZ348" s="2"/>
      <c r="CA348" s="2"/>
      <c r="CB348" s="2"/>
      <c r="CC348" s="2"/>
      <c r="CD348" s="1"/>
      <c r="CE348" s="1"/>
      <c r="CF348" s="1"/>
      <c r="CG348" s="1"/>
      <c r="CH348" s="1"/>
      <c r="CI348" s="2"/>
      <c r="CJ348" s="2"/>
      <c r="CK348" s="2"/>
      <c r="CL348" s="2"/>
      <c r="CM348" s="2"/>
      <c r="CN348" s="2"/>
      <c r="CO348" s="2"/>
      <c r="CP348" s="2"/>
      <c r="CQ348" s="2"/>
      <c r="CR348" s="2"/>
      <c r="CS348" s="2"/>
      <c r="CT348" s="2"/>
      <c r="CU348" s="2"/>
      <c r="CV348" s="2"/>
      <c r="CW348" s="2"/>
      <c r="CX348" s="2"/>
      <c r="CY348" s="2"/>
      <c r="CZ348" s="2"/>
    </row>
    <row r="349" spans="43:104" ht="15" hidden="1" customHeight="1" x14ac:dyDescent="0.2">
      <c r="AQ349" s="2"/>
      <c r="AR349" s="12"/>
      <c r="AS349" s="2"/>
      <c r="AT349" s="2"/>
      <c r="AU349" s="2"/>
      <c r="AV349" s="2"/>
      <c r="AW349" s="2"/>
      <c r="AX349" s="2"/>
      <c r="AY349" s="2"/>
      <c r="AZ349" s="2"/>
      <c r="BA349" s="2"/>
      <c r="BB349" s="2"/>
      <c r="BC349" s="2"/>
      <c r="BD349" s="2"/>
      <c r="BE349" s="2"/>
      <c r="BK349" s="2"/>
      <c r="BM349" s="2"/>
      <c r="BN349" s="2"/>
      <c r="BO349" s="2"/>
      <c r="BS349" s="11"/>
      <c r="BT349" s="2"/>
      <c r="BU349" s="3"/>
      <c r="BV349" s="3"/>
      <c r="BW349" s="2"/>
      <c r="BX349" s="2"/>
      <c r="BY349" s="2"/>
      <c r="BZ349" s="2"/>
      <c r="CA349" s="2"/>
      <c r="CB349" s="2"/>
      <c r="CC349" s="2"/>
      <c r="CD349" s="1"/>
      <c r="CE349" s="1"/>
      <c r="CF349" s="1"/>
      <c r="CG349" s="1"/>
      <c r="CH349" s="1"/>
      <c r="CI349" s="2"/>
      <c r="CJ349" s="2"/>
      <c r="CK349" s="2"/>
      <c r="CL349" s="2"/>
      <c r="CM349" s="2"/>
      <c r="CN349" s="2"/>
      <c r="CO349" s="2"/>
      <c r="CP349" s="2"/>
      <c r="CQ349" s="2"/>
      <c r="CR349" s="2"/>
      <c r="CS349" s="2"/>
      <c r="CT349" s="2"/>
      <c r="CU349" s="2"/>
      <c r="CV349" s="2"/>
      <c r="CW349" s="2"/>
      <c r="CX349" s="2"/>
      <c r="CY349" s="2"/>
      <c r="CZ349" s="2"/>
    </row>
    <row r="350" spans="43:104" ht="15" hidden="1" customHeight="1" x14ac:dyDescent="0.2">
      <c r="AQ350" s="2"/>
      <c r="AR350" s="12"/>
      <c r="AS350" s="2"/>
      <c r="AT350" s="2"/>
      <c r="AU350" s="2"/>
      <c r="AV350" s="2"/>
      <c r="AW350" s="2"/>
      <c r="AX350" s="2"/>
      <c r="AY350" s="2"/>
      <c r="AZ350" s="2"/>
      <c r="BA350" s="2"/>
      <c r="BB350" s="2"/>
      <c r="BC350" s="2"/>
      <c r="BD350" s="2"/>
      <c r="BE350" s="2"/>
      <c r="BK350" s="2"/>
      <c r="BM350" s="2"/>
      <c r="BN350" s="2"/>
      <c r="BO350" s="2"/>
      <c r="BS350" s="11"/>
      <c r="BT350" s="2"/>
      <c r="BU350" s="3"/>
      <c r="BV350" s="3"/>
      <c r="BW350" s="2"/>
      <c r="BX350" s="2"/>
      <c r="BY350" s="2"/>
      <c r="BZ350" s="2"/>
      <c r="CA350" s="2"/>
      <c r="CB350" s="2"/>
      <c r="CC350" s="2"/>
      <c r="CD350" s="1"/>
      <c r="CE350" s="1"/>
      <c r="CF350" s="1"/>
      <c r="CG350" s="1"/>
      <c r="CH350" s="1"/>
      <c r="CI350" s="2"/>
      <c r="CJ350" s="2"/>
      <c r="CK350" s="2"/>
      <c r="CL350" s="2"/>
      <c r="CM350" s="2"/>
      <c r="CN350" s="2"/>
      <c r="CO350" s="2"/>
      <c r="CP350" s="2"/>
      <c r="CQ350" s="2"/>
      <c r="CR350" s="2"/>
      <c r="CS350" s="2"/>
      <c r="CT350" s="2"/>
      <c r="CU350" s="2"/>
      <c r="CV350" s="2"/>
      <c r="CW350" s="2"/>
      <c r="CX350" s="2"/>
      <c r="CY350" s="2"/>
      <c r="CZ350" s="2"/>
    </row>
    <row r="351" spans="43:104" ht="15" hidden="1" customHeight="1" x14ac:dyDescent="0.2">
      <c r="AQ351" s="2"/>
      <c r="AR351" s="12"/>
      <c r="AS351" s="2"/>
      <c r="AT351" s="2"/>
      <c r="AU351" s="2"/>
      <c r="AV351" s="2"/>
      <c r="AW351" s="2"/>
      <c r="AX351" s="2"/>
      <c r="AY351" s="2"/>
      <c r="AZ351" s="2"/>
      <c r="BA351" s="2"/>
      <c r="BB351" s="2"/>
      <c r="BC351" s="2"/>
      <c r="BD351" s="2"/>
      <c r="BE351" s="2"/>
      <c r="BK351" s="2"/>
      <c r="BM351" s="2"/>
      <c r="BN351" s="2"/>
      <c r="BO351" s="2"/>
      <c r="BS351" s="11"/>
      <c r="BT351" s="2"/>
      <c r="BU351" s="3"/>
      <c r="BV351" s="3"/>
      <c r="BW351" s="2"/>
      <c r="BX351" s="2"/>
      <c r="BY351" s="2"/>
      <c r="BZ351" s="2"/>
      <c r="CA351" s="2"/>
      <c r="CB351" s="2"/>
      <c r="CC351" s="2"/>
      <c r="CD351" s="1"/>
      <c r="CE351" s="1"/>
      <c r="CF351" s="1"/>
      <c r="CG351" s="1"/>
      <c r="CH351" s="1"/>
      <c r="CI351" s="2"/>
      <c r="CJ351" s="2"/>
      <c r="CK351" s="2"/>
      <c r="CL351" s="2"/>
      <c r="CM351" s="2"/>
      <c r="CN351" s="2"/>
      <c r="CO351" s="2"/>
      <c r="CP351" s="2"/>
      <c r="CQ351" s="2"/>
      <c r="CR351" s="2"/>
      <c r="CS351" s="2"/>
      <c r="CT351" s="2"/>
      <c r="CU351" s="2"/>
      <c r="CV351" s="2"/>
      <c r="CW351" s="2"/>
      <c r="CX351" s="2"/>
      <c r="CY351" s="2"/>
      <c r="CZ351" s="2"/>
    </row>
    <row r="352" spans="43:104" ht="15" hidden="1" customHeight="1" x14ac:dyDescent="0.2">
      <c r="AQ352" s="2"/>
      <c r="AR352" s="12"/>
      <c r="AS352" s="2"/>
      <c r="AT352" s="2"/>
      <c r="AU352" s="2"/>
      <c r="AV352" s="2"/>
      <c r="AW352" s="2"/>
      <c r="AX352" s="2"/>
      <c r="AY352" s="2"/>
      <c r="AZ352" s="2"/>
      <c r="BA352" s="2"/>
      <c r="BB352" s="2"/>
      <c r="BC352" s="2"/>
      <c r="BD352" s="2"/>
      <c r="BE352" s="2"/>
      <c r="BK352" s="2"/>
      <c r="BM352" s="2"/>
      <c r="BN352" s="2"/>
      <c r="BO352" s="2"/>
      <c r="BS352" s="11"/>
      <c r="BT352" s="2"/>
      <c r="BU352" s="3"/>
      <c r="BV352" s="3"/>
      <c r="BW352" s="2"/>
      <c r="BX352" s="2"/>
      <c r="BY352" s="2"/>
      <c r="BZ352" s="2"/>
      <c r="CA352" s="2"/>
      <c r="CB352" s="2"/>
      <c r="CC352" s="2"/>
      <c r="CD352" s="1"/>
      <c r="CE352" s="1"/>
      <c r="CF352" s="1"/>
      <c r="CG352" s="1"/>
      <c r="CH352" s="1"/>
      <c r="CI352" s="2"/>
      <c r="CJ352" s="2"/>
      <c r="CK352" s="2"/>
      <c r="CL352" s="2"/>
      <c r="CM352" s="2"/>
      <c r="CN352" s="2"/>
      <c r="CO352" s="2"/>
      <c r="CP352" s="2"/>
      <c r="CQ352" s="2"/>
      <c r="CR352" s="2"/>
      <c r="CS352" s="2"/>
      <c r="CT352" s="2"/>
      <c r="CU352" s="2"/>
      <c r="CV352" s="2"/>
      <c r="CW352" s="2"/>
      <c r="CX352" s="2"/>
      <c r="CY352" s="2"/>
      <c r="CZ352" s="2"/>
    </row>
    <row r="353" spans="44:104" ht="15" hidden="1" customHeight="1" x14ac:dyDescent="0.2">
      <c r="AR353" s="12"/>
      <c r="AS353" s="2"/>
      <c r="AT353" s="2"/>
      <c r="AU353" s="2"/>
      <c r="AV353" s="2"/>
      <c r="AW353" s="2"/>
      <c r="AX353" s="2"/>
      <c r="AY353" s="2"/>
      <c r="AZ353" s="2"/>
      <c r="BA353" s="2"/>
      <c r="BB353" s="2"/>
      <c r="BC353" s="2"/>
      <c r="BD353" s="2"/>
      <c r="BE353" s="2"/>
      <c r="BK353" s="2"/>
      <c r="BM353" s="2"/>
      <c r="BN353" s="2"/>
      <c r="BO353" s="2"/>
      <c r="BS353" s="11"/>
      <c r="BT353" s="2"/>
      <c r="BU353" s="3"/>
      <c r="BV353" s="3"/>
      <c r="BW353" s="2"/>
      <c r="BX353" s="2"/>
      <c r="BY353" s="2"/>
      <c r="BZ353" s="2"/>
      <c r="CA353" s="2"/>
      <c r="CB353" s="2"/>
      <c r="CC353" s="2"/>
      <c r="CD353" s="1"/>
      <c r="CE353" s="1"/>
      <c r="CF353" s="1"/>
      <c r="CG353" s="1"/>
      <c r="CH353" s="1"/>
      <c r="CI353" s="2"/>
      <c r="CJ353" s="2"/>
      <c r="CK353" s="2"/>
      <c r="CL353" s="2"/>
      <c r="CM353" s="2"/>
      <c r="CN353" s="2"/>
      <c r="CO353" s="2"/>
      <c r="CP353" s="2"/>
      <c r="CQ353" s="2"/>
      <c r="CR353" s="2"/>
      <c r="CS353" s="2"/>
      <c r="CT353" s="2"/>
      <c r="CU353" s="2"/>
      <c r="CV353" s="2"/>
      <c r="CW353" s="2"/>
      <c r="CX353" s="2"/>
      <c r="CY353" s="2"/>
      <c r="CZ353" s="2"/>
    </row>
    <row r="354" spans="44:104" ht="15" hidden="1" customHeight="1" x14ac:dyDescent="0.2">
      <c r="AR354" s="12"/>
      <c r="AS354" s="2"/>
      <c r="AT354" s="2"/>
      <c r="AU354" s="2"/>
      <c r="AV354" s="2"/>
      <c r="AW354" s="2"/>
      <c r="AX354" s="2"/>
      <c r="AY354" s="2"/>
      <c r="AZ354" s="2"/>
      <c r="BA354" s="2"/>
      <c r="BB354" s="2"/>
      <c r="BC354" s="2"/>
      <c r="BD354" s="2"/>
      <c r="BE354" s="2"/>
      <c r="BK354" s="2"/>
      <c r="BM354" s="2"/>
      <c r="BN354" s="2"/>
      <c r="BO354" s="2"/>
      <c r="BS354" s="11"/>
      <c r="BT354" s="2"/>
      <c r="BU354" s="3"/>
      <c r="BV354" s="3"/>
      <c r="BW354" s="2"/>
      <c r="BX354" s="2"/>
      <c r="BY354" s="2"/>
      <c r="BZ354" s="2"/>
      <c r="CA354" s="2"/>
      <c r="CB354" s="2"/>
      <c r="CC354" s="2"/>
      <c r="CD354" s="1"/>
      <c r="CE354" s="1"/>
      <c r="CF354" s="1"/>
      <c r="CG354" s="1"/>
      <c r="CH354" s="1"/>
      <c r="CI354" s="2"/>
      <c r="CJ354" s="2"/>
      <c r="CK354" s="2"/>
      <c r="CL354" s="2"/>
      <c r="CM354" s="2"/>
      <c r="CN354" s="2"/>
      <c r="CO354" s="2"/>
      <c r="CP354" s="2"/>
      <c r="CQ354" s="2"/>
      <c r="CR354" s="2"/>
      <c r="CS354" s="2"/>
      <c r="CT354" s="2"/>
      <c r="CU354" s="2"/>
      <c r="CV354" s="2"/>
      <c r="CW354" s="2"/>
      <c r="CX354" s="2"/>
      <c r="CY354" s="2"/>
      <c r="CZ354" s="2"/>
    </row>
    <row r="355" spans="44:104" ht="15" hidden="1" customHeight="1" x14ac:dyDescent="0.2">
      <c r="AR355" s="12"/>
      <c r="AS355" s="2"/>
      <c r="AT355" s="2"/>
      <c r="AU355" s="2"/>
      <c r="AV355" s="2"/>
      <c r="AW355" s="2"/>
      <c r="AX355" s="2"/>
      <c r="AY355" s="2"/>
      <c r="AZ355" s="2"/>
      <c r="BA355" s="2"/>
      <c r="BB355" s="2"/>
      <c r="BC355" s="2"/>
      <c r="BD355" s="2"/>
      <c r="BE355" s="2"/>
      <c r="BK355" s="2"/>
      <c r="BM355" s="2"/>
      <c r="BN355" s="2"/>
      <c r="BO355" s="2"/>
      <c r="BS355" s="11"/>
      <c r="BT355" s="2"/>
      <c r="BU355" s="3"/>
      <c r="BV355" s="3"/>
      <c r="BW355" s="2"/>
      <c r="BX355" s="2"/>
      <c r="BY355" s="2"/>
      <c r="BZ355" s="2"/>
      <c r="CA355" s="2"/>
      <c r="CB355" s="2"/>
      <c r="CC355" s="2"/>
      <c r="CD355" s="1"/>
      <c r="CE355" s="1"/>
      <c r="CF355" s="1"/>
      <c r="CG355" s="1"/>
      <c r="CH355" s="1"/>
      <c r="CI355" s="2"/>
      <c r="CJ355" s="2"/>
      <c r="CK355" s="2"/>
      <c r="CL355" s="2"/>
      <c r="CM355" s="2"/>
      <c r="CN355" s="2"/>
      <c r="CO355" s="2"/>
      <c r="CP355" s="2"/>
      <c r="CQ355" s="2"/>
      <c r="CR355" s="2"/>
      <c r="CS355" s="2"/>
      <c r="CT355" s="2"/>
      <c r="CU355" s="2"/>
      <c r="CV355" s="2"/>
      <c r="CW355" s="2"/>
      <c r="CX355" s="2"/>
      <c r="CY355" s="2"/>
      <c r="CZ355" s="2"/>
    </row>
    <row r="356" spans="44:104" ht="15" hidden="1" customHeight="1" x14ac:dyDescent="0.2">
      <c r="AR356" s="12"/>
      <c r="AS356" s="2"/>
      <c r="AT356" s="2"/>
      <c r="AU356" s="2"/>
      <c r="AV356" s="2"/>
      <c r="AW356" s="2"/>
      <c r="AX356" s="2"/>
      <c r="AY356" s="2"/>
      <c r="AZ356" s="2"/>
      <c r="BA356" s="2"/>
      <c r="BB356" s="2"/>
      <c r="BC356" s="2"/>
      <c r="BD356" s="2"/>
      <c r="BE356" s="2"/>
      <c r="BK356" s="2"/>
      <c r="BM356" s="2"/>
      <c r="BN356" s="2"/>
      <c r="BO356" s="2"/>
      <c r="BS356" s="11"/>
      <c r="BT356" s="2"/>
      <c r="BU356" s="3"/>
      <c r="BV356" s="3"/>
      <c r="BW356" s="2"/>
      <c r="BX356" s="2"/>
      <c r="BY356" s="2"/>
      <c r="BZ356" s="2"/>
      <c r="CA356" s="2"/>
      <c r="CB356" s="2"/>
      <c r="CC356" s="2"/>
      <c r="CD356" s="1"/>
      <c r="CE356" s="1"/>
      <c r="CF356" s="1"/>
      <c r="CG356" s="1"/>
      <c r="CH356" s="1"/>
      <c r="CI356" s="2"/>
      <c r="CJ356" s="2"/>
      <c r="CK356" s="2"/>
      <c r="CL356" s="2"/>
      <c r="CM356" s="2"/>
      <c r="CN356" s="2"/>
      <c r="CO356" s="2"/>
      <c r="CP356" s="2"/>
      <c r="CQ356" s="2"/>
      <c r="CR356" s="2"/>
      <c r="CS356" s="2"/>
      <c r="CT356" s="2"/>
      <c r="CU356" s="2"/>
      <c r="CV356" s="2"/>
      <c r="CW356" s="2"/>
      <c r="CX356" s="2"/>
      <c r="CY356" s="2"/>
      <c r="CZ356" s="2"/>
    </row>
    <row r="357" spans="44:104" ht="15" hidden="1" customHeight="1" x14ac:dyDescent="0.2">
      <c r="AR357" s="12"/>
      <c r="AS357" s="2"/>
      <c r="AT357" s="2"/>
      <c r="AU357" s="2"/>
      <c r="AV357" s="2"/>
      <c r="AW357" s="2"/>
      <c r="AX357" s="2"/>
      <c r="AY357" s="2"/>
      <c r="AZ357" s="2"/>
      <c r="BA357" s="2"/>
      <c r="BB357" s="2"/>
      <c r="BC357" s="2"/>
      <c r="BD357" s="2"/>
      <c r="BE357" s="2"/>
      <c r="BK357" s="2"/>
      <c r="BM357" s="2"/>
      <c r="BN357" s="2"/>
      <c r="BO357" s="2"/>
      <c r="BS357" s="11"/>
      <c r="BT357" s="2"/>
      <c r="BU357" s="3"/>
      <c r="BV357" s="3"/>
      <c r="BW357" s="2"/>
      <c r="BX357" s="2"/>
      <c r="BY357" s="2"/>
      <c r="BZ357" s="2"/>
      <c r="CA357" s="2"/>
      <c r="CB357" s="2"/>
      <c r="CC357" s="2"/>
      <c r="CD357" s="1"/>
      <c r="CE357" s="1"/>
      <c r="CF357" s="1"/>
      <c r="CG357" s="1"/>
      <c r="CH357" s="1"/>
      <c r="CI357" s="2"/>
      <c r="CJ357" s="2"/>
      <c r="CK357" s="2"/>
      <c r="CL357" s="2"/>
      <c r="CM357" s="2"/>
      <c r="CN357" s="2"/>
      <c r="CO357" s="2"/>
      <c r="CP357" s="2"/>
      <c r="CQ357" s="2"/>
      <c r="CR357" s="2"/>
      <c r="CS357" s="2"/>
      <c r="CT357" s="2"/>
      <c r="CU357" s="2"/>
      <c r="CV357" s="2"/>
      <c r="CW357" s="2"/>
      <c r="CX357" s="2"/>
      <c r="CY357" s="2"/>
      <c r="CZ357" s="2"/>
    </row>
    <row r="358" spans="44:104" ht="15" hidden="1" customHeight="1" x14ac:dyDescent="0.2">
      <c r="AR358" s="12"/>
      <c r="AS358" s="2"/>
      <c r="AT358" s="2"/>
      <c r="AU358" s="2"/>
      <c r="AV358" s="2"/>
      <c r="AW358" s="2"/>
      <c r="AX358" s="2"/>
      <c r="AY358" s="2"/>
      <c r="AZ358" s="2"/>
      <c r="BA358" s="2"/>
      <c r="BB358" s="2"/>
      <c r="BC358" s="2"/>
      <c r="BD358" s="2"/>
      <c r="BE358" s="2"/>
      <c r="BK358" s="2"/>
      <c r="BM358" s="2"/>
      <c r="BN358" s="2"/>
      <c r="BO358" s="2"/>
      <c r="BS358" s="11"/>
      <c r="BT358" s="2"/>
      <c r="BU358" s="3"/>
      <c r="BV358" s="3"/>
      <c r="BW358" s="2"/>
      <c r="BX358" s="2"/>
      <c r="BY358" s="2"/>
      <c r="BZ358" s="2"/>
      <c r="CA358" s="2"/>
      <c r="CB358" s="2"/>
      <c r="CC358" s="2"/>
      <c r="CD358" s="1"/>
      <c r="CE358" s="1"/>
      <c r="CF358" s="1"/>
      <c r="CG358" s="1"/>
      <c r="CH358" s="1"/>
      <c r="CI358" s="2"/>
      <c r="CJ358" s="2"/>
      <c r="CK358" s="2"/>
      <c r="CL358" s="2"/>
      <c r="CM358" s="2"/>
      <c r="CN358" s="2"/>
      <c r="CO358" s="2"/>
      <c r="CP358" s="2"/>
      <c r="CQ358" s="2"/>
      <c r="CR358" s="2"/>
      <c r="CS358" s="2"/>
      <c r="CT358" s="2"/>
      <c r="CU358" s="2"/>
      <c r="CV358" s="2"/>
      <c r="CW358" s="2"/>
      <c r="CX358" s="2"/>
      <c r="CY358" s="2"/>
      <c r="CZ358" s="2"/>
    </row>
    <row r="359" spans="44:104" ht="15" hidden="1" customHeight="1" x14ac:dyDescent="0.2">
      <c r="AR359" s="12"/>
      <c r="AS359" s="2"/>
      <c r="AT359" s="2"/>
      <c r="AU359" s="2"/>
      <c r="AV359" s="2"/>
      <c r="AW359" s="2"/>
      <c r="AX359" s="2"/>
      <c r="AY359" s="2"/>
      <c r="AZ359" s="2"/>
      <c r="BA359" s="2"/>
      <c r="BB359" s="2"/>
      <c r="BC359" s="2"/>
      <c r="BD359" s="2"/>
      <c r="BE359" s="2"/>
      <c r="BK359" s="2"/>
      <c r="BM359" s="2"/>
      <c r="BN359" s="2"/>
      <c r="BO359" s="2"/>
      <c r="BS359" s="11"/>
      <c r="BT359" s="2"/>
      <c r="BU359" s="3"/>
      <c r="BV359" s="3"/>
      <c r="BW359" s="2"/>
      <c r="BX359" s="2"/>
      <c r="BY359" s="2"/>
      <c r="BZ359" s="2"/>
      <c r="CA359" s="2"/>
      <c r="CB359" s="2"/>
      <c r="CC359" s="2"/>
      <c r="CD359" s="1"/>
      <c r="CE359" s="1"/>
      <c r="CF359" s="1"/>
      <c r="CG359" s="1"/>
      <c r="CH359" s="1"/>
      <c r="CI359" s="2"/>
      <c r="CJ359" s="2"/>
      <c r="CK359" s="2"/>
      <c r="CL359" s="2"/>
      <c r="CM359" s="2"/>
      <c r="CN359" s="2"/>
      <c r="CO359" s="2"/>
      <c r="CP359" s="2"/>
      <c r="CQ359" s="2"/>
      <c r="CR359" s="2"/>
      <c r="CS359" s="2"/>
      <c r="CT359" s="2"/>
      <c r="CU359" s="2"/>
      <c r="CV359" s="2"/>
      <c r="CW359" s="2"/>
      <c r="CX359" s="2"/>
      <c r="CY359" s="2"/>
      <c r="CZ359" s="2"/>
    </row>
    <row r="360" spans="44:104" ht="15" hidden="1" customHeight="1" x14ac:dyDescent="0.2">
      <c r="AR360" s="12"/>
      <c r="AS360" s="2"/>
      <c r="AT360" s="2"/>
      <c r="AU360" s="2"/>
      <c r="AV360" s="2"/>
      <c r="AW360" s="2"/>
      <c r="AX360" s="2"/>
      <c r="AY360" s="2"/>
      <c r="AZ360" s="2"/>
      <c r="BA360" s="2"/>
      <c r="BB360" s="2"/>
      <c r="BC360" s="2"/>
      <c r="BD360" s="2"/>
      <c r="BE360" s="2"/>
      <c r="BK360" s="2"/>
      <c r="BM360" s="2"/>
      <c r="BN360" s="2"/>
      <c r="BO360" s="2"/>
      <c r="BS360" s="11"/>
      <c r="BT360" s="2"/>
      <c r="BU360" s="3"/>
      <c r="BV360" s="3"/>
      <c r="BW360" s="2"/>
      <c r="BX360" s="2"/>
      <c r="BY360" s="2"/>
      <c r="BZ360" s="2"/>
      <c r="CA360" s="2"/>
      <c r="CB360" s="2"/>
      <c r="CC360" s="2"/>
      <c r="CD360" s="1"/>
      <c r="CE360" s="1"/>
      <c r="CF360" s="1"/>
      <c r="CG360" s="1"/>
      <c r="CH360" s="1"/>
      <c r="CI360" s="2"/>
      <c r="CJ360" s="2"/>
      <c r="CK360" s="2"/>
      <c r="CL360" s="2"/>
      <c r="CM360" s="2"/>
      <c r="CN360" s="2"/>
      <c r="CO360" s="2"/>
      <c r="CP360" s="2"/>
      <c r="CQ360" s="2"/>
      <c r="CR360" s="2"/>
      <c r="CS360" s="2"/>
      <c r="CT360" s="2"/>
      <c r="CU360" s="2"/>
      <c r="CV360" s="2"/>
      <c r="CW360" s="2"/>
      <c r="CX360" s="2"/>
      <c r="CY360" s="2"/>
      <c r="CZ360" s="2"/>
    </row>
    <row r="361" spans="44:104" ht="15" hidden="1" customHeight="1" x14ac:dyDescent="0.2">
      <c r="AR361" s="12"/>
      <c r="AS361" s="2"/>
      <c r="AT361" s="2"/>
      <c r="AU361" s="2"/>
      <c r="AV361" s="2"/>
      <c r="AW361" s="2"/>
      <c r="AX361" s="2"/>
      <c r="AY361" s="2"/>
      <c r="AZ361" s="2"/>
      <c r="BA361" s="2"/>
      <c r="BB361" s="2"/>
      <c r="BC361" s="2"/>
      <c r="BD361" s="2"/>
      <c r="BE361" s="2"/>
      <c r="BK361" s="2"/>
      <c r="BM361" s="2"/>
      <c r="BN361" s="2"/>
      <c r="BO361" s="2"/>
      <c r="BS361" s="11"/>
      <c r="BT361" s="2"/>
      <c r="BU361" s="3"/>
      <c r="BV361" s="3"/>
      <c r="BW361" s="2"/>
      <c r="BX361" s="2"/>
      <c r="BY361" s="2"/>
      <c r="BZ361" s="2"/>
      <c r="CA361" s="2"/>
      <c r="CB361" s="2"/>
      <c r="CC361" s="2"/>
      <c r="CD361" s="1"/>
      <c r="CE361" s="1"/>
      <c r="CF361" s="1"/>
      <c r="CG361" s="1"/>
      <c r="CH361" s="1"/>
      <c r="CI361" s="2"/>
      <c r="CJ361" s="2"/>
      <c r="CK361" s="2"/>
      <c r="CL361" s="2"/>
      <c r="CM361" s="2"/>
      <c r="CN361" s="2"/>
      <c r="CO361" s="2"/>
      <c r="CP361" s="2"/>
      <c r="CQ361" s="2"/>
      <c r="CR361" s="2"/>
      <c r="CS361" s="2"/>
      <c r="CT361" s="2"/>
      <c r="CU361" s="2"/>
      <c r="CV361" s="2"/>
      <c r="CW361" s="2"/>
      <c r="CX361" s="2"/>
      <c r="CY361" s="2"/>
      <c r="CZ361" s="2"/>
    </row>
    <row r="362" spans="44:104" ht="15" hidden="1" customHeight="1" x14ac:dyDescent="0.2">
      <c r="AR362" s="12"/>
      <c r="AS362" s="2"/>
      <c r="AT362" s="2"/>
      <c r="AU362" s="2"/>
      <c r="AV362" s="2"/>
      <c r="AW362" s="2"/>
      <c r="AX362" s="2"/>
      <c r="AY362" s="2"/>
      <c r="AZ362" s="2"/>
      <c r="BA362" s="2"/>
      <c r="BB362" s="2"/>
      <c r="BC362" s="2"/>
      <c r="BD362" s="2"/>
      <c r="BE362" s="2"/>
      <c r="BK362" s="2"/>
      <c r="BM362" s="2"/>
      <c r="BN362" s="2"/>
      <c r="BO362" s="2"/>
      <c r="BS362" s="11"/>
      <c r="BT362" s="2"/>
      <c r="BU362" s="3"/>
      <c r="BV362" s="3"/>
      <c r="BW362" s="2"/>
      <c r="BX362" s="2"/>
      <c r="BY362" s="2"/>
      <c r="BZ362" s="46"/>
      <c r="CA362" s="1"/>
      <c r="CB362" s="1"/>
      <c r="CC362" s="1"/>
      <c r="CD362" s="1"/>
      <c r="CE362" s="1"/>
      <c r="CF362" s="1"/>
      <c r="CG362" s="1"/>
      <c r="CH362" s="1"/>
      <c r="CI362" s="2"/>
      <c r="CJ362" s="2"/>
      <c r="CK362" s="2"/>
      <c r="CL362" s="2"/>
      <c r="CM362" s="2"/>
      <c r="CN362" s="2"/>
      <c r="CO362" s="2"/>
      <c r="CP362" s="2"/>
      <c r="CQ362" s="2"/>
      <c r="CR362" s="2"/>
      <c r="CS362" s="2"/>
      <c r="CT362" s="2"/>
      <c r="CU362" s="2"/>
      <c r="CV362" s="2"/>
      <c r="CW362" s="2"/>
      <c r="CX362" s="2"/>
      <c r="CY362" s="2"/>
      <c r="CZ362" s="2"/>
    </row>
    <row r="363" spans="44:104" ht="15" hidden="1" customHeight="1" x14ac:dyDescent="0.2">
      <c r="AR363" s="12"/>
      <c r="AS363" s="2"/>
      <c r="AT363" s="2"/>
      <c r="AU363" s="2"/>
      <c r="AV363" s="2"/>
      <c r="AW363" s="2"/>
      <c r="AX363" s="2"/>
      <c r="AY363" s="2"/>
      <c r="AZ363" s="2"/>
      <c r="BA363" s="2"/>
      <c r="BB363" s="2"/>
      <c r="BC363" s="2"/>
      <c r="BD363" s="2"/>
      <c r="BE363" s="2"/>
      <c r="BK363" s="2"/>
      <c r="BM363" s="2"/>
      <c r="BN363" s="2"/>
      <c r="BO363" s="2"/>
      <c r="BS363" s="11"/>
      <c r="BT363" s="2"/>
      <c r="BU363" s="3"/>
      <c r="BV363" s="3"/>
      <c r="BW363" s="2"/>
      <c r="BX363" s="2"/>
      <c r="BY363" s="2"/>
      <c r="BZ363" s="2"/>
      <c r="CA363" s="2"/>
      <c r="CB363" s="2"/>
      <c r="CC363" s="2"/>
      <c r="CD363" s="1"/>
      <c r="CE363" s="1"/>
      <c r="CF363" s="1"/>
      <c r="CG363" s="1"/>
      <c r="CH363" s="1"/>
      <c r="CI363" s="2"/>
      <c r="CJ363" s="2"/>
      <c r="CK363" s="2"/>
      <c r="CL363" s="2"/>
      <c r="CM363" s="2"/>
      <c r="CN363" s="2"/>
      <c r="CO363" s="2"/>
      <c r="CP363" s="2"/>
      <c r="CQ363" s="2"/>
      <c r="CR363" s="2"/>
      <c r="CS363" s="2"/>
      <c r="CT363" s="2"/>
      <c r="CU363" s="2"/>
      <c r="CV363" s="2"/>
      <c r="CW363" s="2"/>
      <c r="CX363" s="2"/>
      <c r="CY363" s="2"/>
      <c r="CZ363" s="2"/>
    </row>
    <row r="364" spans="44:104" ht="15" hidden="1" customHeight="1" x14ac:dyDescent="0.2">
      <c r="AR364" s="12"/>
      <c r="AS364" s="2"/>
      <c r="AT364" s="2"/>
      <c r="AU364" s="2"/>
      <c r="AV364" s="2"/>
      <c r="AW364" s="2"/>
      <c r="AX364" s="2"/>
      <c r="AY364" s="2"/>
      <c r="AZ364" s="2"/>
      <c r="BA364" s="2"/>
      <c r="BB364" s="2"/>
      <c r="BC364" s="2"/>
      <c r="BD364" s="2"/>
      <c r="BE364" s="2"/>
      <c r="BK364" s="2"/>
      <c r="BM364" s="2"/>
      <c r="BN364" s="2"/>
      <c r="BO364" s="2"/>
      <c r="BS364" s="11"/>
      <c r="BT364" s="2"/>
      <c r="BU364" s="3"/>
      <c r="BV364" s="3"/>
      <c r="BW364" s="2"/>
      <c r="BX364" s="2"/>
      <c r="BY364" s="2"/>
      <c r="BZ364" s="2"/>
      <c r="CA364" s="2"/>
      <c r="CB364" s="2"/>
      <c r="CC364" s="2"/>
      <c r="CD364" s="1"/>
      <c r="CE364" s="1"/>
      <c r="CF364" s="1"/>
      <c r="CG364" s="1"/>
      <c r="CH364" s="1"/>
      <c r="CI364" s="2"/>
      <c r="CJ364" s="2"/>
      <c r="CK364" s="2"/>
      <c r="CL364" s="2"/>
      <c r="CM364" s="2"/>
      <c r="CN364" s="2"/>
      <c r="CO364" s="2"/>
      <c r="CP364" s="2"/>
      <c r="CQ364" s="2"/>
      <c r="CR364" s="2"/>
      <c r="CS364" s="2"/>
      <c r="CT364" s="2"/>
      <c r="CU364" s="2"/>
      <c r="CV364" s="2"/>
      <c r="CW364" s="2"/>
      <c r="CX364" s="2"/>
      <c r="CY364" s="2"/>
      <c r="CZ364" s="2"/>
    </row>
    <row r="365" spans="44:104" ht="15" hidden="1" customHeight="1" x14ac:dyDescent="0.2">
      <c r="AR365" s="2"/>
      <c r="AS365" s="2"/>
      <c r="AT365" s="2"/>
      <c r="AU365" s="2"/>
      <c r="AV365" s="2"/>
      <c r="AW365" s="2"/>
      <c r="AX365" s="2"/>
      <c r="AY365" s="2"/>
      <c r="AZ365" s="2"/>
      <c r="BA365" s="2"/>
      <c r="BB365" s="2"/>
      <c r="BC365" s="2"/>
      <c r="BD365" s="2"/>
      <c r="BE365" s="2"/>
      <c r="BK365" s="2"/>
      <c r="BM365" s="2"/>
      <c r="BN365" s="2"/>
      <c r="BO365" s="2"/>
      <c r="BS365" s="11"/>
      <c r="BT365" s="2"/>
      <c r="BU365" s="3"/>
      <c r="BV365" s="3"/>
      <c r="BW365" s="2"/>
      <c r="BX365" s="2"/>
      <c r="BY365" s="2"/>
      <c r="BZ365" s="2"/>
      <c r="CA365" s="2"/>
      <c r="CB365" s="2"/>
      <c r="CC365" s="2"/>
      <c r="CD365" s="1"/>
      <c r="CE365" s="1"/>
      <c r="CF365" s="1"/>
      <c r="CG365" s="1"/>
      <c r="CH365" s="1"/>
      <c r="CI365" s="2"/>
      <c r="CJ365" s="2"/>
      <c r="CK365" s="2"/>
      <c r="CL365" s="2"/>
      <c r="CM365" s="2"/>
      <c r="CN365" s="2"/>
      <c r="CO365" s="2"/>
      <c r="CP365" s="2"/>
      <c r="CQ365" s="2"/>
      <c r="CR365" s="2"/>
      <c r="CS365" s="2"/>
      <c r="CT365" s="2"/>
      <c r="CU365" s="2"/>
      <c r="CV365" s="2"/>
      <c r="CW365" s="2"/>
      <c r="CX365" s="2"/>
      <c r="CY365" s="2"/>
      <c r="CZ365" s="2"/>
    </row>
    <row r="366" spans="44:104" ht="15" hidden="1" customHeight="1" x14ac:dyDescent="0.2">
      <c r="AR366" s="2"/>
      <c r="AS366" s="2"/>
      <c r="AT366" s="2"/>
      <c r="AU366" s="2"/>
      <c r="AV366" s="2"/>
      <c r="AW366" s="2"/>
      <c r="AX366" s="2"/>
      <c r="AY366" s="2"/>
      <c r="AZ366" s="2"/>
      <c r="BA366" s="2"/>
      <c r="BB366" s="2"/>
      <c r="BC366" s="2"/>
      <c r="BD366" s="2"/>
      <c r="BE366" s="2"/>
      <c r="BK366" s="2"/>
      <c r="BM366" s="2"/>
      <c r="BN366" s="2"/>
      <c r="BO366" s="2"/>
      <c r="BS366" s="11"/>
      <c r="BT366" s="2"/>
      <c r="BU366" s="3"/>
      <c r="BV366" s="3"/>
      <c r="BW366" s="2"/>
      <c r="BX366" s="2"/>
      <c r="BY366" s="2"/>
      <c r="BZ366" s="2"/>
      <c r="CA366" s="2"/>
      <c r="CB366" s="2"/>
      <c r="CC366" s="2"/>
      <c r="CD366" s="1"/>
      <c r="CE366" s="1"/>
      <c r="CF366" s="1"/>
      <c r="CG366" s="1"/>
      <c r="CH366" s="1"/>
      <c r="CI366" s="2"/>
      <c r="CJ366" s="2"/>
      <c r="CK366" s="2"/>
      <c r="CL366" s="2"/>
      <c r="CM366" s="2"/>
      <c r="CN366" s="2"/>
      <c r="CO366" s="2"/>
      <c r="CP366" s="2"/>
      <c r="CQ366" s="2"/>
      <c r="CR366" s="2"/>
      <c r="CS366" s="2"/>
      <c r="CT366" s="2"/>
      <c r="CU366" s="2"/>
      <c r="CV366" s="2"/>
      <c r="CW366" s="2"/>
      <c r="CX366" s="2"/>
      <c r="CY366" s="2"/>
      <c r="CZ366" s="2"/>
    </row>
    <row r="367" spans="44:104" ht="15" hidden="1" customHeight="1" x14ac:dyDescent="0.2">
      <c r="AR367" s="2"/>
      <c r="AS367" s="2"/>
      <c r="AT367" s="2"/>
      <c r="AU367" s="2"/>
      <c r="AV367" s="2"/>
      <c r="AW367" s="2"/>
      <c r="AX367" s="2"/>
      <c r="AY367" s="2"/>
      <c r="AZ367" s="2"/>
      <c r="BA367" s="2"/>
      <c r="BB367" s="2"/>
      <c r="BC367" s="2"/>
      <c r="BD367" s="2"/>
      <c r="BE367" s="2"/>
      <c r="BK367" s="2"/>
      <c r="BM367" s="2"/>
      <c r="BN367" s="2"/>
      <c r="BO367" s="2"/>
      <c r="BS367" s="11"/>
      <c r="BT367" s="2"/>
      <c r="BU367" s="3"/>
      <c r="BV367" s="3"/>
      <c r="BW367" s="2"/>
      <c r="BX367" s="2"/>
      <c r="BY367" s="2"/>
      <c r="BZ367" s="2"/>
      <c r="CA367" s="2"/>
      <c r="CB367" s="2"/>
      <c r="CC367" s="2"/>
      <c r="CD367" s="1"/>
      <c r="CE367" s="1"/>
      <c r="CF367" s="1"/>
      <c r="CG367" s="1"/>
      <c r="CH367" s="1"/>
      <c r="CI367" s="2"/>
      <c r="CJ367" s="2"/>
      <c r="CK367" s="2"/>
      <c r="CL367" s="2"/>
      <c r="CM367" s="2"/>
      <c r="CN367" s="2"/>
      <c r="CO367" s="2"/>
      <c r="CP367" s="2"/>
      <c r="CQ367" s="2"/>
      <c r="CR367" s="2"/>
      <c r="CS367" s="2"/>
      <c r="CT367" s="2"/>
      <c r="CU367" s="2"/>
      <c r="CV367" s="2"/>
      <c r="CW367" s="2"/>
      <c r="CX367" s="2"/>
      <c r="CY367" s="2"/>
      <c r="CZ367" s="2"/>
    </row>
    <row r="368" spans="44:104" ht="15" hidden="1" customHeight="1" x14ac:dyDescent="0.2">
      <c r="AR368" s="2"/>
      <c r="AS368" s="2"/>
      <c r="AT368" s="2"/>
      <c r="AU368" s="2"/>
      <c r="AV368" s="2"/>
      <c r="AW368" s="2"/>
      <c r="AX368" s="2"/>
      <c r="AY368" s="2"/>
      <c r="AZ368" s="2"/>
      <c r="BA368" s="2"/>
      <c r="BB368" s="2"/>
      <c r="BC368" s="2"/>
      <c r="BD368" s="2"/>
      <c r="BE368" s="2"/>
      <c r="BK368" s="2"/>
      <c r="BM368" s="2"/>
      <c r="BN368" s="2"/>
      <c r="BO368" s="2"/>
      <c r="BS368" s="11"/>
      <c r="BT368" s="2"/>
      <c r="BU368" s="3"/>
      <c r="BV368" s="3"/>
      <c r="BW368" s="2"/>
      <c r="BX368" s="2"/>
      <c r="BY368" s="2"/>
      <c r="BZ368" s="2"/>
      <c r="CA368" s="2"/>
      <c r="CB368" s="2"/>
      <c r="CC368" s="2"/>
      <c r="CD368" s="1"/>
      <c r="CE368" s="1"/>
      <c r="CF368" s="1"/>
      <c r="CG368" s="1"/>
      <c r="CH368" s="1"/>
      <c r="CI368" s="2"/>
      <c r="CJ368" s="2"/>
      <c r="CK368" s="2"/>
      <c r="CL368" s="2"/>
      <c r="CM368" s="2"/>
      <c r="CN368" s="2"/>
      <c r="CO368" s="2"/>
      <c r="CP368" s="2"/>
      <c r="CQ368" s="2"/>
      <c r="CR368" s="2"/>
      <c r="CS368" s="2"/>
      <c r="CT368" s="2"/>
      <c r="CU368" s="2"/>
      <c r="CV368" s="2"/>
      <c r="CW368" s="2"/>
      <c r="CX368" s="2"/>
      <c r="CY368" s="2"/>
      <c r="CZ368" s="2"/>
    </row>
    <row r="369" spans="44:104" ht="15" hidden="1" customHeight="1" x14ac:dyDescent="0.2">
      <c r="AR369" s="2"/>
      <c r="AS369" s="2"/>
      <c r="AT369" s="2"/>
      <c r="AU369" s="2"/>
      <c r="AV369" s="2"/>
      <c r="AW369" s="2"/>
      <c r="AX369" s="2"/>
      <c r="AY369" s="2"/>
      <c r="AZ369" s="2"/>
      <c r="BA369" s="2"/>
      <c r="BB369" s="2"/>
      <c r="BC369" s="2"/>
      <c r="BD369" s="2"/>
      <c r="BE369" s="2"/>
      <c r="BK369" s="2"/>
      <c r="BM369" s="2"/>
      <c r="BN369" s="2"/>
      <c r="BO369" s="2"/>
      <c r="BS369" s="11"/>
      <c r="BT369" s="2"/>
      <c r="BU369" s="3"/>
      <c r="BV369" s="3"/>
      <c r="BW369" s="2"/>
      <c r="BX369" s="2"/>
      <c r="BY369" s="2"/>
      <c r="BZ369" s="2"/>
      <c r="CA369" s="2"/>
      <c r="CB369" s="2"/>
      <c r="CC369" s="2"/>
      <c r="CD369" s="1"/>
      <c r="CE369" s="1"/>
      <c r="CF369" s="1"/>
      <c r="CG369" s="1"/>
      <c r="CH369" s="1"/>
      <c r="CI369" s="2"/>
      <c r="CJ369" s="2"/>
      <c r="CK369" s="2"/>
      <c r="CL369" s="2"/>
      <c r="CM369" s="2"/>
      <c r="CN369" s="2"/>
      <c r="CO369" s="2"/>
      <c r="CP369" s="2"/>
      <c r="CQ369" s="2"/>
      <c r="CR369" s="2"/>
      <c r="CS369" s="2"/>
      <c r="CT369" s="2"/>
      <c r="CU369" s="2"/>
      <c r="CV369" s="2"/>
      <c r="CW369" s="2"/>
      <c r="CX369" s="2"/>
      <c r="CY369" s="2"/>
      <c r="CZ369" s="2"/>
    </row>
    <row r="370" spans="44:104" ht="15" hidden="1" customHeight="1" x14ac:dyDescent="0.2">
      <c r="AR370" s="2"/>
      <c r="AS370" s="2"/>
      <c r="AT370" s="2"/>
      <c r="AU370" s="2"/>
      <c r="AV370" s="2"/>
      <c r="AW370" s="2"/>
      <c r="AX370" s="2"/>
      <c r="AY370" s="2"/>
      <c r="AZ370" s="2"/>
      <c r="BA370" s="2"/>
      <c r="BB370" s="2"/>
      <c r="BC370" s="2"/>
      <c r="BD370" s="2"/>
      <c r="BE370" s="2"/>
      <c r="BK370" s="2"/>
      <c r="BM370" s="2"/>
      <c r="BN370" s="2"/>
      <c r="BO370" s="2"/>
      <c r="BS370" s="11"/>
      <c r="BT370" s="2"/>
      <c r="BU370" s="3"/>
      <c r="BV370" s="3"/>
      <c r="BW370" s="2"/>
      <c r="BX370" s="2"/>
      <c r="BY370" s="2"/>
      <c r="BZ370" s="2"/>
      <c r="CA370" s="2"/>
      <c r="CB370" s="2"/>
      <c r="CC370" s="2"/>
      <c r="CD370" s="1"/>
      <c r="CE370" s="1"/>
      <c r="CF370" s="1"/>
      <c r="CG370" s="1"/>
      <c r="CH370" s="1"/>
      <c r="CI370" s="2"/>
      <c r="CJ370" s="2"/>
      <c r="CK370" s="2"/>
      <c r="CL370" s="2"/>
      <c r="CM370" s="2"/>
      <c r="CN370" s="2"/>
      <c r="CO370" s="2"/>
      <c r="CP370" s="2"/>
      <c r="CQ370" s="2"/>
      <c r="CR370" s="2"/>
      <c r="CS370" s="2"/>
      <c r="CT370" s="2"/>
      <c r="CU370" s="2"/>
      <c r="CV370" s="2"/>
      <c r="CW370" s="2"/>
      <c r="CX370" s="2"/>
      <c r="CY370" s="2"/>
      <c r="CZ370" s="2"/>
    </row>
    <row r="371" spans="44:104" ht="15" hidden="1" customHeight="1" x14ac:dyDescent="0.2">
      <c r="AR371" s="2"/>
      <c r="AS371" s="2"/>
      <c r="AT371" s="2"/>
      <c r="AU371" s="2"/>
      <c r="AV371" s="2"/>
      <c r="AW371" s="2"/>
      <c r="AX371" s="2"/>
      <c r="AY371" s="2"/>
      <c r="AZ371" s="2"/>
      <c r="BA371" s="2"/>
      <c r="BB371" s="2"/>
      <c r="BC371" s="2"/>
      <c r="BD371" s="2"/>
      <c r="BE371" s="2"/>
      <c r="BK371" s="2"/>
      <c r="BM371" s="2"/>
      <c r="BN371" s="2"/>
      <c r="BO371" s="2"/>
      <c r="BS371" s="11"/>
      <c r="BT371" s="2"/>
      <c r="BU371" s="3"/>
      <c r="BV371" s="3"/>
      <c r="BW371" s="2"/>
      <c r="BX371" s="2"/>
      <c r="BY371" s="2"/>
      <c r="BZ371" s="2"/>
      <c r="CA371" s="2"/>
      <c r="CB371" s="2"/>
      <c r="CC371" s="2"/>
      <c r="CD371" s="1"/>
      <c r="CE371" s="1"/>
      <c r="CF371" s="1"/>
      <c r="CG371" s="1"/>
      <c r="CH371" s="1"/>
      <c r="CI371" s="2"/>
      <c r="CJ371" s="2"/>
      <c r="CK371" s="2"/>
      <c r="CL371" s="2"/>
      <c r="CM371" s="2"/>
      <c r="CN371" s="2"/>
      <c r="CO371" s="2"/>
      <c r="CP371" s="2"/>
      <c r="CQ371" s="2"/>
      <c r="CR371" s="2"/>
      <c r="CS371" s="2"/>
      <c r="CT371" s="2"/>
      <c r="CU371" s="2"/>
      <c r="CV371" s="2"/>
      <c r="CW371" s="2"/>
      <c r="CX371" s="2"/>
      <c r="CY371" s="2"/>
      <c r="CZ371" s="2"/>
    </row>
    <row r="372" spans="44:104" ht="15" hidden="1" customHeight="1" x14ac:dyDescent="0.2">
      <c r="AR372" s="2"/>
      <c r="AS372" s="2"/>
      <c r="AT372" s="2"/>
      <c r="AU372" s="2"/>
      <c r="AV372" s="2"/>
      <c r="AW372" s="2"/>
      <c r="AX372" s="2"/>
      <c r="AY372" s="2"/>
      <c r="AZ372" s="2"/>
      <c r="BA372" s="2"/>
      <c r="BB372" s="2"/>
      <c r="BC372" s="2"/>
      <c r="BD372" s="2"/>
      <c r="BE372" s="2"/>
      <c r="BK372" s="2"/>
      <c r="BM372" s="2"/>
      <c r="BN372" s="2"/>
      <c r="BO372" s="2"/>
      <c r="BS372" s="11"/>
      <c r="BT372" s="2"/>
      <c r="BU372" s="3"/>
      <c r="BV372" s="3"/>
      <c r="BW372" s="2"/>
      <c r="BX372" s="2"/>
      <c r="BY372" s="2"/>
      <c r="BZ372" s="46"/>
      <c r="CA372" s="1"/>
      <c r="CB372" s="1"/>
      <c r="CC372" s="1"/>
      <c r="CD372" s="1"/>
      <c r="CE372" s="1"/>
      <c r="CF372" s="1"/>
      <c r="CG372" s="1"/>
      <c r="CH372" s="1"/>
      <c r="CI372" s="2"/>
      <c r="CJ372" s="2"/>
      <c r="CK372" s="2"/>
      <c r="CL372" s="2"/>
      <c r="CM372" s="2"/>
      <c r="CN372" s="2"/>
      <c r="CO372" s="2"/>
      <c r="CP372" s="2"/>
      <c r="CQ372" s="2"/>
      <c r="CR372" s="2"/>
      <c r="CS372" s="2"/>
      <c r="CT372" s="2"/>
      <c r="CU372" s="2"/>
      <c r="CV372" s="2"/>
      <c r="CW372" s="2"/>
      <c r="CX372" s="2"/>
      <c r="CY372" s="2"/>
      <c r="CZ372" s="2"/>
    </row>
    <row r="373" spans="44:104" ht="15" hidden="1" customHeight="1" x14ac:dyDescent="0.2">
      <c r="AR373" s="2"/>
      <c r="AS373" s="2"/>
      <c r="AT373" s="2"/>
      <c r="AU373" s="2"/>
      <c r="AV373" s="2"/>
      <c r="AW373" s="2"/>
      <c r="AX373" s="2"/>
      <c r="AY373" s="2"/>
      <c r="AZ373" s="2"/>
      <c r="BA373" s="2"/>
      <c r="BB373" s="2"/>
      <c r="BC373" s="2"/>
      <c r="BD373" s="2"/>
      <c r="BE373" s="2"/>
      <c r="BK373" s="2"/>
      <c r="BM373" s="2"/>
      <c r="BN373" s="2"/>
      <c r="BO373" s="2"/>
      <c r="BS373" s="11"/>
      <c r="BT373" s="2"/>
      <c r="BU373" s="3"/>
      <c r="BV373" s="3"/>
      <c r="BW373" s="2"/>
      <c r="BX373" s="2"/>
      <c r="BY373" s="2"/>
      <c r="BZ373" s="2"/>
      <c r="CA373" s="2"/>
      <c r="CB373" s="2"/>
      <c r="CC373" s="2"/>
      <c r="CD373" s="1"/>
      <c r="CE373" s="1"/>
      <c r="CF373" s="1"/>
      <c r="CG373" s="1"/>
      <c r="CH373" s="1"/>
      <c r="CI373" s="2"/>
      <c r="CJ373" s="2"/>
      <c r="CK373" s="2"/>
      <c r="CL373" s="2"/>
      <c r="CM373" s="2"/>
      <c r="CN373" s="2"/>
      <c r="CO373" s="2"/>
      <c r="CP373" s="2"/>
      <c r="CQ373" s="2"/>
      <c r="CR373" s="2"/>
      <c r="CS373" s="2"/>
      <c r="CT373" s="2"/>
      <c r="CU373" s="2"/>
      <c r="CV373" s="2"/>
      <c r="CW373" s="2"/>
      <c r="CX373" s="2"/>
      <c r="CY373" s="2"/>
      <c r="CZ373" s="2"/>
    </row>
    <row r="374" spans="44:104" ht="15" hidden="1" customHeight="1" x14ac:dyDescent="0.2">
      <c r="AR374" s="2"/>
      <c r="AS374" s="2"/>
      <c r="AT374" s="2"/>
      <c r="AU374" s="2"/>
      <c r="AV374" s="2"/>
      <c r="AW374" s="2"/>
      <c r="AX374" s="2"/>
      <c r="AY374" s="2"/>
      <c r="AZ374" s="2"/>
      <c r="BA374" s="2"/>
      <c r="BB374" s="2"/>
      <c r="BC374" s="2"/>
      <c r="BD374" s="2"/>
      <c r="BE374" s="2"/>
      <c r="BK374" s="2"/>
      <c r="BM374" s="2"/>
      <c r="BN374" s="2"/>
      <c r="BO374" s="2"/>
      <c r="BS374" s="11"/>
      <c r="BT374" s="2"/>
      <c r="BU374" s="3"/>
      <c r="BV374" s="3"/>
      <c r="BW374" s="2"/>
      <c r="BX374" s="2"/>
      <c r="BY374" s="2"/>
      <c r="BZ374" s="2"/>
      <c r="CA374" s="2"/>
      <c r="CB374" s="2"/>
      <c r="CC374" s="2"/>
      <c r="CD374" s="1"/>
      <c r="CE374" s="1"/>
      <c r="CF374" s="1"/>
      <c r="CG374" s="1"/>
      <c r="CH374" s="1"/>
      <c r="CI374" s="2"/>
      <c r="CJ374" s="2"/>
      <c r="CK374" s="2"/>
      <c r="CL374" s="2"/>
      <c r="CM374" s="2"/>
      <c r="CN374" s="2"/>
      <c r="CO374" s="2"/>
      <c r="CP374" s="2"/>
      <c r="CQ374" s="2"/>
      <c r="CR374" s="2"/>
      <c r="CS374" s="2"/>
      <c r="CT374" s="2"/>
      <c r="CU374" s="2"/>
      <c r="CV374" s="2"/>
      <c r="CW374" s="2"/>
      <c r="CX374" s="2"/>
      <c r="CY374" s="2"/>
      <c r="CZ374" s="2"/>
    </row>
    <row r="375" spans="44:104" ht="15" hidden="1" customHeight="1" x14ac:dyDescent="0.2">
      <c r="AR375" s="2"/>
      <c r="AS375" s="2"/>
      <c r="AT375" s="2"/>
      <c r="AU375" s="2"/>
      <c r="AV375" s="2"/>
      <c r="AW375" s="2"/>
      <c r="AX375" s="2"/>
      <c r="AY375" s="2"/>
      <c r="AZ375" s="2"/>
      <c r="BA375" s="2"/>
      <c r="BB375" s="2"/>
      <c r="BC375" s="2"/>
      <c r="BD375" s="2"/>
      <c r="BE375" s="2"/>
      <c r="BK375" s="2"/>
      <c r="BM375" s="2"/>
      <c r="BN375" s="2"/>
      <c r="BO375" s="2"/>
      <c r="BS375" s="11"/>
      <c r="BT375" s="2"/>
      <c r="BU375" s="3"/>
      <c r="BV375" s="3"/>
      <c r="BW375" s="2"/>
      <c r="BX375" s="2"/>
      <c r="BY375" s="2"/>
      <c r="BZ375" s="2"/>
      <c r="CA375" s="2"/>
      <c r="CB375" s="2"/>
      <c r="CC375" s="2"/>
      <c r="CD375" s="1"/>
      <c r="CE375" s="1"/>
      <c r="CF375" s="1"/>
      <c r="CG375" s="1"/>
      <c r="CH375" s="1"/>
      <c r="CI375" s="2"/>
      <c r="CJ375" s="2"/>
      <c r="CK375" s="2"/>
      <c r="CL375" s="2"/>
      <c r="CM375" s="2"/>
      <c r="CN375" s="2"/>
      <c r="CO375" s="2"/>
      <c r="CP375" s="2"/>
      <c r="CQ375" s="2"/>
      <c r="CR375" s="2"/>
      <c r="CS375" s="2"/>
      <c r="CT375" s="2"/>
      <c r="CU375" s="2"/>
      <c r="CV375" s="2"/>
      <c r="CW375" s="2"/>
      <c r="CX375" s="2"/>
      <c r="CY375" s="2"/>
      <c r="CZ375" s="2"/>
    </row>
    <row r="376" spans="44:104" ht="15" hidden="1" customHeight="1" x14ac:dyDescent="0.2">
      <c r="AR376" s="2"/>
      <c r="AS376" s="2"/>
      <c r="AT376" s="2"/>
      <c r="AU376" s="2"/>
      <c r="AV376" s="2"/>
      <c r="AW376" s="2"/>
      <c r="AX376" s="2"/>
      <c r="AY376" s="2"/>
      <c r="AZ376" s="2"/>
      <c r="BA376" s="2"/>
      <c r="BB376" s="2"/>
      <c r="BC376" s="2"/>
      <c r="BD376" s="2"/>
      <c r="BE376" s="2"/>
      <c r="BK376" s="2"/>
      <c r="BM376" s="2"/>
      <c r="BN376" s="2"/>
      <c r="BO376" s="2"/>
      <c r="BS376" s="11"/>
      <c r="BT376" s="2"/>
      <c r="BU376" s="3"/>
      <c r="BV376" s="3"/>
      <c r="BW376" s="2"/>
      <c r="BX376" s="2"/>
      <c r="BY376" s="2"/>
      <c r="BZ376" s="2"/>
      <c r="CA376" s="2"/>
      <c r="CB376" s="2"/>
      <c r="CC376" s="2"/>
      <c r="CD376" s="1"/>
      <c r="CE376" s="1"/>
      <c r="CF376" s="1"/>
      <c r="CG376" s="1"/>
      <c r="CH376" s="1"/>
      <c r="CI376" s="2"/>
      <c r="CJ376" s="2"/>
      <c r="CK376" s="2"/>
      <c r="CL376" s="2"/>
      <c r="CM376" s="2"/>
      <c r="CN376" s="2"/>
      <c r="CO376" s="2"/>
      <c r="CP376" s="2"/>
      <c r="CQ376" s="2"/>
      <c r="CR376" s="2"/>
      <c r="CS376" s="2"/>
      <c r="CT376" s="2"/>
      <c r="CU376" s="2"/>
      <c r="CV376" s="2"/>
      <c r="CW376" s="2"/>
      <c r="CX376" s="2"/>
      <c r="CY376" s="2"/>
      <c r="CZ376" s="2"/>
    </row>
    <row r="377" spans="44:104" ht="15" hidden="1" customHeight="1" x14ac:dyDescent="0.2">
      <c r="AR377" s="2"/>
      <c r="AS377" s="2"/>
      <c r="AT377" s="2"/>
      <c r="AU377" s="2"/>
      <c r="AV377" s="2"/>
      <c r="AW377" s="2"/>
      <c r="AX377" s="2"/>
      <c r="AY377" s="2"/>
      <c r="AZ377" s="2"/>
      <c r="BA377" s="2"/>
      <c r="BB377" s="2"/>
      <c r="BC377" s="2"/>
      <c r="BD377" s="2"/>
      <c r="BE377" s="2"/>
      <c r="BK377" s="2"/>
      <c r="BM377" s="2"/>
      <c r="BN377" s="2"/>
      <c r="BO377" s="2"/>
      <c r="BS377" s="11"/>
      <c r="BT377" s="2"/>
      <c r="BU377" s="3"/>
      <c r="BV377" s="3"/>
      <c r="BW377" s="2"/>
      <c r="BX377" s="2"/>
      <c r="BY377" s="2"/>
      <c r="BZ377" s="2"/>
      <c r="CA377" s="2"/>
      <c r="CB377" s="2"/>
      <c r="CC377" s="2"/>
      <c r="CD377" s="1"/>
      <c r="CE377" s="1"/>
      <c r="CF377" s="1"/>
      <c r="CG377" s="1"/>
      <c r="CH377" s="1"/>
      <c r="CI377" s="2"/>
      <c r="CJ377" s="2"/>
      <c r="CK377" s="2"/>
      <c r="CL377" s="2"/>
      <c r="CM377" s="2"/>
      <c r="CN377" s="2"/>
      <c r="CO377" s="2"/>
      <c r="CP377" s="2"/>
      <c r="CQ377" s="2"/>
      <c r="CR377" s="2"/>
      <c r="CS377" s="2"/>
      <c r="CT377" s="2"/>
      <c r="CU377" s="2"/>
      <c r="CV377" s="2"/>
      <c r="CW377" s="2"/>
      <c r="CX377" s="2"/>
      <c r="CY377" s="2"/>
      <c r="CZ377" s="2"/>
    </row>
    <row r="378" spans="44:104" ht="15" hidden="1" customHeight="1" x14ac:dyDescent="0.2">
      <c r="AR378" s="2"/>
      <c r="AS378" s="2"/>
      <c r="AT378" s="2"/>
      <c r="AU378" s="2"/>
      <c r="AV378" s="2"/>
      <c r="AW378" s="2"/>
      <c r="AX378" s="2"/>
      <c r="AY378" s="2"/>
      <c r="AZ378" s="2"/>
      <c r="BA378" s="2"/>
      <c r="BB378" s="2"/>
      <c r="BC378" s="2"/>
      <c r="BD378" s="2"/>
      <c r="BE378" s="2"/>
      <c r="BK378" s="2"/>
      <c r="BM378" s="2"/>
      <c r="BN378" s="2"/>
      <c r="BO378" s="2"/>
      <c r="BS378" s="11"/>
      <c r="BT378" s="2"/>
      <c r="BU378" s="3"/>
      <c r="BV378" s="3"/>
      <c r="BW378" s="2"/>
      <c r="BX378" s="2"/>
      <c r="BY378" s="2"/>
      <c r="BZ378" s="2"/>
      <c r="CA378" s="2"/>
      <c r="CB378" s="2"/>
      <c r="CC378" s="2"/>
      <c r="CD378" s="1"/>
      <c r="CE378" s="1"/>
      <c r="CF378" s="1"/>
      <c r="CG378" s="1"/>
      <c r="CH378" s="1"/>
      <c r="CI378" s="2"/>
      <c r="CJ378" s="2"/>
      <c r="CK378" s="2"/>
      <c r="CL378" s="2"/>
      <c r="CM378" s="2"/>
      <c r="CN378" s="2"/>
      <c r="CO378" s="2"/>
      <c r="CP378" s="2"/>
      <c r="CQ378" s="2"/>
      <c r="CR378" s="2"/>
      <c r="CS378" s="2"/>
      <c r="CT378" s="2"/>
      <c r="CU378" s="2"/>
      <c r="CV378" s="2"/>
      <c r="CW378" s="2"/>
      <c r="CX378" s="2"/>
      <c r="CY378" s="2"/>
      <c r="CZ378" s="2"/>
    </row>
    <row r="379" spans="44:104" ht="15" hidden="1" customHeight="1" x14ac:dyDescent="0.2">
      <c r="AR379" s="2"/>
      <c r="AS379" s="2"/>
      <c r="AT379" s="2"/>
      <c r="AU379" s="2"/>
      <c r="AV379" s="2"/>
      <c r="AW379" s="2"/>
      <c r="AX379" s="2"/>
      <c r="AY379" s="2"/>
      <c r="AZ379" s="2"/>
      <c r="BA379" s="2"/>
      <c r="BB379" s="2"/>
      <c r="BC379" s="2"/>
      <c r="BD379" s="2"/>
      <c r="BE379" s="2"/>
      <c r="BK379" s="2"/>
      <c r="BM379" s="2"/>
      <c r="BN379" s="2"/>
      <c r="BO379" s="2"/>
      <c r="BS379" s="11"/>
      <c r="BT379" s="2"/>
      <c r="BU379" s="3"/>
      <c r="BV379" s="3"/>
      <c r="BW379" s="2"/>
      <c r="BX379" s="2"/>
      <c r="BY379" s="2"/>
      <c r="BZ379" s="2"/>
      <c r="CA379" s="2"/>
      <c r="CB379" s="2"/>
      <c r="CC379" s="2"/>
      <c r="CD379" s="1"/>
      <c r="CE379" s="1"/>
      <c r="CF379" s="1"/>
      <c r="CG379" s="1"/>
      <c r="CH379" s="1"/>
      <c r="CI379" s="2"/>
      <c r="CJ379" s="2"/>
      <c r="CK379" s="2"/>
      <c r="CL379" s="2"/>
      <c r="CM379" s="2"/>
      <c r="CN379" s="2"/>
      <c r="CO379" s="2"/>
      <c r="CP379" s="2"/>
      <c r="CQ379" s="2"/>
      <c r="CR379" s="2"/>
      <c r="CS379" s="2"/>
      <c r="CT379" s="2"/>
      <c r="CU379" s="2"/>
      <c r="CV379" s="2"/>
      <c r="CW379" s="2"/>
      <c r="CX379" s="2"/>
      <c r="CY379" s="2"/>
      <c r="CZ379" s="2"/>
    </row>
    <row r="380" spans="44:104" ht="15" hidden="1" customHeight="1" x14ac:dyDescent="0.2">
      <c r="AR380" s="2"/>
      <c r="AS380" s="2"/>
      <c r="AT380" s="2"/>
      <c r="AU380" s="2"/>
      <c r="AV380" s="2"/>
      <c r="AW380" s="2"/>
      <c r="AX380" s="2"/>
      <c r="AY380" s="2"/>
      <c r="AZ380" s="2"/>
      <c r="BA380" s="2"/>
      <c r="BB380" s="2"/>
      <c r="BC380" s="2"/>
      <c r="BD380" s="2"/>
      <c r="BE380" s="2"/>
      <c r="BK380" s="2"/>
      <c r="BM380" s="2"/>
      <c r="BN380" s="2"/>
      <c r="BO380" s="2"/>
      <c r="BS380" s="11"/>
      <c r="BT380" s="2"/>
      <c r="BU380" s="3"/>
      <c r="BV380" s="3"/>
      <c r="BW380" s="2"/>
      <c r="BX380" s="2"/>
      <c r="BY380" s="2"/>
      <c r="BZ380" s="2"/>
      <c r="CA380" s="2"/>
      <c r="CB380" s="2"/>
      <c r="CC380" s="2"/>
      <c r="CD380" s="1"/>
      <c r="CE380" s="1"/>
      <c r="CF380" s="1"/>
      <c r="CG380" s="1"/>
      <c r="CH380" s="1"/>
      <c r="CI380" s="2"/>
      <c r="CJ380" s="2"/>
      <c r="CK380" s="2"/>
      <c r="CL380" s="2"/>
      <c r="CM380" s="2"/>
      <c r="CN380" s="2"/>
      <c r="CO380" s="2"/>
      <c r="CP380" s="2"/>
      <c r="CQ380" s="2"/>
      <c r="CR380" s="2"/>
      <c r="CS380" s="2"/>
      <c r="CT380" s="2"/>
      <c r="CU380" s="2"/>
      <c r="CV380" s="2"/>
      <c r="CW380" s="2"/>
      <c r="CX380" s="2"/>
      <c r="CY380" s="2"/>
      <c r="CZ380" s="2"/>
    </row>
    <row r="381" spans="44:104" ht="15" hidden="1" customHeight="1" x14ac:dyDescent="0.2">
      <c r="AR381" s="2"/>
      <c r="AS381" s="2"/>
      <c r="AT381" s="2"/>
      <c r="AU381" s="2"/>
      <c r="AV381" s="2"/>
      <c r="AW381" s="2"/>
      <c r="AX381" s="2"/>
      <c r="AY381" s="2"/>
      <c r="AZ381" s="2"/>
      <c r="BA381" s="2"/>
      <c r="BB381" s="2"/>
      <c r="BC381" s="2"/>
      <c r="BD381" s="2"/>
      <c r="BE381" s="2"/>
      <c r="BK381" s="2"/>
      <c r="BM381" s="2"/>
      <c r="BN381" s="2"/>
      <c r="BO381" s="2"/>
      <c r="BS381" s="11"/>
      <c r="BT381" s="2"/>
      <c r="BU381" s="3"/>
      <c r="BV381" s="3"/>
      <c r="BW381" s="2"/>
      <c r="BX381" s="2"/>
      <c r="BY381" s="2"/>
      <c r="BZ381" s="2"/>
      <c r="CA381" s="2"/>
      <c r="CB381" s="2"/>
      <c r="CC381" s="2"/>
      <c r="CD381" s="1"/>
      <c r="CE381" s="1"/>
      <c r="CF381" s="1"/>
      <c r="CG381" s="1"/>
      <c r="CH381" s="1"/>
      <c r="CI381" s="2"/>
      <c r="CJ381" s="2"/>
      <c r="CK381" s="2"/>
      <c r="CL381" s="2"/>
      <c r="CM381" s="2"/>
      <c r="CN381" s="2"/>
      <c r="CO381" s="2"/>
      <c r="CP381" s="2"/>
      <c r="CQ381" s="2"/>
      <c r="CR381" s="2"/>
      <c r="CS381" s="2"/>
      <c r="CT381" s="2"/>
      <c r="CU381" s="2"/>
      <c r="CV381" s="2"/>
      <c r="CW381" s="2"/>
      <c r="CX381" s="2"/>
      <c r="CY381" s="2"/>
      <c r="CZ381" s="2"/>
    </row>
    <row r="382" spans="44:104" ht="15" hidden="1" customHeight="1" x14ac:dyDescent="0.2">
      <c r="AR382" s="2"/>
      <c r="AS382" s="2"/>
      <c r="AT382" s="2"/>
      <c r="AU382" s="2"/>
      <c r="AV382" s="2"/>
      <c r="AW382" s="2"/>
      <c r="AX382" s="2"/>
      <c r="AY382" s="2"/>
      <c r="AZ382" s="2"/>
      <c r="BA382" s="2"/>
      <c r="BB382" s="2"/>
      <c r="BC382" s="2"/>
      <c r="BD382" s="2"/>
      <c r="BE382" s="2"/>
      <c r="BK382" s="2"/>
      <c r="BM382" s="2"/>
      <c r="BN382" s="2"/>
      <c r="BO382" s="2"/>
      <c r="BS382" s="11"/>
      <c r="BT382" s="2"/>
      <c r="BU382" s="3"/>
      <c r="BV382" s="3"/>
      <c r="BW382" s="2"/>
      <c r="BX382" s="2"/>
      <c r="BY382" s="2"/>
      <c r="BZ382" s="2"/>
      <c r="CA382" s="2"/>
      <c r="CB382" s="2"/>
      <c r="CC382" s="2"/>
      <c r="CD382" s="1"/>
      <c r="CE382" s="1"/>
      <c r="CF382" s="1"/>
      <c r="CG382" s="1"/>
      <c r="CH382" s="1"/>
      <c r="CI382" s="2"/>
      <c r="CJ382" s="2"/>
      <c r="CK382" s="2"/>
      <c r="CL382" s="2"/>
      <c r="CM382" s="2"/>
      <c r="CN382" s="2"/>
      <c r="CO382" s="2"/>
      <c r="CP382" s="2"/>
      <c r="CQ382" s="2"/>
      <c r="CR382" s="2"/>
      <c r="CS382" s="2"/>
      <c r="CT382" s="2"/>
      <c r="CU382" s="2"/>
      <c r="CV382" s="2"/>
      <c r="CW382" s="2"/>
      <c r="CX382" s="2"/>
      <c r="CY382" s="2"/>
      <c r="CZ382" s="2"/>
    </row>
    <row r="383" spans="44:104" ht="15" hidden="1" customHeight="1" x14ac:dyDescent="0.2">
      <c r="AR383" s="2"/>
      <c r="AS383" s="2"/>
      <c r="AT383" s="2"/>
      <c r="AU383" s="2"/>
      <c r="AV383" s="2"/>
      <c r="AW383" s="2"/>
      <c r="AX383" s="2"/>
      <c r="AY383" s="2"/>
      <c r="AZ383" s="2"/>
      <c r="BA383" s="2"/>
      <c r="BB383" s="2"/>
      <c r="BC383" s="2"/>
      <c r="BD383" s="2"/>
      <c r="BE383" s="2"/>
      <c r="BK383" s="2"/>
      <c r="BM383" s="2"/>
      <c r="BN383" s="2"/>
      <c r="BO383" s="2"/>
      <c r="BS383" s="11"/>
      <c r="BT383" s="2"/>
      <c r="BU383" s="3"/>
      <c r="BV383" s="3"/>
      <c r="BW383" s="2"/>
      <c r="BX383" s="2"/>
      <c r="BY383" s="2"/>
      <c r="BZ383" s="2"/>
      <c r="CA383" s="2"/>
      <c r="CB383" s="2"/>
      <c r="CC383" s="2"/>
      <c r="CD383" s="1"/>
      <c r="CE383" s="1"/>
      <c r="CF383" s="1"/>
      <c r="CG383" s="1"/>
      <c r="CH383" s="1"/>
      <c r="CI383" s="2"/>
      <c r="CJ383" s="2"/>
      <c r="CK383" s="2"/>
      <c r="CL383" s="2"/>
      <c r="CM383" s="2"/>
      <c r="CN383" s="2"/>
      <c r="CO383" s="2"/>
      <c r="CP383" s="2"/>
      <c r="CQ383" s="2"/>
      <c r="CR383" s="2"/>
      <c r="CS383" s="2"/>
      <c r="CT383" s="2"/>
      <c r="CU383" s="2"/>
      <c r="CV383" s="2"/>
      <c r="CW383" s="2"/>
      <c r="CX383" s="2"/>
      <c r="CY383" s="2"/>
      <c r="CZ383" s="2"/>
    </row>
    <row r="384" spans="44:104" ht="15" hidden="1" customHeight="1" x14ac:dyDescent="0.2">
      <c r="AR384" s="2"/>
      <c r="AS384" s="2"/>
      <c r="AT384" s="2"/>
      <c r="AU384" s="2"/>
      <c r="AV384" s="2"/>
      <c r="AW384" s="2"/>
      <c r="AX384" s="2"/>
      <c r="AY384" s="2"/>
      <c r="AZ384" s="2"/>
      <c r="BA384" s="2"/>
      <c r="BB384" s="2"/>
      <c r="BC384" s="2"/>
      <c r="BD384" s="2"/>
      <c r="BE384" s="2"/>
      <c r="BK384" s="2"/>
      <c r="BM384" s="2"/>
      <c r="BN384" s="2"/>
      <c r="BO384" s="2"/>
      <c r="BS384" s="11"/>
      <c r="BT384" s="2"/>
      <c r="BU384" s="3"/>
      <c r="BV384" s="3"/>
      <c r="BW384" s="2"/>
      <c r="BX384" s="2"/>
      <c r="BY384" s="2"/>
      <c r="BZ384" s="2"/>
      <c r="CA384" s="2"/>
      <c r="CB384" s="2"/>
      <c r="CC384" s="2"/>
      <c r="CD384" s="1"/>
      <c r="CE384" s="1"/>
      <c r="CF384" s="1"/>
      <c r="CG384" s="1"/>
      <c r="CH384" s="1"/>
      <c r="CI384" s="2"/>
      <c r="CJ384" s="2"/>
      <c r="CK384" s="2"/>
      <c r="CL384" s="2"/>
      <c r="CM384" s="2"/>
      <c r="CN384" s="2"/>
      <c r="CO384" s="2"/>
      <c r="CP384" s="2"/>
      <c r="CQ384" s="2"/>
      <c r="CR384" s="2"/>
      <c r="CS384" s="2"/>
      <c r="CT384" s="2"/>
      <c r="CU384" s="2"/>
      <c r="CV384" s="2"/>
      <c r="CW384" s="2"/>
      <c r="CX384" s="2"/>
      <c r="CY384" s="2"/>
      <c r="CZ384" s="2"/>
    </row>
    <row r="385" spans="44:104" ht="15" hidden="1" customHeight="1" x14ac:dyDescent="0.2">
      <c r="AR385" s="2"/>
      <c r="AS385" s="2"/>
      <c r="AT385" s="2"/>
      <c r="AU385" s="2"/>
      <c r="AV385" s="2"/>
      <c r="AW385" s="2"/>
      <c r="AX385" s="2"/>
      <c r="AY385" s="2"/>
      <c r="AZ385" s="2"/>
      <c r="BA385" s="2"/>
      <c r="BB385" s="2"/>
      <c r="BC385" s="2"/>
      <c r="BD385" s="2"/>
      <c r="BE385" s="2"/>
      <c r="BK385" s="2"/>
      <c r="BM385" s="2"/>
      <c r="BN385" s="2"/>
      <c r="BO385" s="2"/>
      <c r="BS385" s="11"/>
      <c r="BT385" s="2"/>
      <c r="BU385" s="3"/>
      <c r="BV385" s="3"/>
      <c r="BW385" s="2"/>
      <c r="BX385" s="2"/>
      <c r="BY385" s="2"/>
      <c r="BZ385" s="2"/>
      <c r="CA385" s="2"/>
      <c r="CB385" s="2"/>
      <c r="CC385" s="2"/>
      <c r="CD385" s="1"/>
      <c r="CE385" s="1"/>
      <c r="CF385" s="1"/>
      <c r="CG385" s="1"/>
      <c r="CH385" s="1"/>
      <c r="CI385" s="2"/>
      <c r="CJ385" s="2"/>
      <c r="CK385" s="2"/>
      <c r="CL385" s="2"/>
      <c r="CM385" s="2"/>
      <c r="CN385" s="2"/>
      <c r="CO385" s="2"/>
      <c r="CP385" s="2"/>
      <c r="CQ385" s="2"/>
      <c r="CR385" s="2"/>
      <c r="CS385" s="2"/>
      <c r="CT385" s="2"/>
      <c r="CU385" s="2"/>
      <c r="CV385" s="2"/>
      <c r="CW385" s="2"/>
      <c r="CX385" s="2"/>
      <c r="CY385" s="2"/>
      <c r="CZ385" s="2"/>
    </row>
    <row r="386" spans="44:104" ht="15" hidden="1" customHeight="1" x14ac:dyDescent="0.2">
      <c r="AR386" s="2"/>
      <c r="AS386" s="2"/>
      <c r="AT386" s="2"/>
      <c r="AU386" s="2"/>
      <c r="AV386" s="2"/>
      <c r="AW386" s="2"/>
      <c r="AX386" s="2"/>
      <c r="AY386" s="2"/>
      <c r="AZ386" s="2"/>
      <c r="BA386" s="2"/>
      <c r="BB386" s="2"/>
      <c r="BC386" s="2"/>
      <c r="BD386" s="2"/>
      <c r="BE386" s="2"/>
      <c r="BK386" s="2"/>
      <c r="BM386" s="2"/>
      <c r="BN386" s="2"/>
      <c r="BO386" s="2"/>
      <c r="BS386" s="11"/>
      <c r="BT386" s="2"/>
      <c r="BU386" s="3"/>
      <c r="BV386" s="3"/>
      <c r="BW386" s="2"/>
      <c r="BX386" s="2"/>
      <c r="BY386" s="2"/>
      <c r="BZ386" s="2"/>
      <c r="CA386" s="2"/>
      <c r="CB386" s="2"/>
      <c r="CC386" s="2"/>
      <c r="CD386" s="1"/>
      <c r="CE386" s="1"/>
      <c r="CF386" s="1"/>
      <c r="CG386" s="1"/>
      <c r="CH386" s="1"/>
      <c r="CI386" s="2"/>
      <c r="CJ386" s="2"/>
      <c r="CK386" s="2"/>
      <c r="CL386" s="2"/>
      <c r="CM386" s="2"/>
      <c r="CN386" s="2"/>
      <c r="CO386" s="2"/>
      <c r="CP386" s="2"/>
      <c r="CQ386" s="2"/>
      <c r="CR386" s="2"/>
      <c r="CS386" s="2"/>
      <c r="CT386" s="2"/>
      <c r="CU386" s="2"/>
      <c r="CV386" s="2"/>
      <c r="CW386" s="2"/>
      <c r="CX386" s="2"/>
      <c r="CY386" s="2"/>
      <c r="CZ386" s="2"/>
    </row>
    <row r="387" spans="44:104" ht="15" hidden="1" customHeight="1" x14ac:dyDescent="0.2">
      <c r="AR387" s="2"/>
      <c r="AS387" s="2"/>
      <c r="AT387" s="2"/>
      <c r="AU387" s="2"/>
      <c r="AV387" s="2"/>
      <c r="AW387" s="2"/>
      <c r="AX387" s="2"/>
      <c r="AY387" s="2"/>
      <c r="AZ387" s="2"/>
      <c r="BA387" s="2"/>
      <c r="BB387" s="2"/>
      <c r="BC387" s="2"/>
      <c r="BD387" s="2"/>
      <c r="BE387" s="2"/>
      <c r="BK387" s="2"/>
      <c r="BM387" s="2"/>
      <c r="BN387" s="2"/>
      <c r="BO387" s="2"/>
      <c r="BS387" s="11"/>
      <c r="BT387" s="2"/>
      <c r="BU387" s="3"/>
      <c r="BV387" s="3"/>
      <c r="BW387" s="2"/>
      <c r="BX387" s="2"/>
      <c r="BY387" s="2"/>
      <c r="BZ387" s="46"/>
      <c r="CA387" s="1"/>
      <c r="CB387" s="1"/>
      <c r="CC387" s="1"/>
      <c r="CD387" s="1"/>
      <c r="CE387" s="1"/>
      <c r="CF387" s="1"/>
      <c r="CG387" s="1"/>
      <c r="CH387" s="1"/>
      <c r="CI387" s="2"/>
      <c r="CJ387" s="2"/>
      <c r="CK387" s="2"/>
      <c r="CL387" s="2"/>
      <c r="CM387" s="2"/>
      <c r="CN387" s="2"/>
      <c r="CO387" s="2"/>
      <c r="CP387" s="2"/>
      <c r="CQ387" s="2"/>
      <c r="CR387" s="2"/>
      <c r="CS387" s="2"/>
      <c r="CT387" s="2"/>
      <c r="CU387" s="2"/>
      <c r="CV387" s="2"/>
      <c r="CW387" s="2"/>
      <c r="CX387" s="2"/>
      <c r="CY387" s="2"/>
      <c r="CZ387" s="2"/>
    </row>
    <row r="388" spans="44:104" ht="15" hidden="1" customHeight="1" x14ac:dyDescent="0.2">
      <c r="AR388" s="2"/>
      <c r="AS388" s="2"/>
      <c r="AT388" s="2"/>
      <c r="AU388" s="2"/>
      <c r="AV388" s="2"/>
      <c r="AW388" s="2"/>
      <c r="AX388" s="2"/>
      <c r="AY388" s="2"/>
      <c r="AZ388" s="2"/>
      <c r="BA388" s="2"/>
      <c r="BB388" s="2"/>
      <c r="BC388" s="2"/>
      <c r="BD388" s="2"/>
      <c r="BE388" s="2"/>
      <c r="BK388" s="2"/>
      <c r="BM388" s="2"/>
      <c r="BN388" s="2"/>
      <c r="BO388" s="2"/>
      <c r="BS388" s="11"/>
      <c r="BT388" s="2"/>
      <c r="BU388" s="3"/>
      <c r="BV388" s="3"/>
      <c r="BW388" s="2"/>
      <c r="BX388" s="2"/>
      <c r="BY388" s="2"/>
      <c r="BZ388" s="2"/>
      <c r="CA388" s="2"/>
      <c r="CB388" s="2"/>
      <c r="CC388" s="2"/>
      <c r="CD388" s="1"/>
      <c r="CE388" s="1"/>
      <c r="CF388" s="1"/>
      <c r="CG388" s="1"/>
      <c r="CH388" s="1"/>
      <c r="CI388" s="2"/>
      <c r="CJ388" s="2"/>
      <c r="CK388" s="2"/>
      <c r="CL388" s="2"/>
      <c r="CM388" s="2"/>
      <c r="CN388" s="2"/>
      <c r="CO388" s="2"/>
      <c r="CP388" s="2"/>
      <c r="CQ388" s="2"/>
      <c r="CR388" s="2"/>
      <c r="CS388" s="2"/>
      <c r="CT388" s="2"/>
      <c r="CU388" s="2"/>
      <c r="CV388" s="2"/>
      <c r="CW388" s="2"/>
      <c r="CX388" s="2"/>
      <c r="CY388" s="2"/>
      <c r="CZ388" s="2"/>
    </row>
    <row r="389" spans="44:104" ht="15" hidden="1" customHeight="1" x14ac:dyDescent="0.2">
      <c r="AR389" s="2"/>
      <c r="AS389" s="2"/>
      <c r="AT389" s="2"/>
      <c r="AU389" s="2"/>
      <c r="AV389" s="2"/>
      <c r="AW389" s="2"/>
      <c r="AX389" s="2"/>
      <c r="AY389" s="2"/>
      <c r="AZ389" s="2"/>
      <c r="BA389" s="2"/>
      <c r="BB389" s="2"/>
      <c r="BC389" s="2"/>
      <c r="BD389" s="2"/>
      <c r="BE389" s="2"/>
      <c r="BK389" s="2"/>
      <c r="BM389" s="2"/>
      <c r="BN389" s="2"/>
      <c r="BO389" s="2"/>
      <c r="BS389" s="11"/>
      <c r="BT389" s="2"/>
      <c r="BU389" s="3"/>
      <c r="BV389" s="3"/>
      <c r="BW389" s="2"/>
      <c r="BX389" s="2"/>
      <c r="BY389" s="2"/>
      <c r="BZ389" s="2"/>
      <c r="CA389" s="2"/>
      <c r="CB389" s="2"/>
      <c r="CC389" s="2"/>
      <c r="CD389" s="1"/>
      <c r="CE389" s="1"/>
      <c r="CF389" s="1"/>
      <c r="CG389" s="1"/>
      <c r="CH389" s="1"/>
      <c r="CI389" s="2"/>
      <c r="CJ389" s="2"/>
      <c r="CK389" s="2"/>
      <c r="CL389" s="2"/>
      <c r="CM389" s="2"/>
      <c r="CN389" s="2"/>
      <c r="CO389" s="2"/>
      <c r="CP389" s="2"/>
      <c r="CQ389" s="2"/>
      <c r="CR389" s="2"/>
      <c r="CS389" s="2"/>
      <c r="CT389" s="2"/>
      <c r="CU389" s="2"/>
      <c r="CV389" s="2"/>
      <c r="CW389" s="2"/>
      <c r="CX389" s="2"/>
      <c r="CY389" s="2"/>
      <c r="CZ389" s="2"/>
    </row>
    <row r="390" spans="44:104" ht="15" hidden="1" customHeight="1" x14ac:dyDescent="0.2">
      <c r="AR390" s="2"/>
      <c r="AS390" s="2"/>
      <c r="AT390" s="2"/>
      <c r="AU390" s="2"/>
      <c r="AV390" s="2"/>
      <c r="AW390" s="2"/>
      <c r="AX390" s="2"/>
      <c r="AY390" s="2"/>
      <c r="AZ390" s="2"/>
      <c r="BA390" s="2"/>
      <c r="BB390" s="2"/>
      <c r="BC390" s="2"/>
      <c r="BD390" s="2"/>
      <c r="BE390" s="2"/>
      <c r="BK390" s="2"/>
      <c r="BM390" s="2"/>
      <c r="BN390" s="2"/>
      <c r="BO390" s="2"/>
      <c r="BS390" s="11"/>
      <c r="BT390" s="2"/>
      <c r="BU390" s="3"/>
      <c r="BV390" s="3"/>
      <c r="BW390" s="2"/>
      <c r="BX390" s="2"/>
      <c r="BY390" s="2"/>
      <c r="BZ390" s="2"/>
      <c r="CA390" s="2"/>
      <c r="CB390" s="2"/>
      <c r="CC390" s="2"/>
      <c r="CD390" s="1"/>
      <c r="CE390" s="1"/>
      <c r="CF390" s="1"/>
      <c r="CG390" s="1"/>
      <c r="CH390" s="1"/>
      <c r="CI390" s="2"/>
      <c r="CJ390" s="2"/>
      <c r="CK390" s="2"/>
      <c r="CL390" s="2"/>
      <c r="CM390" s="2"/>
      <c r="CN390" s="2"/>
      <c r="CO390" s="2"/>
      <c r="CP390" s="2"/>
      <c r="CQ390" s="2"/>
      <c r="CR390" s="2"/>
      <c r="CS390" s="2"/>
      <c r="CT390" s="2"/>
      <c r="CU390" s="2"/>
      <c r="CV390" s="2"/>
      <c r="CW390" s="2"/>
      <c r="CX390" s="2"/>
      <c r="CY390" s="2"/>
      <c r="CZ390" s="2"/>
    </row>
    <row r="391" spans="44:104" ht="15" hidden="1" customHeight="1" x14ac:dyDescent="0.2">
      <c r="AR391" s="2"/>
      <c r="AS391" s="2"/>
      <c r="AT391" s="2"/>
      <c r="AU391" s="2"/>
      <c r="AV391" s="2"/>
      <c r="AW391" s="2"/>
      <c r="AX391" s="2"/>
      <c r="AY391" s="2"/>
      <c r="AZ391" s="2"/>
      <c r="BA391" s="2"/>
      <c r="BB391" s="2"/>
      <c r="BC391" s="2"/>
      <c r="BD391" s="2"/>
      <c r="BE391" s="2"/>
      <c r="BK391" s="2"/>
      <c r="BM391" s="2"/>
      <c r="BN391" s="2"/>
      <c r="BO391" s="2"/>
      <c r="BS391" s="11"/>
      <c r="BT391" s="2"/>
      <c r="BU391" s="3"/>
      <c r="BV391" s="3"/>
      <c r="BW391" s="2"/>
      <c r="BX391" s="2"/>
      <c r="BY391" s="2"/>
      <c r="BZ391" s="2"/>
      <c r="CA391" s="2"/>
      <c r="CB391" s="2"/>
      <c r="CC391" s="2"/>
      <c r="CD391" s="1"/>
      <c r="CE391" s="1"/>
      <c r="CF391" s="1"/>
      <c r="CG391" s="1"/>
      <c r="CH391" s="1"/>
      <c r="CI391" s="2"/>
      <c r="CJ391" s="2"/>
      <c r="CK391" s="2"/>
      <c r="CL391" s="2"/>
      <c r="CM391" s="2"/>
      <c r="CN391" s="2"/>
      <c r="CO391" s="2"/>
      <c r="CP391" s="2"/>
      <c r="CQ391" s="2"/>
      <c r="CR391" s="2"/>
      <c r="CS391" s="2"/>
      <c r="CT391" s="2"/>
      <c r="CU391" s="2"/>
      <c r="CV391" s="2"/>
      <c r="CW391" s="2"/>
      <c r="CX391" s="2"/>
      <c r="CY391" s="2"/>
      <c r="CZ391" s="2"/>
    </row>
    <row r="392" spans="44:104" ht="15" hidden="1" customHeight="1" x14ac:dyDescent="0.2">
      <c r="AR392" s="2"/>
      <c r="AS392" s="2"/>
      <c r="AT392" s="2"/>
      <c r="AU392" s="2"/>
      <c r="AV392" s="2"/>
      <c r="AW392" s="2"/>
      <c r="AX392" s="2"/>
      <c r="AY392" s="2"/>
      <c r="AZ392" s="2"/>
      <c r="BA392" s="2"/>
      <c r="BB392" s="2"/>
      <c r="BC392" s="2"/>
      <c r="BD392" s="2"/>
      <c r="BE392" s="2"/>
      <c r="BK392" s="2"/>
      <c r="BM392" s="2"/>
      <c r="BN392" s="2"/>
      <c r="BO392" s="2"/>
      <c r="BS392" s="11"/>
      <c r="BT392" s="2"/>
      <c r="BU392" s="3"/>
      <c r="BV392" s="3"/>
      <c r="BW392" s="2"/>
      <c r="BX392" s="2"/>
      <c r="BY392" s="2"/>
      <c r="BZ392" s="2"/>
      <c r="CA392" s="2"/>
      <c r="CB392" s="2"/>
      <c r="CC392" s="2"/>
      <c r="CD392" s="1"/>
      <c r="CE392" s="1"/>
      <c r="CF392" s="1"/>
      <c r="CG392" s="1"/>
      <c r="CH392" s="1"/>
      <c r="CI392" s="2"/>
      <c r="CJ392" s="2"/>
      <c r="CK392" s="2"/>
      <c r="CL392" s="2"/>
      <c r="CM392" s="2"/>
      <c r="CN392" s="2"/>
      <c r="CO392" s="2"/>
      <c r="CP392" s="2"/>
      <c r="CQ392" s="2"/>
      <c r="CR392" s="2"/>
      <c r="CS392" s="2"/>
      <c r="CT392" s="2"/>
      <c r="CU392" s="2"/>
      <c r="CV392" s="2"/>
      <c r="CW392" s="2"/>
      <c r="CX392" s="2"/>
      <c r="CY392" s="2"/>
      <c r="CZ392" s="2"/>
    </row>
    <row r="393" spans="44:104" ht="15" hidden="1" customHeight="1" x14ac:dyDescent="0.2">
      <c r="AR393" s="2"/>
      <c r="AS393" s="2"/>
      <c r="AT393" s="2"/>
      <c r="AU393" s="2"/>
      <c r="AV393" s="2"/>
      <c r="AW393" s="2"/>
      <c r="AX393" s="2"/>
      <c r="AY393" s="2"/>
      <c r="AZ393" s="2"/>
      <c r="BA393" s="2"/>
      <c r="BB393" s="2"/>
      <c r="BC393" s="2"/>
      <c r="BD393" s="2"/>
      <c r="BE393" s="2"/>
      <c r="BK393" s="2"/>
      <c r="BM393" s="2"/>
      <c r="BN393" s="2"/>
      <c r="BO393" s="2"/>
      <c r="BS393" s="11"/>
      <c r="BT393" s="2"/>
      <c r="BU393" s="3"/>
      <c r="BV393" s="3"/>
      <c r="BW393" s="2"/>
      <c r="BX393" s="2"/>
      <c r="BY393" s="2"/>
      <c r="BZ393" s="2"/>
      <c r="CA393" s="2"/>
      <c r="CB393" s="2"/>
      <c r="CC393" s="2"/>
      <c r="CD393" s="1"/>
      <c r="CE393" s="1"/>
      <c r="CF393" s="1"/>
      <c r="CG393" s="1"/>
      <c r="CH393" s="1"/>
      <c r="CI393" s="2"/>
      <c r="CJ393" s="2"/>
      <c r="CK393" s="2"/>
      <c r="CL393" s="2"/>
      <c r="CM393" s="2"/>
      <c r="CN393" s="2"/>
      <c r="CO393" s="2"/>
      <c r="CP393" s="2"/>
      <c r="CQ393" s="2"/>
      <c r="CR393" s="2"/>
      <c r="CS393" s="2"/>
      <c r="CT393" s="2"/>
      <c r="CU393" s="2"/>
      <c r="CV393" s="2"/>
      <c r="CW393" s="2"/>
      <c r="CX393" s="2"/>
      <c r="CY393" s="2"/>
      <c r="CZ393" s="2"/>
    </row>
    <row r="394" spans="44:104" ht="15" hidden="1" customHeight="1" x14ac:dyDescent="0.2">
      <c r="AR394" s="2"/>
      <c r="AS394" s="2"/>
      <c r="AT394" s="2"/>
      <c r="AU394" s="2"/>
      <c r="AV394" s="2"/>
      <c r="AW394" s="2"/>
      <c r="AX394" s="2"/>
      <c r="AY394" s="2"/>
      <c r="AZ394" s="2"/>
      <c r="BA394" s="2"/>
      <c r="BB394" s="2"/>
      <c r="BC394" s="2"/>
      <c r="BD394" s="2"/>
      <c r="BE394" s="2"/>
      <c r="BK394" s="2"/>
      <c r="BM394" s="2"/>
      <c r="BN394" s="2"/>
      <c r="BO394" s="2"/>
      <c r="BS394" s="11"/>
      <c r="BT394" s="2"/>
      <c r="BU394" s="3"/>
      <c r="BV394" s="3"/>
      <c r="BW394" s="2"/>
      <c r="BX394" s="2"/>
      <c r="BY394" s="2"/>
      <c r="BZ394" s="2"/>
      <c r="CA394" s="2"/>
      <c r="CB394" s="2"/>
      <c r="CC394" s="2"/>
      <c r="CD394" s="1"/>
      <c r="CE394" s="1"/>
      <c r="CF394" s="1"/>
      <c r="CG394" s="1"/>
      <c r="CH394" s="1"/>
      <c r="CI394" s="2"/>
      <c r="CJ394" s="2"/>
      <c r="CK394" s="2"/>
      <c r="CL394" s="2"/>
      <c r="CM394" s="2"/>
      <c r="CN394" s="2"/>
      <c r="CO394" s="2"/>
      <c r="CP394" s="2"/>
      <c r="CQ394" s="2"/>
      <c r="CR394" s="2"/>
      <c r="CS394" s="2"/>
      <c r="CT394" s="2"/>
      <c r="CU394" s="2"/>
      <c r="CV394" s="2"/>
      <c r="CW394" s="2"/>
      <c r="CX394" s="2"/>
      <c r="CY394" s="2"/>
      <c r="CZ394" s="2"/>
    </row>
    <row r="395" spans="44:104" ht="15" hidden="1" customHeight="1" x14ac:dyDescent="0.2">
      <c r="AR395" s="2"/>
      <c r="AS395" s="2"/>
      <c r="AT395" s="2"/>
      <c r="AU395" s="2"/>
      <c r="AV395" s="2"/>
      <c r="AW395" s="2"/>
      <c r="AX395" s="2"/>
      <c r="AY395" s="2"/>
      <c r="AZ395" s="2"/>
      <c r="BA395" s="2"/>
      <c r="BB395" s="2"/>
      <c r="BC395" s="2"/>
      <c r="BD395" s="2"/>
      <c r="BE395" s="2"/>
      <c r="BK395" s="2"/>
      <c r="BM395" s="2"/>
      <c r="BN395" s="2"/>
      <c r="BO395" s="2"/>
      <c r="BS395" s="11"/>
      <c r="BT395" s="2"/>
      <c r="BU395" s="3"/>
      <c r="BV395" s="3"/>
      <c r="BW395" s="2"/>
      <c r="BX395" s="2"/>
      <c r="BY395" s="2"/>
      <c r="BZ395" s="2"/>
      <c r="CA395" s="2"/>
      <c r="CB395" s="2"/>
      <c r="CC395" s="2"/>
      <c r="CD395" s="1"/>
      <c r="CE395" s="1"/>
      <c r="CF395" s="1"/>
      <c r="CG395" s="1"/>
      <c r="CH395" s="1"/>
      <c r="CI395" s="2"/>
      <c r="CJ395" s="2"/>
      <c r="CK395" s="2"/>
      <c r="CL395" s="2"/>
      <c r="CM395" s="2"/>
      <c r="CN395" s="2"/>
      <c r="CO395" s="2"/>
      <c r="CP395" s="2"/>
      <c r="CQ395" s="2"/>
      <c r="CR395" s="2"/>
      <c r="CS395" s="2"/>
      <c r="CT395" s="2"/>
      <c r="CU395" s="2"/>
      <c r="CV395" s="2"/>
      <c r="CW395" s="2"/>
      <c r="CX395" s="2"/>
      <c r="CY395" s="2"/>
      <c r="CZ395" s="2"/>
    </row>
    <row r="396" spans="44:104" ht="15" hidden="1" customHeight="1" x14ac:dyDescent="0.2">
      <c r="AR396" s="2"/>
      <c r="AS396" s="2"/>
      <c r="AT396" s="2"/>
      <c r="AU396" s="2"/>
      <c r="AV396" s="2"/>
      <c r="AW396" s="2"/>
      <c r="AX396" s="2"/>
      <c r="AY396" s="2"/>
      <c r="AZ396" s="2"/>
      <c r="BA396" s="2"/>
      <c r="BB396" s="2"/>
      <c r="BC396" s="2"/>
      <c r="BD396" s="2"/>
      <c r="BE396" s="2"/>
      <c r="BK396" s="2"/>
      <c r="BM396" s="2"/>
      <c r="BN396" s="2"/>
      <c r="BO396" s="2"/>
      <c r="BS396" s="11"/>
      <c r="BT396" s="2"/>
      <c r="BU396" s="3"/>
      <c r="BV396" s="3"/>
      <c r="BW396" s="2"/>
      <c r="BX396" s="2"/>
      <c r="BY396" s="2"/>
      <c r="BZ396" s="2"/>
      <c r="CA396" s="2"/>
      <c r="CB396" s="2"/>
      <c r="CC396" s="2"/>
      <c r="CD396" s="1"/>
      <c r="CE396" s="1"/>
      <c r="CF396" s="1"/>
      <c r="CG396" s="1"/>
      <c r="CH396" s="1"/>
      <c r="CI396" s="2"/>
      <c r="CJ396" s="2"/>
      <c r="CK396" s="2"/>
      <c r="CL396" s="2"/>
      <c r="CM396" s="2"/>
      <c r="CN396" s="2"/>
      <c r="CO396" s="2"/>
      <c r="CP396" s="2"/>
      <c r="CQ396" s="2"/>
      <c r="CR396" s="2"/>
      <c r="CS396" s="2"/>
      <c r="CT396" s="2"/>
      <c r="CU396" s="2"/>
      <c r="CV396" s="2"/>
      <c r="CW396" s="2"/>
      <c r="CX396" s="2"/>
      <c r="CY396" s="2"/>
      <c r="CZ396" s="2"/>
    </row>
    <row r="397" spans="44:104" ht="15" hidden="1" customHeight="1" x14ac:dyDescent="0.2">
      <c r="AR397" s="2"/>
      <c r="AS397" s="2"/>
      <c r="AT397" s="2"/>
      <c r="AU397" s="2"/>
      <c r="AV397" s="2"/>
      <c r="AW397" s="2"/>
      <c r="AX397" s="2"/>
      <c r="AY397" s="2"/>
      <c r="AZ397" s="2"/>
      <c r="BA397" s="2"/>
      <c r="BB397" s="2"/>
      <c r="BC397" s="2"/>
      <c r="BD397" s="2"/>
      <c r="BE397" s="2"/>
      <c r="BK397" s="2"/>
      <c r="BM397" s="2"/>
      <c r="BN397" s="2"/>
      <c r="BO397" s="2"/>
      <c r="BS397" s="11"/>
      <c r="BT397" s="2"/>
      <c r="BU397" s="3"/>
      <c r="BV397" s="3"/>
      <c r="BW397" s="2"/>
      <c r="BX397" s="2"/>
      <c r="BY397" s="2"/>
      <c r="BZ397" s="2"/>
      <c r="CA397" s="2"/>
      <c r="CB397" s="2"/>
      <c r="CC397" s="2"/>
      <c r="CD397" s="1"/>
      <c r="CE397" s="1"/>
      <c r="CF397" s="1"/>
      <c r="CG397" s="1"/>
      <c r="CH397" s="1"/>
      <c r="CI397" s="2"/>
      <c r="CJ397" s="2"/>
      <c r="CK397" s="2"/>
      <c r="CL397" s="2"/>
      <c r="CM397" s="2"/>
      <c r="CN397" s="2"/>
      <c r="CO397" s="2"/>
      <c r="CP397" s="2"/>
      <c r="CQ397" s="2"/>
      <c r="CR397" s="2"/>
      <c r="CS397" s="2"/>
      <c r="CT397" s="2"/>
      <c r="CU397" s="2"/>
      <c r="CV397" s="2"/>
      <c r="CW397" s="2"/>
      <c r="CX397" s="2"/>
      <c r="CY397" s="2"/>
      <c r="CZ397" s="2"/>
    </row>
    <row r="398" spans="44:104" ht="15" hidden="1" customHeight="1" x14ac:dyDescent="0.2">
      <c r="AR398" s="2"/>
      <c r="AS398" s="2"/>
      <c r="AT398" s="2"/>
      <c r="AU398" s="2"/>
      <c r="AV398" s="2"/>
      <c r="AW398" s="2"/>
      <c r="AX398" s="2"/>
      <c r="AY398" s="2"/>
      <c r="AZ398" s="2"/>
      <c r="BA398" s="2"/>
      <c r="BB398" s="2"/>
      <c r="BC398" s="2"/>
      <c r="BD398" s="2"/>
      <c r="BE398" s="2"/>
      <c r="BK398" s="2"/>
      <c r="BM398" s="2"/>
      <c r="BN398" s="2"/>
      <c r="BO398" s="2"/>
      <c r="BS398" s="11"/>
      <c r="BT398" s="2"/>
      <c r="BU398" s="3"/>
      <c r="BV398" s="3"/>
      <c r="BW398" s="2"/>
      <c r="BX398" s="2"/>
      <c r="BY398" s="2"/>
      <c r="BZ398" s="2"/>
      <c r="CA398" s="2"/>
      <c r="CB398" s="2"/>
      <c r="CC398" s="2"/>
      <c r="CD398" s="1"/>
      <c r="CE398" s="1"/>
      <c r="CF398" s="1"/>
      <c r="CG398" s="1"/>
      <c r="CH398" s="1"/>
      <c r="CI398" s="2"/>
      <c r="CJ398" s="2"/>
      <c r="CK398" s="2"/>
      <c r="CL398" s="2"/>
      <c r="CM398" s="2"/>
      <c r="CN398" s="2"/>
      <c r="CO398" s="2"/>
      <c r="CP398" s="2"/>
      <c r="CQ398" s="2"/>
      <c r="CR398" s="2"/>
      <c r="CS398" s="2"/>
      <c r="CT398" s="2"/>
      <c r="CU398" s="2"/>
      <c r="CV398" s="2"/>
      <c r="CW398" s="2"/>
      <c r="CX398" s="2"/>
      <c r="CY398" s="2"/>
      <c r="CZ398" s="2"/>
    </row>
    <row r="399" spans="44:104" ht="15" hidden="1" customHeight="1" x14ac:dyDescent="0.2">
      <c r="AR399" s="2"/>
      <c r="AS399" s="2"/>
      <c r="AT399" s="2"/>
      <c r="AU399" s="2"/>
      <c r="AV399" s="2"/>
      <c r="AW399" s="2"/>
      <c r="AX399" s="2"/>
      <c r="AY399" s="2"/>
      <c r="AZ399" s="2"/>
      <c r="BA399" s="2"/>
      <c r="BB399" s="2"/>
      <c r="BC399" s="2"/>
      <c r="BD399" s="2"/>
      <c r="BE399" s="2"/>
      <c r="BK399" s="2"/>
      <c r="BM399" s="2"/>
      <c r="BN399" s="2"/>
      <c r="BO399" s="2"/>
      <c r="BS399" s="11"/>
      <c r="BT399" s="2"/>
      <c r="BU399" s="3"/>
      <c r="BV399" s="3"/>
      <c r="BW399" s="2"/>
      <c r="BX399" s="2"/>
      <c r="BY399" s="2"/>
      <c r="BZ399" s="2"/>
      <c r="CA399" s="2"/>
      <c r="CB399" s="2"/>
      <c r="CC399" s="2"/>
      <c r="CD399" s="1"/>
      <c r="CE399" s="1"/>
      <c r="CF399" s="1"/>
      <c r="CG399" s="1"/>
      <c r="CH399" s="1"/>
      <c r="CI399" s="2"/>
      <c r="CJ399" s="2"/>
      <c r="CK399" s="2"/>
      <c r="CL399" s="2"/>
      <c r="CM399" s="2"/>
      <c r="CN399" s="2"/>
      <c r="CO399" s="2"/>
      <c r="CP399" s="2"/>
      <c r="CQ399" s="2"/>
      <c r="CR399" s="2"/>
      <c r="CS399" s="2"/>
      <c r="CT399" s="2"/>
      <c r="CU399" s="2"/>
      <c r="CV399" s="2"/>
      <c r="CW399" s="2"/>
      <c r="CX399" s="2"/>
      <c r="CY399" s="2"/>
      <c r="CZ399" s="2"/>
    </row>
    <row r="400" spans="44:104" ht="15" hidden="1" customHeight="1" x14ac:dyDescent="0.2">
      <c r="AR400" s="2"/>
      <c r="AS400" s="2"/>
      <c r="AT400" s="2"/>
      <c r="AU400" s="2"/>
      <c r="AV400" s="2"/>
      <c r="AW400" s="2"/>
      <c r="AX400" s="2"/>
      <c r="AY400" s="2"/>
      <c r="AZ400" s="2"/>
      <c r="BA400" s="2"/>
      <c r="BB400" s="2"/>
      <c r="BC400" s="2"/>
      <c r="BD400" s="2"/>
      <c r="BE400" s="2"/>
      <c r="BK400" s="2"/>
      <c r="BM400" s="2"/>
      <c r="BN400" s="2"/>
      <c r="BO400" s="2"/>
      <c r="BS400" s="11"/>
      <c r="BT400" s="2"/>
      <c r="BU400" s="3"/>
      <c r="BV400" s="3"/>
      <c r="BW400" s="2"/>
      <c r="BX400" s="2"/>
      <c r="BY400" s="2"/>
      <c r="BZ400" s="2"/>
      <c r="CA400" s="2"/>
      <c r="CB400" s="2"/>
      <c r="CC400" s="2"/>
      <c r="CD400" s="1"/>
      <c r="CE400" s="1"/>
      <c r="CF400" s="1"/>
      <c r="CG400" s="1"/>
      <c r="CH400" s="1"/>
      <c r="CI400" s="2"/>
      <c r="CJ400" s="2"/>
      <c r="CK400" s="2"/>
      <c r="CL400" s="2"/>
      <c r="CM400" s="2"/>
      <c r="CN400" s="2"/>
      <c r="CO400" s="2"/>
      <c r="CP400" s="2"/>
      <c r="CQ400" s="2"/>
      <c r="CR400" s="2"/>
      <c r="CS400" s="2"/>
      <c r="CT400" s="2"/>
      <c r="CU400" s="2"/>
      <c r="CV400" s="2"/>
      <c r="CW400" s="2"/>
      <c r="CX400" s="2"/>
      <c r="CY400" s="2"/>
      <c r="CZ400" s="2"/>
    </row>
    <row r="401" spans="44:104" ht="15" hidden="1" customHeight="1" x14ac:dyDescent="0.2">
      <c r="AR401" s="2"/>
      <c r="AS401" s="2"/>
      <c r="AT401" s="2"/>
      <c r="AU401" s="2"/>
      <c r="AV401" s="2"/>
      <c r="AW401" s="2"/>
      <c r="AX401" s="2"/>
      <c r="AY401" s="2"/>
      <c r="AZ401" s="2"/>
      <c r="BA401" s="2"/>
      <c r="BB401" s="2"/>
      <c r="BC401" s="2"/>
      <c r="BD401" s="2"/>
      <c r="BE401" s="2"/>
      <c r="BK401" s="2"/>
      <c r="BM401" s="2"/>
      <c r="BN401" s="2"/>
      <c r="BO401" s="2"/>
      <c r="BS401" s="11"/>
      <c r="BT401" s="2"/>
      <c r="BU401" s="3"/>
      <c r="BV401" s="3"/>
      <c r="BW401" s="2"/>
      <c r="BX401" s="2"/>
      <c r="BY401" s="2"/>
      <c r="BZ401" s="2"/>
      <c r="CA401" s="2"/>
      <c r="CB401" s="2"/>
      <c r="CC401" s="2"/>
      <c r="CD401" s="1"/>
      <c r="CE401" s="1"/>
      <c r="CF401" s="1"/>
      <c r="CG401" s="1"/>
      <c r="CH401" s="1"/>
      <c r="CI401" s="2"/>
      <c r="CJ401" s="2"/>
      <c r="CK401" s="2"/>
      <c r="CL401" s="2"/>
      <c r="CM401" s="2"/>
      <c r="CN401" s="2"/>
      <c r="CO401" s="2"/>
      <c r="CP401" s="2"/>
      <c r="CQ401" s="2"/>
      <c r="CR401" s="2"/>
      <c r="CS401" s="2"/>
      <c r="CT401" s="2"/>
      <c r="CU401" s="2"/>
      <c r="CV401" s="2"/>
      <c r="CW401" s="2"/>
      <c r="CX401" s="2"/>
      <c r="CY401" s="2"/>
      <c r="CZ401" s="2"/>
    </row>
    <row r="402" spans="44:104" ht="15" hidden="1" customHeight="1" x14ac:dyDescent="0.2">
      <c r="AR402" s="2"/>
      <c r="AS402" s="2"/>
      <c r="AT402" s="2"/>
      <c r="AU402" s="2"/>
      <c r="AV402" s="2"/>
      <c r="AW402" s="2"/>
      <c r="AX402" s="2"/>
      <c r="AY402" s="2"/>
      <c r="AZ402" s="2"/>
      <c r="BA402" s="2"/>
      <c r="BB402" s="2"/>
      <c r="BC402" s="2"/>
      <c r="BD402" s="2"/>
      <c r="BE402" s="2"/>
      <c r="BK402" s="2"/>
      <c r="BM402" s="2"/>
      <c r="BN402" s="2"/>
      <c r="BO402" s="2"/>
      <c r="BS402" s="11"/>
      <c r="BT402" s="2"/>
      <c r="BU402" s="3"/>
      <c r="BV402" s="3"/>
      <c r="BW402" s="2"/>
      <c r="BX402" s="2"/>
      <c r="BY402" s="2"/>
      <c r="BZ402" s="2"/>
      <c r="CA402" s="2"/>
      <c r="CB402" s="2"/>
      <c r="CC402" s="2"/>
      <c r="CD402" s="1"/>
      <c r="CE402" s="1"/>
      <c r="CF402" s="1"/>
      <c r="CG402" s="1"/>
      <c r="CH402" s="1"/>
      <c r="CI402" s="2"/>
      <c r="CJ402" s="2"/>
      <c r="CK402" s="2"/>
      <c r="CL402" s="2"/>
      <c r="CM402" s="2"/>
      <c r="CN402" s="2"/>
      <c r="CO402" s="2"/>
      <c r="CP402" s="2"/>
      <c r="CQ402" s="2"/>
      <c r="CR402" s="2"/>
      <c r="CS402" s="2"/>
      <c r="CT402" s="2"/>
      <c r="CU402" s="2"/>
      <c r="CV402" s="2"/>
      <c r="CW402" s="2"/>
      <c r="CX402" s="2"/>
      <c r="CY402" s="2"/>
      <c r="CZ402" s="2"/>
    </row>
    <row r="403" spans="44:104" ht="15" hidden="1" customHeight="1" x14ac:dyDescent="0.2">
      <c r="AR403" s="2"/>
      <c r="AS403" s="2"/>
      <c r="AT403" s="2"/>
      <c r="AU403" s="2"/>
      <c r="AV403" s="2"/>
      <c r="AW403" s="2"/>
      <c r="AX403" s="2"/>
      <c r="AY403" s="2"/>
      <c r="AZ403" s="2"/>
      <c r="BA403" s="2"/>
      <c r="BB403" s="2"/>
      <c r="BC403" s="2"/>
      <c r="BD403" s="2"/>
      <c r="BE403" s="2"/>
      <c r="BK403" s="2"/>
      <c r="BM403" s="2"/>
      <c r="BN403" s="2"/>
      <c r="BO403" s="2"/>
      <c r="BS403" s="11"/>
      <c r="BT403" s="2"/>
      <c r="BU403" s="3"/>
      <c r="BV403" s="3"/>
      <c r="BW403" s="2"/>
      <c r="BX403" s="2"/>
      <c r="BY403" s="2"/>
      <c r="BZ403" s="46"/>
      <c r="CA403" s="1"/>
      <c r="CB403" s="1"/>
      <c r="CC403" s="1"/>
      <c r="CD403" s="1"/>
      <c r="CE403" s="1"/>
      <c r="CF403" s="1"/>
      <c r="CG403" s="1"/>
      <c r="CH403" s="1"/>
      <c r="CI403" s="2"/>
      <c r="CJ403" s="2"/>
      <c r="CK403" s="2"/>
      <c r="CL403" s="2"/>
      <c r="CM403" s="2"/>
      <c r="CN403" s="2"/>
      <c r="CO403" s="2"/>
      <c r="CP403" s="2"/>
      <c r="CQ403" s="2"/>
      <c r="CR403" s="2"/>
      <c r="CS403" s="2"/>
      <c r="CT403" s="2"/>
      <c r="CU403" s="2"/>
      <c r="CV403" s="2"/>
      <c r="CW403" s="2"/>
      <c r="CX403" s="2"/>
      <c r="CY403" s="2"/>
      <c r="CZ403" s="2"/>
    </row>
    <row r="404" spans="44:104" ht="15" hidden="1" customHeight="1" x14ac:dyDescent="0.2">
      <c r="AR404" s="2"/>
      <c r="AS404" s="2"/>
      <c r="AT404" s="2"/>
      <c r="AU404" s="2"/>
      <c r="AV404" s="2"/>
      <c r="AW404" s="2"/>
      <c r="AX404" s="2"/>
      <c r="AY404" s="2"/>
      <c r="AZ404" s="2"/>
      <c r="BA404" s="2"/>
      <c r="BB404" s="2"/>
      <c r="BC404" s="2"/>
      <c r="BD404" s="2"/>
      <c r="BE404" s="2"/>
      <c r="BK404" s="2"/>
      <c r="BM404" s="2"/>
      <c r="BN404" s="2"/>
      <c r="BO404" s="2"/>
      <c r="BS404" s="11"/>
      <c r="BT404" s="2"/>
      <c r="BU404" s="3"/>
      <c r="BV404" s="3"/>
      <c r="BW404" s="2"/>
      <c r="BX404" s="2"/>
      <c r="BY404" s="2"/>
      <c r="BZ404" s="2"/>
      <c r="CA404" s="2"/>
      <c r="CB404" s="2"/>
      <c r="CC404" s="2"/>
      <c r="CD404" s="1"/>
      <c r="CE404" s="1"/>
      <c r="CF404" s="1"/>
      <c r="CG404" s="1"/>
      <c r="CH404" s="1"/>
      <c r="CI404" s="2"/>
      <c r="CJ404" s="2"/>
      <c r="CK404" s="2"/>
      <c r="CL404" s="2"/>
      <c r="CM404" s="2"/>
      <c r="CN404" s="2"/>
      <c r="CO404" s="2"/>
      <c r="CP404" s="2"/>
      <c r="CQ404" s="2"/>
      <c r="CR404" s="2"/>
      <c r="CS404" s="2"/>
      <c r="CT404" s="2"/>
      <c r="CU404" s="2"/>
      <c r="CV404" s="2"/>
      <c r="CW404" s="2"/>
      <c r="CX404" s="2"/>
      <c r="CY404" s="2"/>
      <c r="CZ404" s="2"/>
    </row>
    <row r="405" spans="44:104" ht="15" hidden="1" customHeight="1" x14ac:dyDescent="0.2">
      <c r="AR405" s="2"/>
      <c r="AS405" s="2"/>
      <c r="AT405" s="2"/>
      <c r="AU405" s="2"/>
      <c r="AV405" s="2"/>
      <c r="AW405" s="2"/>
      <c r="AX405" s="2"/>
      <c r="AY405" s="2"/>
      <c r="AZ405" s="2"/>
      <c r="BA405" s="2"/>
      <c r="BB405" s="2"/>
      <c r="BC405" s="2"/>
      <c r="BD405" s="2"/>
      <c r="BE405" s="2"/>
      <c r="BK405" s="2"/>
      <c r="BM405" s="2"/>
      <c r="BN405" s="2"/>
      <c r="BO405" s="2"/>
      <c r="BS405" s="11"/>
      <c r="BT405" s="2"/>
      <c r="BU405" s="3"/>
      <c r="BV405" s="3"/>
      <c r="BW405" s="2"/>
      <c r="BX405" s="2"/>
      <c r="BY405" s="2"/>
      <c r="BZ405" s="2"/>
      <c r="CA405" s="2"/>
      <c r="CB405" s="2"/>
      <c r="CC405" s="2"/>
      <c r="CD405" s="1"/>
      <c r="CE405" s="1"/>
      <c r="CF405" s="1"/>
      <c r="CG405" s="1"/>
      <c r="CH405" s="1"/>
      <c r="CI405" s="2"/>
      <c r="CJ405" s="2"/>
      <c r="CK405" s="2"/>
      <c r="CL405" s="2"/>
      <c r="CM405" s="2"/>
      <c r="CN405" s="2"/>
      <c r="CO405" s="2"/>
      <c r="CP405" s="2"/>
      <c r="CQ405" s="2"/>
      <c r="CR405" s="2"/>
      <c r="CS405" s="2"/>
      <c r="CT405" s="2"/>
      <c r="CU405" s="2"/>
      <c r="CV405" s="2"/>
      <c r="CW405" s="2"/>
      <c r="CX405" s="2"/>
      <c r="CY405" s="2"/>
      <c r="CZ405" s="2"/>
    </row>
    <row r="406" spans="44:104" ht="15" hidden="1" customHeight="1" x14ac:dyDescent="0.2">
      <c r="AR406" s="2"/>
      <c r="AS406" s="2"/>
      <c r="AT406" s="2"/>
      <c r="AU406" s="2"/>
      <c r="AV406" s="2"/>
      <c r="AW406" s="2"/>
      <c r="AX406" s="2"/>
      <c r="AY406" s="2"/>
      <c r="AZ406" s="2"/>
      <c r="BA406" s="2"/>
      <c r="BB406" s="2"/>
      <c r="BC406" s="2"/>
      <c r="BD406" s="2"/>
      <c r="BE406" s="2"/>
      <c r="BK406" s="2"/>
      <c r="BM406" s="2"/>
      <c r="BN406" s="2"/>
      <c r="BO406" s="2"/>
      <c r="BS406" s="11"/>
      <c r="BT406" s="2"/>
      <c r="BU406" s="3"/>
      <c r="BV406" s="3"/>
      <c r="BW406" s="2"/>
      <c r="BX406" s="2"/>
      <c r="BY406" s="2"/>
      <c r="BZ406" s="2"/>
      <c r="CA406" s="2"/>
      <c r="CB406" s="2"/>
      <c r="CC406" s="2"/>
      <c r="CD406" s="1"/>
      <c r="CE406" s="1"/>
      <c r="CF406" s="1"/>
      <c r="CG406" s="1"/>
      <c r="CH406" s="1"/>
      <c r="CI406" s="2"/>
      <c r="CJ406" s="2"/>
      <c r="CK406" s="2"/>
      <c r="CL406" s="2"/>
      <c r="CM406" s="2"/>
      <c r="CN406" s="2"/>
      <c r="CO406" s="2"/>
      <c r="CP406" s="2"/>
      <c r="CQ406" s="2"/>
      <c r="CR406" s="2"/>
      <c r="CS406" s="2"/>
      <c r="CT406" s="2"/>
      <c r="CU406" s="2"/>
      <c r="CV406" s="2"/>
      <c r="CW406" s="2"/>
      <c r="CX406" s="2"/>
      <c r="CY406" s="2"/>
      <c r="CZ406" s="2"/>
    </row>
  </sheetData>
  <sheetProtection algorithmName="SHA-512" hashValue="qIdbTl8RPH/dGGtbhTOnggB7u3nNUPYG9AqfOUXkB2ZD9tH2U0idrqqVrK0f2pCij9UgDV23h95iOh+ZyVm7lg==" saltValue="+4xEIjEIpXD45KELTHChZw==" spinCount="100000" sheet="1" objects="1" scenarios="1"/>
  <sortState xmlns:xlrd2="http://schemas.microsoft.com/office/spreadsheetml/2017/richdata2" ref="CH3:CH32">
    <sortCondition ref="CH3:CH32"/>
  </sortState>
  <mergeCells count="273">
    <mergeCell ref="B72:F72"/>
    <mergeCell ref="B73:F73"/>
    <mergeCell ref="B74:F74"/>
    <mergeCell ref="B89:F89"/>
    <mergeCell ref="B67:F67"/>
    <mergeCell ref="B68:F68"/>
    <mergeCell ref="B69:F69"/>
    <mergeCell ref="CA69:CB69"/>
    <mergeCell ref="B70:F70"/>
    <mergeCell ref="B71:F71"/>
    <mergeCell ref="B75:F75"/>
    <mergeCell ref="B65:F65"/>
    <mergeCell ref="BS65:BT65"/>
    <mergeCell ref="BU65:BV65"/>
    <mergeCell ref="BW65:BX65"/>
    <mergeCell ref="BY65:BZ65"/>
    <mergeCell ref="B66:F66"/>
    <mergeCell ref="BZ45:CE45"/>
    <mergeCell ref="CG45:CL45"/>
    <mergeCell ref="CN45:CS45"/>
    <mergeCell ref="B64:F64"/>
    <mergeCell ref="K64:O64"/>
    <mergeCell ref="Q64:U64"/>
    <mergeCell ref="W64:AA64"/>
    <mergeCell ref="AC64:AG64"/>
    <mergeCell ref="AK64:AO64"/>
    <mergeCell ref="AG41:AH41"/>
    <mergeCell ref="AI41:AM41"/>
    <mergeCell ref="AN41:AO41"/>
    <mergeCell ref="A42:AQ42"/>
    <mergeCell ref="C41:D41"/>
    <mergeCell ref="E41:K41"/>
    <mergeCell ref="L41:M41"/>
    <mergeCell ref="N41:R41"/>
    <mergeCell ref="S41:T41"/>
    <mergeCell ref="U41:Y41"/>
    <mergeCell ref="Z41:AA41"/>
    <mergeCell ref="AB41:AF41"/>
    <mergeCell ref="CU45:CZ45"/>
    <mergeCell ref="BK45:BP45"/>
    <mergeCell ref="BS45:BX45"/>
    <mergeCell ref="AE37:AI37"/>
    <mergeCell ref="AJ37:AK37"/>
    <mergeCell ref="B39:AO39"/>
    <mergeCell ref="C40:D40"/>
    <mergeCell ref="E40:K40"/>
    <mergeCell ref="L40:M40"/>
    <mergeCell ref="N40:R40"/>
    <mergeCell ref="S40:T40"/>
    <mergeCell ref="U40:Y40"/>
    <mergeCell ref="Z40:AA40"/>
    <mergeCell ref="AB40:AF40"/>
    <mergeCell ref="AG40:AH40"/>
    <mergeCell ref="AI40:AM40"/>
    <mergeCell ref="AN40:AO40"/>
    <mergeCell ref="C38:D38"/>
    <mergeCell ref="E38:J38"/>
    <mergeCell ref="K38:L38"/>
    <mergeCell ref="M38:O38"/>
    <mergeCell ref="P38:Q38"/>
    <mergeCell ref="R38:T38"/>
    <mergeCell ref="U38:V38"/>
    <mergeCell ref="AS35:AV35"/>
    <mergeCell ref="B36:AO36"/>
    <mergeCell ref="C37:D37"/>
    <mergeCell ref="E37:J37"/>
    <mergeCell ref="K37:L37"/>
    <mergeCell ref="M37:P37"/>
    <mergeCell ref="Q37:R37"/>
    <mergeCell ref="S37:V37"/>
    <mergeCell ref="W37:X37"/>
    <mergeCell ref="Y37:AB37"/>
    <mergeCell ref="W38:Y38"/>
    <mergeCell ref="Z38:AA38"/>
    <mergeCell ref="AB38:AD38"/>
    <mergeCell ref="AE38:AF38"/>
    <mergeCell ref="AG38:AI38"/>
    <mergeCell ref="AJ38:AK38"/>
    <mergeCell ref="AC37:AD37"/>
    <mergeCell ref="B34:AO34"/>
    <mergeCell ref="C35:D35"/>
    <mergeCell ref="E35:J35"/>
    <mergeCell ref="L35:O35"/>
    <mergeCell ref="Q35:T35"/>
    <mergeCell ref="V35:Y35"/>
    <mergeCell ref="AA35:AD35"/>
    <mergeCell ref="AF35:AI35"/>
    <mergeCell ref="AK35:AN35"/>
    <mergeCell ref="AM30:AO30"/>
    <mergeCell ref="A31:C31"/>
    <mergeCell ref="D31:AO31"/>
    <mergeCell ref="A32:AO32"/>
    <mergeCell ref="AR32:AV32"/>
    <mergeCell ref="B33:AO33"/>
    <mergeCell ref="C29:I29"/>
    <mergeCell ref="J29:M29"/>
    <mergeCell ref="N29:Q29"/>
    <mergeCell ref="R29:AC29"/>
    <mergeCell ref="AD29:AO29"/>
    <mergeCell ref="C30:I30"/>
    <mergeCell ref="J30:Q30"/>
    <mergeCell ref="R30:V30"/>
    <mergeCell ref="W30:AI30"/>
    <mergeCell ref="AJ30:AL30"/>
    <mergeCell ref="A21:B30"/>
    <mergeCell ref="C28:I28"/>
    <mergeCell ref="J28:M28"/>
    <mergeCell ref="N28:Q28"/>
    <mergeCell ref="R28:V28"/>
    <mergeCell ref="Y28:Z28"/>
    <mergeCell ref="AB28:AC28"/>
    <mergeCell ref="AD28:AH28"/>
    <mergeCell ref="AK28:AL28"/>
    <mergeCell ref="AN28:AO28"/>
    <mergeCell ref="C27:I27"/>
    <mergeCell ref="J27:M27"/>
    <mergeCell ref="N27:Q27"/>
    <mergeCell ref="R27:V27"/>
    <mergeCell ref="Y27:Z27"/>
    <mergeCell ref="AB27:AC27"/>
    <mergeCell ref="AD27:AH27"/>
    <mergeCell ref="AK27:AL27"/>
    <mergeCell ref="AN27:AO27"/>
    <mergeCell ref="AD25:AH25"/>
    <mergeCell ref="AK25:AL25"/>
    <mergeCell ref="AN25:AO25"/>
    <mergeCell ref="C26:I26"/>
    <mergeCell ref="J26:M26"/>
    <mergeCell ref="N26:Q26"/>
    <mergeCell ref="R26:V26"/>
    <mergeCell ref="Y26:Z26"/>
    <mergeCell ref="AB26:AC26"/>
    <mergeCell ref="AD26:AH26"/>
    <mergeCell ref="AK26:AL26"/>
    <mergeCell ref="AN26:AO26"/>
    <mergeCell ref="C25:I25"/>
    <mergeCell ref="J25:M25"/>
    <mergeCell ref="N25:Q25"/>
    <mergeCell ref="R25:V25"/>
    <mergeCell ref="Y25:Z25"/>
    <mergeCell ref="AB25:AC25"/>
    <mergeCell ref="C24:I24"/>
    <mergeCell ref="J24:Q24"/>
    <mergeCell ref="R24:V24"/>
    <mergeCell ref="Y24:Z24"/>
    <mergeCell ref="C23:I23"/>
    <mergeCell ref="J23:Q23"/>
    <mergeCell ref="R23:V23"/>
    <mergeCell ref="Y23:Z23"/>
    <mergeCell ref="AB23:AC23"/>
    <mergeCell ref="AD23:AH23"/>
    <mergeCell ref="AK23:AL23"/>
    <mergeCell ref="AN23:AO23"/>
    <mergeCell ref="AB24:AC24"/>
    <mergeCell ref="AD24:AH24"/>
    <mergeCell ref="AK24:AL24"/>
    <mergeCell ref="AN24:AO24"/>
    <mergeCell ref="AD21:AH21"/>
    <mergeCell ref="AK21:AL21"/>
    <mergeCell ref="AN21:AO21"/>
    <mergeCell ref="AN22:AO22"/>
    <mergeCell ref="C22:I22"/>
    <mergeCell ref="J22:Q22"/>
    <mergeCell ref="R22:V22"/>
    <mergeCell ref="Y22:Z22"/>
    <mergeCell ref="AB22:AC22"/>
    <mergeCell ref="AD22:AH22"/>
    <mergeCell ref="AK22:AL22"/>
    <mergeCell ref="C21:I21"/>
    <mergeCell ref="J21:Q21"/>
    <mergeCell ref="R21:V21"/>
    <mergeCell ref="Y21:Z21"/>
    <mergeCell ref="AB21:AC21"/>
    <mergeCell ref="C19:F19"/>
    <mergeCell ref="O19:Z19"/>
    <mergeCell ref="AA19:AM19"/>
    <mergeCell ref="AN19:AO19"/>
    <mergeCell ref="C20:F20"/>
    <mergeCell ref="O20:Z20"/>
    <mergeCell ref="AA20:AM20"/>
    <mergeCell ref="AN20:AO20"/>
    <mergeCell ref="C17:F17"/>
    <mergeCell ref="O17:AD17"/>
    <mergeCell ref="AE17:AH17"/>
    <mergeCell ref="AI17:AL17"/>
    <mergeCell ref="AM17:AO17"/>
    <mergeCell ref="C18:F18"/>
    <mergeCell ref="O18:Z18"/>
    <mergeCell ref="AA18:AM18"/>
    <mergeCell ref="AN18:AO18"/>
    <mergeCell ref="C15:F15"/>
    <mergeCell ref="O15:AD15"/>
    <mergeCell ref="AE15:AH15"/>
    <mergeCell ref="AI15:AL15"/>
    <mergeCell ref="AM15:AO15"/>
    <mergeCell ref="C16:F16"/>
    <mergeCell ref="O16:AD16"/>
    <mergeCell ref="AE16:AH16"/>
    <mergeCell ref="AI16:AL16"/>
    <mergeCell ref="AM16:AO16"/>
    <mergeCell ref="C13:F13"/>
    <mergeCell ref="O13:AD13"/>
    <mergeCell ref="AE13:AH13"/>
    <mergeCell ref="AI13:AL13"/>
    <mergeCell ref="AM13:AO13"/>
    <mergeCell ref="C14:F14"/>
    <mergeCell ref="O14:AD14"/>
    <mergeCell ref="AE14:AH14"/>
    <mergeCell ref="AI14:AL14"/>
    <mergeCell ref="AM14:AO14"/>
    <mergeCell ref="C11:F11"/>
    <mergeCell ref="O11:AD11"/>
    <mergeCell ref="AE11:AH11"/>
    <mergeCell ref="AI11:AL11"/>
    <mergeCell ref="AM11:AO11"/>
    <mergeCell ref="C12:F12"/>
    <mergeCell ref="O12:AD12"/>
    <mergeCell ref="AE12:AH12"/>
    <mergeCell ref="AI12:AL12"/>
    <mergeCell ref="AM12:AO12"/>
    <mergeCell ref="C9:F9"/>
    <mergeCell ref="O9:AD9"/>
    <mergeCell ref="AE9:AH9"/>
    <mergeCell ref="AI9:AL9"/>
    <mergeCell ref="AM9:AO9"/>
    <mergeCell ref="C10:F10"/>
    <mergeCell ref="O10:AD10"/>
    <mergeCell ref="AE10:AH10"/>
    <mergeCell ref="AI10:AL10"/>
    <mergeCell ref="AM10:AO10"/>
    <mergeCell ref="C7:F7"/>
    <mergeCell ref="O7:AD7"/>
    <mergeCell ref="AE7:AH7"/>
    <mergeCell ref="AI7:AL7"/>
    <mergeCell ref="AM7:AO7"/>
    <mergeCell ref="C8:F8"/>
    <mergeCell ref="O8:AD8"/>
    <mergeCell ref="AE8:AH8"/>
    <mergeCell ref="AI8:AL8"/>
    <mergeCell ref="AM8:AO8"/>
    <mergeCell ref="O5:AD5"/>
    <mergeCell ref="AE5:AH5"/>
    <mergeCell ref="AI5:AL5"/>
    <mergeCell ref="AM5:AO5"/>
    <mergeCell ref="C6:F6"/>
    <mergeCell ref="O6:AD6"/>
    <mergeCell ref="AE6:AH6"/>
    <mergeCell ref="AI6:AL6"/>
    <mergeCell ref="AM6:AO6"/>
    <mergeCell ref="AI3:AL3"/>
    <mergeCell ref="AM3:AO3"/>
    <mergeCell ref="C4:F4"/>
    <mergeCell ref="O4:AD4"/>
    <mergeCell ref="AE4:AH4"/>
    <mergeCell ref="AI4:AL4"/>
    <mergeCell ref="AM4:AO4"/>
    <mergeCell ref="AP1:AP39"/>
    <mergeCell ref="AX1:BF1"/>
    <mergeCell ref="C2:F2"/>
    <mergeCell ref="O2:AD2"/>
    <mergeCell ref="AE2:AH2"/>
    <mergeCell ref="AI2:AL2"/>
    <mergeCell ref="AM2:AO2"/>
    <mergeCell ref="C3:F3"/>
    <mergeCell ref="O3:AD3"/>
    <mergeCell ref="AE3:AH3"/>
    <mergeCell ref="C1:F1"/>
    <mergeCell ref="G1:I1"/>
    <mergeCell ref="O1:AD1"/>
    <mergeCell ref="AE1:AH1"/>
    <mergeCell ref="AI1:AL1"/>
    <mergeCell ref="AM1:AO1"/>
    <mergeCell ref="C5:F5"/>
  </mergeCells>
  <conditionalFormatting sqref="B2:O17 AF18:AO19">
    <cfRule type="cellIs" dxfId="38" priority="6" operator="equal">
      <formula>0</formula>
    </cfRule>
  </conditionalFormatting>
  <conditionalFormatting sqref="B20:AO20">
    <cfRule type="cellIs" dxfId="37" priority="1" operator="equal">
      <formula>0</formula>
    </cfRule>
  </conditionalFormatting>
  <conditionalFormatting sqref="G2:N20">
    <cfRule type="cellIs" dxfId="36" priority="2" operator="equal">
      <formula>"0+"</formula>
    </cfRule>
  </conditionalFormatting>
  <conditionalFormatting sqref="I18:I20">
    <cfRule type="cellIs" dxfId="35" priority="3" operator="equal">
      <formula>2</formula>
    </cfRule>
  </conditionalFormatting>
  <conditionalFormatting sqref="J2:K17">
    <cfRule type="cellIs" dxfId="34" priority="8" operator="lessThan">
      <formula>W66</formula>
    </cfRule>
    <cfRule type="cellIs" dxfId="33" priority="9" operator="greaterThan">
      <formula>W66</formula>
    </cfRule>
  </conditionalFormatting>
  <conditionalFormatting sqref="L2:L17">
    <cfRule type="expression" dxfId="32" priority="21">
      <formula>M66&lt;Y66</formula>
    </cfRule>
  </conditionalFormatting>
  <conditionalFormatting sqref="L2:M17">
    <cfRule type="expression" dxfId="31" priority="20">
      <formula>M66&gt;Y66</formula>
    </cfRule>
  </conditionalFormatting>
  <conditionalFormatting sqref="M2:M12">
    <cfRule type="expression" dxfId="30" priority="25">
      <formula>N66&lt;Z66</formula>
    </cfRule>
  </conditionalFormatting>
  <conditionalFormatting sqref="M13">
    <cfRule type="expression" dxfId="29" priority="31">
      <formula>N77&lt;Z77</formula>
    </cfRule>
  </conditionalFormatting>
  <conditionalFormatting sqref="M14:M17">
    <cfRule type="expression" dxfId="28" priority="32">
      <formula>N78&lt;Z78</formula>
    </cfRule>
  </conditionalFormatting>
  <conditionalFormatting sqref="N2:N17">
    <cfRule type="expression" dxfId="27" priority="10">
      <formula>O66&lt;AA66</formula>
    </cfRule>
    <cfRule type="expression" dxfId="26" priority="11">
      <formula>O66&gt;AA66</formula>
    </cfRule>
  </conditionalFormatting>
  <conditionalFormatting sqref="O2:O17">
    <cfRule type="cellIs" dxfId="25" priority="18" operator="equal">
      <formula>0&amp;BF2</formula>
    </cfRule>
    <cfRule type="expression" dxfId="24" priority="19">
      <formula>AW2&lt;&gt;""</formula>
    </cfRule>
  </conditionalFormatting>
  <conditionalFormatting sqref="O18:AM18">
    <cfRule type="expression" dxfId="23" priority="22">
      <formula>$AV$18="NO"</formula>
    </cfRule>
  </conditionalFormatting>
  <conditionalFormatting sqref="O19:AM19">
    <cfRule type="expression" dxfId="22" priority="23">
      <formula>$AV$19="NO"</formula>
    </cfRule>
  </conditionalFormatting>
  <conditionalFormatting sqref="W28">
    <cfRule type="expression" dxfId="21" priority="14">
      <formula>$Y$28=0</formula>
    </cfRule>
  </conditionalFormatting>
  <conditionalFormatting sqref="W30">
    <cfRule type="cellIs" dxfId="20" priority="7" operator="equal">
      <formula>0</formula>
    </cfRule>
  </conditionalFormatting>
  <conditionalFormatting sqref="X28:AA28">
    <cfRule type="expression" dxfId="19" priority="12">
      <formula>$Y$28=0</formula>
    </cfRule>
  </conditionalFormatting>
  <conditionalFormatting sqref="AB28:AC28">
    <cfRule type="expression" dxfId="18" priority="13">
      <formula>$Y$28=0</formula>
    </cfRule>
  </conditionalFormatting>
  <conditionalFormatting sqref="AG43:AH59">
    <cfRule type="cellIs" dxfId="17" priority="4" operator="equal">
      <formula>0</formula>
    </cfRule>
  </conditionalFormatting>
  <conditionalFormatting sqref="AI2:AI17 AE2:AE19 B18:AD19 B43:AF58">
    <cfRule type="cellIs" dxfId="16" priority="5" operator="equal">
      <formula>0</formula>
    </cfRule>
  </conditionalFormatting>
  <conditionalFormatting sqref="AI28">
    <cfRule type="expression" dxfId="15" priority="17">
      <formula>$AK$28=0</formula>
    </cfRule>
  </conditionalFormatting>
  <conditionalFormatting sqref="AJ21:AL21">
    <cfRule type="expression" dxfId="14" priority="38">
      <formula>$AK$21=0</formula>
    </cfRule>
  </conditionalFormatting>
  <conditionalFormatting sqref="AJ28:AL28">
    <cfRule type="expression" dxfId="13" priority="15">
      <formula>$AK$28=0</formula>
    </cfRule>
  </conditionalFormatting>
  <conditionalFormatting sqref="AJ23:AM23">
    <cfRule type="expression" dxfId="12" priority="26">
      <formula>$AK$23=0</formula>
    </cfRule>
  </conditionalFormatting>
  <conditionalFormatting sqref="AJ24:AM24">
    <cfRule type="expression" dxfId="11" priority="27">
      <formula>$AK$24=0</formula>
    </cfRule>
  </conditionalFormatting>
  <conditionalFormatting sqref="AJ25:AM25">
    <cfRule type="expression" dxfId="10" priority="28">
      <formula>$AK$25=0</formula>
    </cfRule>
  </conditionalFormatting>
  <conditionalFormatting sqref="AJ26:AM26">
    <cfRule type="expression" dxfId="9" priority="29">
      <formula>$AK$26=0</formula>
    </cfRule>
  </conditionalFormatting>
  <conditionalFormatting sqref="AJ27:AM27">
    <cfRule type="expression" dxfId="8" priority="30">
      <formula>$AK$27=0</formula>
    </cfRule>
  </conditionalFormatting>
  <conditionalFormatting sqref="AN18:AO20">
    <cfRule type="cellIs" dxfId="7" priority="24" operator="equal">
      <formula>0</formula>
    </cfRule>
  </conditionalFormatting>
  <conditionalFormatting sqref="AN21:AO21">
    <cfRule type="expression" dxfId="6" priority="39">
      <formula>$AK$21=0</formula>
    </cfRule>
  </conditionalFormatting>
  <conditionalFormatting sqref="AN23:AO23">
    <cfRule type="expression" dxfId="5" priority="33">
      <formula>$AK$23=0</formula>
    </cfRule>
  </conditionalFormatting>
  <conditionalFormatting sqref="AN24:AO24">
    <cfRule type="expression" dxfId="4" priority="34">
      <formula>$AK$24=0</formula>
    </cfRule>
  </conditionalFormatting>
  <conditionalFormatting sqref="AN25:AO25">
    <cfRule type="expression" dxfId="3" priority="35">
      <formula>$AK$25=0</formula>
    </cfRule>
  </conditionalFormatting>
  <conditionalFormatting sqref="AN26:AO26">
    <cfRule type="expression" dxfId="2" priority="36">
      <formula>$AK$26=0</formula>
    </cfRule>
  </conditionalFormatting>
  <conditionalFormatting sqref="AN27:AO27">
    <cfRule type="expression" dxfId="1" priority="37">
      <formula>$AK$27=0</formula>
    </cfRule>
  </conditionalFormatting>
  <conditionalFormatting sqref="AN28:AO28">
    <cfRule type="expression" dxfId="0" priority="16">
      <formula>$AK$28=0</formula>
    </cfRule>
  </conditionalFormatting>
  <dataValidations count="39">
    <dataValidation type="list" allowBlank="1" showErrorMessage="1" sqref="J23:Q23" xr:uid="{A72AD201-8ACA-4627-AEF4-C0C072930F54}">
      <formula1>$BM$3:$BM$36</formula1>
    </dataValidation>
    <dataValidation type="list" allowBlank="1" showErrorMessage="1" sqref="AI2:AI3 AE2" xr:uid="{11FC8377-786D-487B-94BA-CBB716213A4B}">
      <formula1>$CG$65:$CG$139</formula1>
    </dataValidation>
    <dataValidation type="list" allowBlank="1" showErrorMessage="1" sqref="AE3" xr:uid="{DB93167F-5145-40E5-B383-FF82F18C06A5}">
      <formula1>$CH$65:$CH$139</formula1>
    </dataValidation>
    <dataValidation type="list" allowBlank="1" showErrorMessage="1" sqref="AI4 AE4" xr:uid="{27BEDED0-0296-4C07-AE4B-7459F95CB9C8}">
      <formula1>$CI$65:$CI$139</formula1>
    </dataValidation>
    <dataValidation type="list" allowBlank="1" showErrorMessage="1" sqref="AI5 AE5" xr:uid="{470FBA97-1AB0-41A0-BCA4-C01F5086A7EE}">
      <formula1>$CJ$65:$CJ$139</formula1>
    </dataValidation>
    <dataValidation type="list" allowBlank="1" showErrorMessage="1" sqref="AI6 AE6" xr:uid="{7D760FC1-B749-423D-98A7-2EB03A7002EF}">
      <formula1>$CK$65:$CK$139</formula1>
    </dataValidation>
    <dataValidation type="list" allowBlank="1" showErrorMessage="1" sqref="AI7 AE7" xr:uid="{34308520-B954-4C74-B22E-BE469B0BE953}">
      <formula1>$CL$65:$CL$139</formula1>
    </dataValidation>
    <dataValidation type="list" allowBlank="1" showErrorMessage="1" sqref="AI8 AE8" xr:uid="{B5FBCC74-B645-4D53-88A0-F82149A0A20F}">
      <formula1>$CM$65:$CM$139</formula1>
    </dataValidation>
    <dataValidation type="list" allowBlank="1" showErrorMessage="1" sqref="AI9 AE9" xr:uid="{FC72FE2A-6F07-45D5-B8FA-EC6E3739FED0}">
      <formula1>$CN$65:$CN$139</formula1>
    </dataValidation>
    <dataValidation type="list" allowBlank="1" showErrorMessage="1" sqref="AI10 AE10" xr:uid="{27013D7B-2C39-4497-8331-D76DA1871D61}">
      <formula1>$CO$65:$CO$139</formula1>
    </dataValidation>
    <dataValidation type="list" allowBlank="1" showErrorMessage="1" sqref="AI11 AE11" xr:uid="{9FD7B229-985A-4F66-98D5-9E20B14CF790}">
      <formula1>$CP$65:$CP$139</formula1>
    </dataValidation>
    <dataValidation type="list" allowBlank="1" showErrorMessage="1" sqref="AI12 AE12" xr:uid="{BF93A7B9-8148-4D19-8FA6-C121F5CA8DAF}">
      <formula1>$CQ$65:$CQ$139</formula1>
    </dataValidation>
    <dataValidation type="list" allowBlank="1" showErrorMessage="1" sqref="AI13 AE13" xr:uid="{367AB92C-F25A-4B97-ABD3-EDD0B0265248}">
      <formula1>$CR$65:$CR$139</formula1>
    </dataValidation>
    <dataValidation type="list" allowBlank="1" showErrorMessage="1" sqref="AI14 AE14" xr:uid="{A40D6C91-BBCC-4A6E-BAB4-50680E44EAAA}">
      <formula1>$CS$65:$CS$139</formula1>
    </dataValidation>
    <dataValidation type="list" allowBlank="1" showErrorMessage="1" sqref="AI15 AE15" xr:uid="{E7941F0E-68D3-4C01-9004-E44FD49E6B9D}">
      <formula1>$CT$65:$CT$139</formula1>
    </dataValidation>
    <dataValidation type="list" allowBlank="1" showErrorMessage="1" sqref="AI16 AE16" xr:uid="{0DAD1E59-6F60-4D19-9041-BE32763563F9}">
      <formula1>$CU$65:$CU$139</formula1>
    </dataValidation>
    <dataValidation type="list" allowBlank="1" showErrorMessage="1" sqref="AI17 AE17" xr:uid="{9D08297D-A80A-48BF-B88E-7455C93AA2AF}">
      <formula1>$CV$65:$CV$139</formula1>
    </dataValidation>
    <dataValidation type="list" allowBlank="1" showErrorMessage="1" sqref="AD25:AH25" xr:uid="{9FBAE524-5D6F-48BC-A3A8-5CAFE4BECE96}">
      <formula1>$BD$64:$BD$75</formula1>
    </dataValidation>
    <dataValidation type="list" allowBlank="1" showErrorMessage="1" sqref="AD27:AH27" xr:uid="{CB840D11-FA24-4DC7-8D73-A6C7F6B981BE}">
      <formula1>$BO$64:$BO$78</formula1>
    </dataValidation>
    <dataValidation type="list" allowBlank="1" showErrorMessage="1" sqref="J24:Q24" xr:uid="{9142647A-6510-43AA-A792-C4FE081C2DB9}">
      <formula1>$BA$67:$BA$71</formula1>
    </dataValidation>
    <dataValidation type="list" allowBlank="1" showErrorMessage="1" sqref="W23" xr:uid="{12074A08-2365-4AF1-8E51-03B85084BD1E}">
      <formula1>$AY$67:$AY$77</formula1>
    </dataValidation>
    <dataValidation type="list" allowBlank="1" showErrorMessage="1" sqref="AI21:AI26 W27:W28" xr:uid="{E2EF10AB-D962-4FC8-9BFD-FEAF91A2CA56}">
      <formula1>$AY$67:$AY$68</formula1>
    </dataValidation>
    <dataValidation type="list" allowBlank="1" showErrorMessage="1" sqref="P35 AJ35 AE35 U35" xr:uid="{547E751B-87F7-4E8F-8D8A-F61CBC2E7727}">
      <formula1>$BB$73:$BB$74</formula1>
    </dataValidation>
    <dataValidation type="list" allowBlank="1" showErrorMessage="1" sqref="AD24" xr:uid="{D40112F1-EDFC-4925-9D39-592129C81D5A}">
      <formula1>$BD$64:$BD$74</formula1>
    </dataValidation>
    <dataValidation type="list" allowBlank="1" showErrorMessage="1" sqref="P38 AJ38 AE38 Z38 U38" xr:uid="{F7A62CC0-F536-454B-877F-5B8D851D09DF}">
      <formula1>$AS$65:$AS$85</formula1>
    </dataValidation>
    <dataValidation type="list" allowBlank="1" showErrorMessage="1" sqref="C35" xr:uid="{7CA65A29-7287-4E2C-8C1A-374E08CB3F19}">
      <formula1>valorequipo</formula1>
    </dataValidation>
    <dataValidation type="list" allowBlank="1" showErrorMessage="1" sqref="W22" xr:uid="{8DDC1374-E5E4-4023-8810-C6F8FCBBD940}">
      <formula1>$AY$67:$AY$75</formula1>
    </dataValidation>
    <dataValidation type="list" allowBlank="1" showErrorMessage="1" sqref="C37 W37 K37 Q37" xr:uid="{79ACA0C1-534D-430E-8A59-1614A6AA0C5F}">
      <formula1>$AX$67:$AX$88</formula1>
    </dataValidation>
    <dataValidation type="list" allowBlank="1" showErrorMessage="1" sqref="W24 W21" xr:uid="{6720EB7C-4B0D-44E1-A6D2-834DE906AE61}">
      <formula1>$AY$67:$AY$73</formula1>
    </dataValidation>
    <dataValidation type="list" allowBlank="1" showErrorMessage="1" sqref="AI27 K35" xr:uid="{70A1C19E-6976-43CF-B349-82A9E32C7E84}">
      <formula1>$AY$67:$AY$70</formula1>
    </dataValidation>
    <dataValidation type="list" allowBlank="1" showErrorMessage="1" sqref="W25 AO35 AI28" xr:uid="{747A59F5-BA0F-4AD2-8E66-22EF487BEAB8}">
      <formula1>$AY$67:$AY$69</formula1>
    </dataValidation>
    <dataValidation type="list" allowBlank="1" showErrorMessage="1" sqref="AD23" xr:uid="{EFCC39D7-9C06-4642-B5F1-1B43AC25658E}">
      <formula1>$BH$64:$BH$76</formula1>
    </dataValidation>
    <dataValidation type="list" allowBlank="1" showErrorMessage="1" sqref="W26 Z35" xr:uid="{6213234C-AF0E-4C9C-9541-A70C7D816EF4}">
      <formula1>$AY$67:$AY$71</formula1>
    </dataValidation>
    <dataValidation type="list" allowBlank="1" showErrorMessage="1" sqref="AD26" xr:uid="{B0642E5D-8A32-4C8B-BEE5-EAF17383809C}">
      <formula1>$BL$64:$BL$69</formula1>
    </dataValidation>
    <dataValidation type="list" allowBlank="1" showErrorMessage="1" sqref="AJ37" xr:uid="{70B77148-19E0-4825-8413-508421F113CE}">
      <formula1>$AS$65:$AS$135</formula1>
    </dataValidation>
    <dataValidation type="list" allowBlank="1" showErrorMessage="1" sqref="C38 K38" xr:uid="{CE3471D7-C762-463C-86A2-0A7080721714}">
      <formula1>$AS$65:$AS$75</formula1>
    </dataValidation>
    <dataValidation type="list" allowBlank="1" showErrorMessage="1" sqref="AC37" xr:uid="{A7405884-DE95-4842-A977-0FD365F14F6F}">
      <formula1>$AQ$65:$AQ$164</formula1>
    </dataValidation>
    <dataValidation type="list" allowBlank="1" showErrorMessage="1" sqref="C2:C17" xr:uid="{71796052-4B1C-434F-AEB4-D539A2703F4E}">
      <formula1>$BJ$2:$BJ$14</formula1>
    </dataValidation>
    <dataValidation type="list" allowBlank="1" showErrorMessage="1" sqref="AJ30:AL30" xr:uid="{08E4C24F-E41C-4098-ADC6-DDEA8BF3A943}">
      <formula1>$BA$81:$BA$88</formula1>
    </dataValidation>
  </dataValidations>
  <pageMargins left="0.19685039370078741" right="0.19685039370078741" top="0.39370078740157483" bottom="0.19685039370078741" header="0" footer="0"/>
  <pageSetup paperSize="9" scale="53" orientation="landscape" cellComments="atEnd" r:id="rId1"/>
  <extLst>
    <ext xmlns:x14="http://schemas.microsoft.com/office/spreadsheetml/2009/9/main" uri="{CCE6A557-97BC-4b89-ADB6-D9C93CAAB3DF}">
      <x14:dataValidations xmlns:xm="http://schemas.microsoft.com/office/excel/2006/main" count="2">
        <x14:dataValidation type="list" allowBlank="1" showErrorMessage="1" xr:uid="{0F81C718-F6F9-4B42-AC41-2912355E4E53}">
          <x14:formula1>
            <xm:f>StarPlayersBB2020!$C$94:$C$140</xm:f>
          </x14:formula1>
          <xm:sqref>C20:F20</xm:sqref>
        </x14:dataValidation>
        <x14:dataValidation type="list" allowBlank="1" showErrorMessage="1" xr:uid="{F3919CD3-2156-432C-B1E6-16BF534283E4}">
          <x14:formula1>
            <xm:f>StarPlayersProtajer!$C$94:$C$140</xm:f>
          </x14:formula1>
          <xm:sqref>C18:F19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94"/>
  <sheetViews>
    <sheetView zoomScale="80" zoomScaleNormal="80" workbookViewId="0">
      <pane ySplit="1" topLeftCell="A47" activePane="bottomLeft" state="frozen"/>
      <selection activeCell="R75" sqref="R75"/>
      <selection pane="bottomLeft" activeCell="R75" sqref="R75"/>
    </sheetView>
  </sheetViews>
  <sheetFormatPr baseColWidth="10"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5" ht="12.75" customHeight="1" x14ac:dyDescent="0.2">
      <c r="A1" s="27" t="s">
        <v>224</v>
      </c>
      <c r="B1" s="5" t="s">
        <v>225</v>
      </c>
      <c r="C1" s="5" t="s">
        <v>226</v>
      </c>
      <c r="D1" s="5" t="s">
        <v>227</v>
      </c>
      <c r="E1" s="5" t="s">
        <v>172</v>
      </c>
      <c r="F1" s="5" t="s">
        <v>176</v>
      </c>
      <c r="G1" s="5" t="s">
        <v>174</v>
      </c>
      <c r="H1" s="5" t="s">
        <v>175</v>
      </c>
      <c r="I1" s="5" t="s">
        <v>173</v>
      </c>
      <c r="J1" s="5" t="s">
        <v>228</v>
      </c>
      <c r="K1" s="5" t="s">
        <v>229</v>
      </c>
      <c r="L1" s="5" t="s">
        <v>10</v>
      </c>
      <c r="M1" s="5" t="s">
        <v>230</v>
      </c>
      <c r="N1" s="5" t="s">
        <v>231</v>
      </c>
      <c r="O1" s="5" t="s">
        <v>167</v>
      </c>
      <c r="P1" s="5" t="s">
        <v>168</v>
      </c>
      <c r="Q1" s="5" t="s">
        <v>169</v>
      </c>
      <c r="R1" s="5" t="s">
        <v>170</v>
      </c>
      <c r="S1" s="5" t="s">
        <v>171</v>
      </c>
      <c r="T1" s="15"/>
      <c r="U1" s="5" t="s">
        <v>232</v>
      </c>
      <c r="V1" s="5" t="s">
        <v>233</v>
      </c>
      <c r="W1" s="5" t="s">
        <v>234</v>
      </c>
      <c r="X1" s="5" t="s">
        <v>235</v>
      </c>
      <c r="Y1" s="5" t="s">
        <v>236</v>
      </c>
    </row>
    <row r="2" spans="1:25" ht="12.75" customHeight="1" x14ac:dyDescent="0.2">
      <c r="A2" s="2" t="s">
        <v>20</v>
      </c>
      <c r="B2" s="23" t="str">
        <f>A2&amp;COUNTIF($A$2:$A2,A2)</f>
        <v>Amazon1</v>
      </c>
      <c r="C2" s="23" t="str">
        <f>""</f>
        <v/>
      </c>
      <c r="D2" s="23" t="str">
        <f t="shared" ref="D2:D194" si="0">A2&amp;C2</f>
        <v>Amazon</v>
      </c>
      <c r="E2" s="23">
        <v>0</v>
      </c>
      <c r="F2" s="23">
        <v>0</v>
      </c>
      <c r="G2" s="23">
        <v>0</v>
      </c>
      <c r="H2" s="23">
        <v>0</v>
      </c>
      <c r="I2" s="23">
        <v>0</v>
      </c>
      <c r="J2" s="23">
        <v>0</v>
      </c>
      <c r="K2" s="25">
        <v>0</v>
      </c>
      <c r="L2" s="1">
        <f t="shared" ref="L2:L93" si="1">K2/1000</f>
        <v>0</v>
      </c>
      <c r="M2" s="25">
        <v>0</v>
      </c>
      <c r="N2" s="25">
        <v>0</v>
      </c>
      <c r="O2" s="25"/>
      <c r="P2" s="25"/>
      <c r="Q2" s="25"/>
      <c r="R2" s="25"/>
      <c r="S2" s="25"/>
      <c r="T2" s="15" t="str">
        <f>IF(K2=0,"",(IF(O2=0,"GPSM",(IF(AND(R2=0,S2=0),"PM",(IF(S2=0,"M",(IF(R2=0,"P","FULL")))))))))</f>
        <v/>
      </c>
      <c r="U2" s="15">
        <v>0</v>
      </c>
      <c r="V2" s="15">
        <v>0</v>
      </c>
      <c r="W2" s="15"/>
      <c r="X2" s="15">
        <v>0</v>
      </c>
      <c r="Y2" s="15">
        <v>0</v>
      </c>
    </row>
    <row r="3" spans="1:25" ht="12.75" customHeight="1" x14ac:dyDescent="0.2">
      <c r="A3" s="2" t="s">
        <v>20</v>
      </c>
      <c r="B3" s="23" t="str">
        <f>A3&amp;COUNTIF($A$2:$A3,A3)</f>
        <v>Amazon2</v>
      </c>
      <c r="C3" s="23" t="s">
        <v>1184</v>
      </c>
      <c r="D3" s="23" t="str">
        <f t="shared" si="0"/>
        <v>AmazonEagle Warrior Linewomen</v>
      </c>
      <c r="E3" s="23">
        <v>6</v>
      </c>
      <c r="F3" s="23">
        <v>3</v>
      </c>
      <c r="G3" s="23">
        <v>3</v>
      </c>
      <c r="H3" s="23">
        <v>4</v>
      </c>
      <c r="I3" s="23">
        <v>8</v>
      </c>
      <c r="J3" s="23" t="s">
        <v>237</v>
      </c>
      <c r="K3" s="25">
        <v>50000</v>
      </c>
      <c r="L3" s="1">
        <f t="shared" si="1"/>
        <v>50</v>
      </c>
      <c r="M3" s="23">
        <v>16</v>
      </c>
      <c r="N3" s="23">
        <v>0</v>
      </c>
      <c r="O3" s="25" t="s">
        <v>170</v>
      </c>
      <c r="P3" s="25" t="s">
        <v>169</v>
      </c>
      <c r="Q3" s="25" t="s">
        <v>169</v>
      </c>
      <c r="R3" s="1">
        <v>0</v>
      </c>
      <c r="S3" s="25">
        <v>0</v>
      </c>
      <c r="T3" s="15" t="str">
        <f t="shared" ref="T3:T66" si="2">IF(K3=0,"",(IF(O3=0,"GPSM",(IF(AND(R3=0,S3=0),"PM",(IF(S3=0,"M",(IF(R3=0,"P","FULL")))))))))</f>
        <v>PM</v>
      </c>
      <c r="U3" s="15" t="s">
        <v>237</v>
      </c>
      <c r="V3" s="15" t="s">
        <v>238</v>
      </c>
      <c r="W3" s="15" t="s">
        <v>239</v>
      </c>
      <c r="X3" s="15" t="s">
        <v>240</v>
      </c>
      <c r="Y3" s="15"/>
    </row>
    <row r="4" spans="1:25" ht="12.75" customHeight="1" x14ac:dyDescent="0.2">
      <c r="A4" s="2" t="s">
        <v>20</v>
      </c>
      <c r="B4" s="23" t="str">
        <f>A4&amp;COUNTIF($A$2:$A4,A4)</f>
        <v>Amazon3</v>
      </c>
      <c r="C4" s="23" t="s">
        <v>1185</v>
      </c>
      <c r="D4" s="23" t="str">
        <f t="shared" si="0"/>
        <v>AmazonPython Warrior Throwers</v>
      </c>
      <c r="E4" s="23">
        <v>6</v>
      </c>
      <c r="F4" s="23">
        <v>3</v>
      </c>
      <c r="G4" s="23">
        <v>3</v>
      </c>
      <c r="H4" s="23">
        <v>3</v>
      </c>
      <c r="I4" s="23">
        <v>8</v>
      </c>
      <c r="J4" s="23" t="s">
        <v>1186</v>
      </c>
      <c r="K4" s="25">
        <v>80000</v>
      </c>
      <c r="L4" s="1">
        <f t="shared" si="1"/>
        <v>80</v>
      </c>
      <c r="M4" s="23">
        <v>2</v>
      </c>
      <c r="N4" s="23">
        <v>0</v>
      </c>
      <c r="O4" s="25" t="s">
        <v>170</v>
      </c>
      <c r="P4" s="25" t="s">
        <v>169</v>
      </c>
      <c r="Q4" s="25" t="s">
        <v>169</v>
      </c>
      <c r="R4" s="1" t="s">
        <v>170</v>
      </c>
      <c r="S4" s="25">
        <v>0</v>
      </c>
      <c r="T4" s="15" t="str">
        <f t="shared" si="2"/>
        <v>M</v>
      </c>
      <c r="U4" s="15" t="s">
        <v>1186</v>
      </c>
      <c r="V4" s="15" t="s">
        <v>1187</v>
      </c>
      <c r="W4" s="15" t="s">
        <v>1188</v>
      </c>
      <c r="X4" s="15" t="s">
        <v>1189</v>
      </c>
      <c r="Y4" s="15"/>
    </row>
    <row r="5" spans="1:25" ht="12.75" customHeight="1" x14ac:dyDescent="0.2">
      <c r="A5" s="2" t="s">
        <v>20</v>
      </c>
      <c r="B5" s="23" t="str">
        <f>A5&amp;COUNTIF($A$2:$A5,A5)</f>
        <v>Amazon4</v>
      </c>
      <c r="C5" s="23" t="s">
        <v>1190</v>
      </c>
      <c r="D5" s="23" t="str">
        <f t="shared" si="0"/>
        <v>AmazonPiranha Warrior Blitzers</v>
      </c>
      <c r="E5" s="23">
        <v>7</v>
      </c>
      <c r="F5" s="23">
        <v>3</v>
      </c>
      <c r="G5" s="23">
        <v>3</v>
      </c>
      <c r="H5" s="23">
        <v>5</v>
      </c>
      <c r="I5" s="23">
        <v>8</v>
      </c>
      <c r="J5" s="23" t="s">
        <v>1191</v>
      </c>
      <c r="K5" s="25">
        <v>90000</v>
      </c>
      <c r="L5" s="1">
        <f t="shared" si="1"/>
        <v>90</v>
      </c>
      <c r="M5" s="23">
        <v>2</v>
      </c>
      <c r="N5" s="23">
        <v>0</v>
      </c>
      <c r="O5" s="25" t="s">
        <v>170</v>
      </c>
      <c r="P5" s="25" t="s">
        <v>170</v>
      </c>
      <c r="Q5" s="25" t="s">
        <v>169</v>
      </c>
      <c r="R5" s="1">
        <v>0</v>
      </c>
      <c r="S5" s="25">
        <v>0</v>
      </c>
      <c r="T5" s="15" t="str">
        <f t="shared" si="2"/>
        <v>PM</v>
      </c>
      <c r="U5" s="15" t="s">
        <v>1191</v>
      </c>
      <c r="V5" s="15" t="s">
        <v>1192</v>
      </c>
      <c r="W5" s="15" t="s">
        <v>1193</v>
      </c>
      <c r="X5" s="15" t="s">
        <v>1194</v>
      </c>
      <c r="Y5" s="15"/>
    </row>
    <row r="6" spans="1:25" ht="12.75" customHeight="1" x14ac:dyDescent="0.2">
      <c r="A6" s="2" t="s">
        <v>20</v>
      </c>
      <c r="B6" s="23" t="str">
        <f>A6&amp;COUNTIF($A$2:$A6,A6)</f>
        <v>Amazon5</v>
      </c>
      <c r="C6" s="23" t="s">
        <v>1195</v>
      </c>
      <c r="D6" s="23" t="str">
        <f t="shared" si="0"/>
        <v>AmazonJaguar Warrior Blockers</v>
      </c>
      <c r="E6" s="23">
        <v>6</v>
      </c>
      <c r="F6" s="23">
        <v>4</v>
      </c>
      <c r="G6" s="23">
        <v>3</v>
      </c>
      <c r="H6" s="23">
        <v>5</v>
      </c>
      <c r="I6" s="23">
        <v>9</v>
      </c>
      <c r="J6" s="23" t="s">
        <v>1196</v>
      </c>
      <c r="K6" s="25">
        <v>110000</v>
      </c>
      <c r="L6" s="1">
        <f t="shared" si="1"/>
        <v>110</v>
      </c>
      <c r="M6" s="23">
        <v>2</v>
      </c>
      <c r="N6" s="23">
        <v>0</v>
      </c>
      <c r="O6" s="25" t="s">
        <v>170</v>
      </c>
      <c r="P6" s="25" t="s">
        <v>169</v>
      </c>
      <c r="Q6" s="25" t="s">
        <v>170</v>
      </c>
      <c r="R6" s="1">
        <v>0</v>
      </c>
      <c r="S6" s="25">
        <v>0</v>
      </c>
      <c r="T6" s="15" t="str">
        <f t="shared" si="2"/>
        <v>PM</v>
      </c>
      <c r="U6" s="15" t="s">
        <v>1196</v>
      </c>
      <c r="V6" s="15" t="s">
        <v>1197</v>
      </c>
      <c r="W6" s="15" t="s">
        <v>1198</v>
      </c>
      <c r="X6" s="15" t="s">
        <v>1199</v>
      </c>
      <c r="Y6" s="15"/>
    </row>
    <row r="7" spans="1:25" ht="12.75" customHeight="1" x14ac:dyDescent="0.2">
      <c r="A7" s="23" t="s">
        <v>22</v>
      </c>
      <c r="B7" s="2" t="str">
        <f>A7&amp;COUNTIF($A$2:$A7,A7)</f>
        <v>Black Orc1</v>
      </c>
      <c r="C7" s="2" t="str">
        <f>""</f>
        <v/>
      </c>
      <c r="D7" s="2" t="str">
        <f t="shared" si="0"/>
        <v>Black Orc</v>
      </c>
      <c r="E7" s="2">
        <v>0</v>
      </c>
      <c r="F7" s="2">
        <v>0</v>
      </c>
      <c r="G7" s="2">
        <v>0</v>
      </c>
      <c r="H7" s="2">
        <v>0</v>
      </c>
      <c r="I7" s="2">
        <v>0</v>
      </c>
      <c r="J7" s="2">
        <f>IF('Pack BB2020'!$J$24="Español",V7,(IF('Pack BB2020'!$J$24="Deutsch",W7,(IF('Pack BB2020'!$J$24="Français",X7,U7)))))</f>
        <v>0</v>
      </c>
      <c r="K7" s="1">
        <v>0</v>
      </c>
      <c r="L7" s="1">
        <f t="shared" si="1"/>
        <v>0</v>
      </c>
      <c r="M7" s="1">
        <v>0</v>
      </c>
      <c r="N7" s="1">
        <v>0</v>
      </c>
      <c r="O7" s="1"/>
      <c r="P7" s="1"/>
      <c r="Q7" s="1"/>
      <c r="R7" s="1"/>
      <c r="S7" s="1"/>
      <c r="T7" s="15" t="str">
        <f t="shared" si="2"/>
        <v/>
      </c>
      <c r="U7" s="15">
        <v>0</v>
      </c>
      <c r="V7" s="15">
        <v>0</v>
      </c>
      <c r="W7" s="15">
        <v>0</v>
      </c>
      <c r="X7" s="15">
        <v>0</v>
      </c>
      <c r="Y7" s="15">
        <v>0</v>
      </c>
    </row>
    <row r="8" spans="1:25" ht="12.75" customHeight="1" x14ac:dyDescent="0.2">
      <c r="A8" s="23" t="s">
        <v>22</v>
      </c>
      <c r="B8" s="2" t="str">
        <f>A8&amp;COUNTIF($A$2:$A8,A8)</f>
        <v>Black Orc2</v>
      </c>
      <c r="C8" s="2" t="s">
        <v>244</v>
      </c>
      <c r="D8" s="2" t="str">
        <f t="shared" si="0"/>
        <v>Black OrcGoblin Bruiser</v>
      </c>
      <c r="E8" s="2">
        <v>6</v>
      </c>
      <c r="F8" s="2">
        <v>2</v>
      </c>
      <c r="G8" s="2">
        <v>3</v>
      </c>
      <c r="H8" s="2">
        <v>4</v>
      </c>
      <c r="I8" s="2">
        <v>8</v>
      </c>
      <c r="J8" s="2" t="str">
        <f>IF('Pack BB2020'!$J$24="Español",V8,(IF('Pack BB2020'!$J$24="Deutsch",W8,(IF('Pack BB2020'!$J$24="Français",X8,U8)))))</f>
        <v>Esquivar, Humanoide bala, Escurridizo, Cabeza dura</v>
      </c>
      <c r="K8" s="1">
        <v>45000</v>
      </c>
      <c r="L8" s="1">
        <f t="shared" si="1"/>
        <v>45</v>
      </c>
      <c r="M8" s="1">
        <v>12</v>
      </c>
      <c r="N8" s="1">
        <v>0</v>
      </c>
      <c r="O8" s="1" t="s">
        <v>169</v>
      </c>
      <c r="P8" s="1" t="s">
        <v>170</v>
      </c>
      <c r="Q8" s="1" t="s">
        <v>169</v>
      </c>
      <c r="R8" s="1" t="s">
        <v>169</v>
      </c>
      <c r="S8" s="1">
        <v>0</v>
      </c>
      <c r="T8" s="15" t="str">
        <f t="shared" si="2"/>
        <v>M</v>
      </c>
      <c r="U8" s="15" t="s">
        <v>245</v>
      </c>
      <c r="V8" s="15" t="s">
        <v>246</v>
      </c>
      <c r="W8" s="15" t="s">
        <v>247</v>
      </c>
      <c r="X8" s="15" t="s">
        <v>248</v>
      </c>
      <c r="Y8" s="15"/>
    </row>
    <row r="9" spans="1:25" ht="12.75" customHeight="1" x14ac:dyDescent="0.2">
      <c r="A9" s="23" t="s">
        <v>22</v>
      </c>
      <c r="B9" s="2" t="str">
        <f>A9&amp;COUNTIF($A$2:$A9,A9)</f>
        <v>Black Orc3</v>
      </c>
      <c r="C9" s="2" t="s">
        <v>22</v>
      </c>
      <c r="D9" s="2" t="str">
        <f t="shared" si="0"/>
        <v>Black OrcBlack Orc</v>
      </c>
      <c r="E9" s="2">
        <v>4</v>
      </c>
      <c r="F9" s="2">
        <v>4</v>
      </c>
      <c r="G9" s="2">
        <v>4</v>
      </c>
      <c r="H9" s="2">
        <v>5</v>
      </c>
      <c r="I9" s="2">
        <v>10</v>
      </c>
      <c r="J9" s="2" t="str">
        <f>IF('Pack BB2020'!$J$24="Español",V9,(IF('Pack BB2020'!$J$24="Deutsch",W9,(IF('Pack BB2020'!$J$24="Français",X9,U9)))))</f>
        <v>Luchador, Apartar</v>
      </c>
      <c r="K9" s="1">
        <v>90000</v>
      </c>
      <c r="L9" s="1">
        <f t="shared" si="1"/>
        <v>90</v>
      </c>
      <c r="M9" s="1">
        <v>6</v>
      </c>
      <c r="N9" s="1">
        <v>0</v>
      </c>
      <c r="O9" s="1" t="s">
        <v>170</v>
      </c>
      <c r="P9" s="1" t="s">
        <v>169</v>
      </c>
      <c r="Q9" s="1" t="s">
        <v>170</v>
      </c>
      <c r="R9" s="1" t="s">
        <v>169</v>
      </c>
      <c r="S9" s="1">
        <v>0</v>
      </c>
      <c r="T9" s="15" t="str">
        <f t="shared" si="2"/>
        <v>M</v>
      </c>
      <c r="U9" s="15" t="s">
        <v>249</v>
      </c>
      <c r="V9" s="15" t="s">
        <v>250</v>
      </c>
      <c r="W9" s="15" t="s">
        <v>251</v>
      </c>
      <c r="X9" s="15" t="s">
        <v>252</v>
      </c>
      <c r="Y9" s="15"/>
    </row>
    <row r="10" spans="1:25" ht="12.75" customHeight="1" x14ac:dyDescent="0.2">
      <c r="A10" s="23" t="s">
        <v>22</v>
      </c>
      <c r="B10" s="2" t="str">
        <f>A10&amp;COUNTIF($A$2:$A10,A10)</f>
        <v>Black Orc4</v>
      </c>
      <c r="C10" s="2" t="s">
        <v>253</v>
      </c>
      <c r="D10" s="2" t="str">
        <f t="shared" si="0"/>
        <v>Black OrcTrained Troll</v>
      </c>
      <c r="E10" s="2">
        <v>4</v>
      </c>
      <c r="F10" s="2">
        <v>5</v>
      </c>
      <c r="G10" s="2">
        <v>5</v>
      </c>
      <c r="H10" s="2">
        <v>5</v>
      </c>
      <c r="I10" s="2">
        <v>10</v>
      </c>
      <c r="J10" s="2" t="str">
        <f>IF('Pack BB2020'!$J$24="Español",V10,(IF('Pack BB2020'!$J$24="Deutsch",W10,(IF('Pack BB2020'!$J$24="Français",X10,U10)))))</f>
        <v>Siempre hambriento, Solitario (3+), Golpe mortífero (+1), Proyectil de vómito, Realmente estúpido, Regeneración, Lanzar compañero</v>
      </c>
      <c r="K10" s="1">
        <v>115000</v>
      </c>
      <c r="L10" s="1">
        <f t="shared" si="1"/>
        <v>115</v>
      </c>
      <c r="M10" s="1">
        <v>1</v>
      </c>
      <c r="N10" s="1">
        <v>1</v>
      </c>
      <c r="O10" s="1" t="s">
        <v>169</v>
      </c>
      <c r="P10" s="1" t="s">
        <v>169</v>
      </c>
      <c r="Q10" s="1" t="s">
        <v>170</v>
      </c>
      <c r="R10" s="1" t="s">
        <v>169</v>
      </c>
      <c r="S10" s="1">
        <v>0</v>
      </c>
      <c r="T10" s="15" t="str">
        <f t="shared" si="2"/>
        <v>M</v>
      </c>
      <c r="U10" s="15" t="s">
        <v>254</v>
      </c>
      <c r="V10" s="15" t="s">
        <v>255</v>
      </c>
      <c r="W10" s="15" t="s">
        <v>256</v>
      </c>
      <c r="X10" s="15" t="s">
        <v>257</v>
      </c>
      <c r="Y10" s="15"/>
    </row>
    <row r="11" spans="1:25" ht="12.75" customHeight="1" x14ac:dyDescent="0.2">
      <c r="A11" s="23" t="s">
        <v>1475</v>
      </c>
      <c r="B11" s="2" t="str">
        <f>A11&amp;COUNTIF($A$2:$A11,A11)</f>
        <v>Bretonnian1</v>
      </c>
      <c r="C11" s="2" t="str">
        <f>""</f>
        <v/>
      </c>
      <c r="D11" s="2" t="str">
        <f t="shared" si="0"/>
        <v>Bretonnian</v>
      </c>
      <c r="E11" s="2">
        <v>0</v>
      </c>
      <c r="F11" s="2">
        <v>0</v>
      </c>
      <c r="G11" s="2">
        <v>0</v>
      </c>
      <c r="H11" s="2">
        <v>0</v>
      </c>
      <c r="I11" s="2">
        <v>0</v>
      </c>
      <c r="J11" s="2">
        <f>IF('Pack BB2020'!$J$24="Español",V11,(IF('Pack BB2020'!$J$24="Deutsch",W11,(IF('Pack BB2020'!$J$24="Français",X11,U11)))))</f>
        <v>0</v>
      </c>
      <c r="K11" s="1">
        <v>0</v>
      </c>
      <c r="L11" s="1">
        <f t="shared" si="1"/>
        <v>0</v>
      </c>
      <c r="M11" s="1">
        <v>0</v>
      </c>
      <c r="N11" s="1">
        <v>0</v>
      </c>
      <c r="O11" s="1"/>
      <c r="P11" s="1"/>
      <c r="Q11" s="1"/>
      <c r="R11" s="1"/>
      <c r="S11" s="1"/>
      <c r="T11" s="15" t="str">
        <f t="shared" si="2"/>
        <v/>
      </c>
      <c r="U11" s="15">
        <v>0</v>
      </c>
      <c r="V11" s="15">
        <v>0</v>
      </c>
      <c r="W11" s="15">
        <v>0</v>
      </c>
      <c r="X11" s="15">
        <v>0</v>
      </c>
      <c r="Y11" s="15">
        <v>0</v>
      </c>
    </row>
    <row r="12" spans="1:25" ht="12.75" customHeight="1" x14ac:dyDescent="0.2">
      <c r="A12" s="23" t="s">
        <v>1475</v>
      </c>
      <c r="B12" s="2" t="str">
        <f>A12&amp;COUNTIF($A$2:$A12,A12)</f>
        <v>Bretonnian2</v>
      </c>
      <c r="C12" s="2" t="s">
        <v>1432</v>
      </c>
      <c r="D12" s="2" t="str">
        <f t="shared" si="0"/>
        <v>BretonnianLinemen</v>
      </c>
      <c r="E12" s="2">
        <v>6</v>
      </c>
      <c r="F12" s="2">
        <v>3</v>
      </c>
      <c r="G12" s="2">
        <v>4</v>
      </c>
      <c r="H12" s="2">
        <v>4</v>
      </c>
      <c r="I12" s="2">
        <v>8</v>
      </c>
      <c r="J12" s="2" t="str">
        <f>IF('Pack BB2020'!$J$24="Español",V12,(IF('Pack BB2020'!$J$24="Deutsch",W12,(IF('Pack BB2020'!$J$24="Français",X12,U12)))))</f>
        <v>Zafarse</v>
      </c>
      <c r="K12" s="1">
        <v>45000</v>
      </c>
      <c r="L12" s="1">
        <f t="shared" si="1"/>
        <v>45</v>
      </c>
      <c r="M12" s="1">
        <v>16</v>
      </c>
      <c r="N12" s="1">
        <v>0</v>
      </c>
      <c r="O12" s="1" t="s">
        <v>170</v>
      </c>
      <c r="P12" s="1" t="s">
        <v>169</v>
      </c>
      <c r="Q12" s="1" t="s">
        <v>169</v>
      </c>
      <c r="R12" s="1">
        <v>0</v>
      </c>
      <c r="S12" s="1">
        <v>0</v>
      </c>
      <c r="T12" s="15" t="str">
        <f t="shared" si="2"/>
        <v>PM</v>
      </c>
      <c r="U12" s="15" t="s">
        <v>434</v>
      </c>
      <c r="V12" s="15" t="s">
        <v>435</v>
      </c>
      <c r="W12" s="15" t="s">
        <v>436</v>
      </c>
      <c r="X12" s="15" t="s">
        <v>437</v>
      </c>
      <c r="Y12" s="15"/>
    </row>
    <row r="13" spans="1:25" ht="12.75" customHeight="1" x14ac:dyDescent="0.2">
      <c r="A13" s="23" t="s">
        <v>1475</v>
      </c>
      <c r="B13" s="2" t="str">
        <f>A13&amp;COUNTIF($A$2:$A13,A13)</f>
        <v>Bretonnian3</v>
      </c>
      <c r="C13" s="2" t="s">
        <v>1476</v>
      </c>
      <c r="D13" s="2" t="str">
        <f t="shared" si="0"/>
        <v>BretonnianYeomen</v>
      </c>
      <c r="E13" s="2">
        <v>6</v>
      </c>
      <c r="F13" s="2">
        <v>3</v>
      </c>
      <c r="G13" s="2">
        <v>3</v>
      </c>
      <c r="H13" s="2">
        <v>5</v>
      </c>
      <c r="I13" s="2">
        <v>9</v>
      </c>
      <c r="J13" s="2" t="str">
        <f>IF('Pack BB2020'!$J$24="Español",V13,(IF('Pack BB2020'!$J$24="Deutsch",W13,(IF('Pack BB2020'!$J$24="Français",X13,U13)))))</f>
        <v>Forcejear</v>
      </c>
      <c r="K13" s="1">
        <v>70000</v>
      </c>
      <c r="L13" s="1">
        <f t="shared" si="1"/>
        <v>70</v>
      </c>
      <c r="M13" s="1">
        <v>4</v>
      </c>
      <c r="N13" s="1">
        <v>0</v>
      </c>
      <c r="O13" s="1" t="s">
        <v>170</v>
      </c>
      <c r="P13" s="1" t="s">
        <v>169</v>
      </c>
      <c r="Q13" s="1" t="s">
        <v>170</v>
      </c>
      <c r="R13" s="1">
        <v>0</v>
      </c>
      <c r="S13" s="1">
        <v>0</v>
      </c>
      <c r="T13" s="15" t="str">
        <f t="shared" si="2"/>
        <v>PM</v>
      </c>
      <c r="U13" s="15" t="s">
        <v>1478</v>
      </c>
      <c r="V13" s="15" t="s">
        <v>1479</v>
      </c>
      <c r="W13" s="15" t="s">
        <v>1482</v>
      </c>
      <c r="X13" s="15" t="s">
        <v>1483</v>
      </c>
      <c r="Y13" s="15"/>
    </row>
    <row r="14" spans="1:25" ht="12.75" customHeight="1" x14ac:dyDescent="0.2">
      <c r="A14" s="23" t="s">
        <v>1475</v>
      </c>
      <c r="B14" s="2" t="str">
        <f>A14&amp;COUNTIF($A$2:$A14,A14)</f>
        <v>Bretonnian4</v>
      </c>
      <c r="C14" s="2" t="s">
        <v>1477</v>
      </c>
      <c r="D14" s="2" t="str">
        <f t="shared" si="0"/>
        <v>BretonnianKnights</v>
      </c>
      <c r="E14" s="2">
        <v>7</v>
      </c>
      <c r="F14" s="2">
        <v>3</v>
      </c>
      <c r="G14" s="2">
        <v>3</v>
      </c>
      <c r="H14" s="2">
        <v>3</v>
      </c>
      <c r="I14" s="2">
        <v>9</v>
      </c>
      <c r="J14" s="2" t="str">
        <f>IF('Pack BB2020'!$J$24="Español",V14,(IF('Pack BB2020'!$J$24="Deutsch",W14,(IF('Pack BB2020'!$J$24="Français",X14,U14)))))</f>
        <v>Placar, Atrapar, Agallas</v>
      </c>
      <c r="K14" s="1">
        <v>100000</v>
      </c>
      <c r="L14" s="1">
        <f t="shared" si="1"/>
        <v>100</v>
      </c>
      <c r="M14" s="1">
        <v>4</v>
      </c>
      <c r="N14" s="1">
        <v>0</v>
      </c>
      <c r="O14" s="1" t="s">
        <v>170</v>
      </c>
      <c r="P14" s="1" t="s">
        <v>170</v>
      </c>
      <c r="Q14" s="1" t="s">
        <v>169</v>
      </c>
      <c r="R14" s="1" t="s">
        <v>170</v>
      </c>
      <c r="S14" s="1">
        <v>0</v>
      </c>
      <c r="T14" s="15" t="str">
        <f t="shared" si="2"/>
        <v>M</v>
      </c>
      <c r="U14" s="15" t="s">
        <v>1480</v>
      </c>
      <c r="V14" s="15" t="s">
        <v>1481</v>
      </c>
      <c r="W14" s="15" t="s">
        <v>1484</v>
      </c>
      <c r="X14" s="15" t="s">
        <v>1485</v>
      </c>
      <c r="Y14" s="15"/>
    </row>
    <row r="15" spans="1:25" ht="12.75" customHeight="1" x14ac:dyDescent="0.2">
      <c r="A15" s="23" t="s">
        <v>29</v>
      </c>
      <c r="B15" s="2" t="str">
        <f>A15&amp;COUNTIF($A$2:$A15,A15)</f>
        <v>Chaos Chosen1</v>
      </c>
      <c r="C15" s="2" t="str">
        <f>""</f>
        <v/>
      </c>
      <c r="D15" s="2" t="str">
        <f t="shared" si="0"/>
        <v>Chaos Chosen</v>
      </c>
      <c r="E15" s="2">
        <v>0</v>
      </c>
      <c r="F15" s="2">
        <v>0</v>
      </c>
      <c r="G15" s="2">
        <v>0</v>
      </c>
      <c r="H15" s="2">
        <v>0</v>
      </c>
      <c r="I15" s="2">
        <v>0</v>
      </c>
      <c r="J15" s="2">
        <f>IF('Pack BB2020'!$J$24="Español",V15,(IF('Pack BB2020'!$J$24="Deutsch",W15,(IF('Pack BB2020'!$J$24="Français",X15,U15)))))</f>
        <v>0</v>
      </c>
      <c r="K15" s="1">
        <v>0</v>
      </c>
      <c r="L15" s="1">
        <f t="shared" si="1"/>
        <v>0</v>
      </c>
      <c r="M15" s="1">
        <v>0</v>
      </c>
      <c r="N15" s="1">
        <v>0</v>
      </c>
      <c r="O15" s="1"/>
      <c r="P15" s="1"/>
      <c r="Q15" s="1"/>
      <c r="R15" s="1"/>
      <c r="S15" s="1"/>
      <c r="T15" s="15" t="str">
        <f t="shared" si="2"/>
        <v/>
      </c>
      <c r="U15" s="15"/>
      <c r="V15" s="15"/>
      <c r="W15" s="15"/>
      <c r="X15" s="15"/>
      <c r="Y15" s="15"/>
    </row>
    <row r="16" spans="1:25" ht="12.75" customHeight="1" x14ac:dyDescent="0.2">
      <c r="A16" s="23" t="s">
        <v>29</v>
      </c>
      <c r="B16" s="2" t="str">
        <f>A16&amp;COUNTIF($A$2:$A16,A16)</f>
        <v>Chaos Chosen2</v>
      </c>
      <c r="C16" s="2" t="s">
        <v>258</v>
      </c>
      <c r="D16" s="2" t="str">
        <f t="shared" si="0"/>
        <v>Chaos ChosenBeastman</v>
      </c>
      <c r="E16" s="2">
        <v>6</v>
      </c>
      <c r="F16" s="2">
        <v>3</v>
      </c>
      <c r="G16" s="2">
        <v>3</v>
      </c>
      <c r="H16" s="2">
        <v>4</v>
      </c>
      <c r="I16" s="2">
        <v>9</v>
      </c>
      <c r="J16" s="2" t="str">
        <f>IF('Pack BB2020'!$J$24="Español",V16,(IF('Pack BB2020'!$J$24="Deutsch",W16,(IF('Pack BB2020'!$J$24="Français",X16,U16)))))</f>
        <v>Cuernos</v>
      </c>
      <c r="K16" s="1">
        <v>60000</v>
      </c>
      <c r="L16" s="1">
        <f t="shared" si="1"/>
        <v>60</v>
      </c>
      <c r="M16" s="2">
        <v>16</v>
      </c>
      <c r="N16" s="2">
        <v>0</v>
      </c>
      <c r="O16" s="1" t="s">
        <v>170</v>
      </c>
      <c r="P16" s="1" t="s">
        <v>169</v>
      </c>
      <c r="Q16" s="1" t="s">
        <v>170</v>
      </c>
      <c r="R16" s="1" t="s">
        <v>169</v>
      </c>
      <c r="S16" s="1" t="s">
        <v>170</v>
      </c>
      <c r="T16" s="15" t="str">
        <f t="shared" si="2"/>
        <v>FULL</v>
      </c>
      <c r="U16" s="15" t="s">
        <v>259</v>
      </c>
      <c r="V16" s="15" t="s">
        <v>260</v>
      </c>
      <c r="W16" s="15" t="s">
        <v>261</v>
      </c>
      <c r="X16" s="15" t="s">
        <v>262</v>
      </c>
      <c r="Y16" s="15"/>
    </row>
    <row r="17" spans="1:25" ht="12.75" customHeight="1" x14ac:dyDescent="0.2">
      <c r="A17" s="23" t="s">
        <v>29</v>
      </c>
      <c r="B17" s="2" t="str">
        <f>A17&amp;COUNTIF($A$2:$A17,A17)</f>
        <v>Chaos Chosen3</v>
      </c>
      <c r="C17" s="2" t="s">
        <v>263</v>
      </c>
      <c r="D17" s="2" t="str">
        <f t="shared" si="0"/>
        <v>Chaos ChosenChaos Warrior</v>
      </c>
      <c r="E17" s="2">
        <v>5</v>
      </c>
      <c r="F17" s="2">
        <v>4</v>
      </c>
      <c r="G17" s="2">
        <v>3</v>
      </c>
      <c r="H17" s="2">
        <v>5</v>
      </c>
      <c r="I17" s="2">
        <v>10</v>
      </c>
      <c r="J17" s="2" t="str">
        <f>IF('Pack BB2020'!$J$24="Español",V17,(IF('Pack BB2020'!$J$24="Deutsch",W17,(IF('Pack BB2020'!$J$24="Français",X17,U17)))))</f>
        <v/>
      </c>
      <c r="K17" s="1">
        <v>100000</v>
      </c>
      <c r="L17" s="1">
        <f t="shared" si="1"/>
        <v>100</v>
      </c>
      <c r="M17" s="2">
        <v>4</v>
      </c>
      <c r="N17" s="2">
        <v>0</v>
      </c>
      <c r="O17" s="1" t="s">
        <v>170</v>
      </c>
      <c r="P17" s="1" t="s">
        <v>169</v>
      </c>
      <c r="Q17" s="1" t="s">
        <v>170</v>
      </c>
      <c r="R17" s="1">
        <v>0</v>
      </c>
      <c r="S17" s="1" t="s">
        <v>170</v>
      </c>
      <c r="T17" s="15" t="str">
        <f t="shared" si="2"/>
        <v>P</v>
      </c>
      <c r="U17" s="15" t="str">
        <f t="shared" ref="U17:Y17" si="3">""</f>
        <v/>
      </c>
      <c r="V17" s="15" t="str">
        <f t="shared" si="3"/>
        <v/>
      </c>
      <c r="W17" s="15" t="str">
        <f t="shared" si="3"/>
        <v/>
      </c>
      <c r="X17" s="15" t="str">
        <f t="shared" si="3"/>
        <v/>
      </c>
      <c r="Y17" s="15" t="str">
        <f t="shared" si="3"/>
        <v/>
      </c>
    </row>
    <row r="18" spans="1:25" ht="12.75" customHeight="1" x14ac:dyDescent="0.2">
      <c r="A18" s="23" t="s">
        <v>29</v>
      </c>
      <c r="B18" s="2" t="str">
        <f>A18&amp;COUNTIF($A$2:$A18,A18)</f>
        <v>Chaos Chosen4</v>
      </c>
      <c r="C18" s="2" t="s">
        <v>264</v>
      </c>
      <c r="D18" s="2" t="str">
        <f t="shared" si="0"/>
        <v>Chaos ChosenChaos Troll</v>
      </c>
      <c r="E18" s="2">
        <v>4</v>
      </c>
      <c r="F18" s="2">
        <v>5</v>
      </c>
      <c r="G18" s="2">
        <v>5</v>
      </c>
      <c r="H18" s="2">
        <v>5</v>
      </c>
      <c r="I18" s="2">
        <v>10</v>
      </c>
      <c r="J18" s="2" t="str">
        <f>IF('Pack BB2020'!$J$24="Español",V18,(IF('Pack BB2020'!$J$24="Deutsch",W18,(IF('Pack BB2020'!$J$24="Français",X18,U18)))))</f>
        <v>Siempre hambriento, Solitario (4+), Golpe mortífero (+1), Proyectil de vómito, Realmente estúpido, Regeneración, Lanzar compañero</v>
      </c>
      <c r="K18" s="1">
        <v>115000</v>
      </c>
      <c r="L18" s="1">
        <f t="shared" si="1"/>
        <v>115</v>
      </c>
      <c r="M18" s="2">
        <v>1</v>
      </c>
      <c r="N18" s="2">
        <v>1</v>
      </c>
      <c r="O18" s="1" t="s">
        <v>169</v>
      </c>
      <c r="P18" s="1" t="s">
        <v>169</v>
      </c>
      <c r="Q18" s="1" t="s">
        <v>170</v>
      </c>
      <c r="R18" s="1">
        <v>0</v>
      </c>
      <c r="S18" s="1" t="s">
        <v>170</v>
      </c>
      <c r="T18" s="15" t="str">
        <f t="shared" si="2"/>
        <v>P</v>
      </c>
      <c r="U18" s="15" t="s">
        <v>265</v>
      </c>
      <c r="V18" s="15" t="s">
        <v>266</v>
      </c>
      <c r="W18" s="15" t="s">
        <v>267</v>
      </c>
      <c r="X18" s="15" t="s">
        <v>268</v>
      </c>
      <c r="Y18" s="15"/>
    </row>
    <row r="19" spans="1:25" ht="12.75" customHeight="1" x14ac:dyDescent="0.2">
      <c r="A19" s="23" t="s">
        <v>29</v>
      </c>
      <c r="B19" s="2" t="str">
        <f>A19&amp;COUNTIF($A$2:$A19,A19)</f>
        <v>Chaos Chosen5</v>
      </c>
      <c r="C19" s="2" t="s">
        <v>269</v>
      </c>
      <c r="D19" s="2" t="str">
        <f t="shared" si="0"/>
        <v>Chaos ChosenChaos Ogre</v>
      </c>
      <c r="E19" s="2">
        <v>5</v>
      </c>
      <c r="F19" s="2">
        <v>5</v>
      </c>
      <c r="G19" s="2">
        <v>4</v>
      </c>
      <c r="H19" s="2">
        <v>5</v>
      </c>
      <c r="I19" s="2">
        <v>10</v>
      </c>
      <c r="J19" s="2" t="str">
        <f>IF('Pack BB2020'!$J$24="Español",V19,(IF('Pack BB2020'!$J$24="Deutsch",W19,(IF('Pack BB2020'!$J$24="Français",X19,U19)))))</f>
        <v>Estúpido, Solitario (4+), Golpe mortífero (+1), Cabeza dura, Lanzar Compañero</v>
      </c>
      <c r="K19" s="1">
        <v>140000</v>
      </c>
      <c r="L19" s="1">
        <f t="shared" si="1"/>
        <v>140</v>
      </c>
      <c r="M19" s="2">
        <v>1</v>
      </c>
      <c r="N19" s="2">
        <v>1</v>
      </c>
      <c r="O19" s="1" t="s">
        <v>169</v>
      </c>
      <c r="P19" s="1" t="s">
        <v>169</v>
      </c>
      <c r="Q19" s="1" t="s">
        <v>170</v>
      </c>
      <c r="R19" s="1">
        <v>0</v>
      </c>
      <c r="S19" s="1" t="s">
        <v>170</v>
      </c>
      <c r="T19" s="15" t="str">
        <f t="shared" si="2"/>
        <v>P</v>
      </c>
      <c r="U19" s="15" t="s">
        <v>270</v>
      </c>
      <c r="V19" s="15" t="s">
        <v>271</v>
      </c>
      <c r="W19" s="15" t="s">
        <v>272</v>
      </c>
      <c r="X19" s="15" t="s">
        <v>273</v>
      </c>
      <c r="Y19" s="15"/>
    </row>
    <row r="20" spans="1:25" ht="12.75" customHeight="1" x14ac:dyDescent="0.2">
      <c r="A20" s="23" t="s">
        <v>29</v>
      </c>
      <c r="B20" s="2" t="str">
        <f>A20&amp;COUNTIF($A$2:$A20,A20)</f>
        <v>Chaos Chosen6</v>
      </c>
      <c r="C20" s="2" t="s">
        <v>274</v>
      </c>
      <c r="D20" s="2" t="str">
        <f t="shared" si="0"/>
        <v>Chaos ChosenMinotaur</v>
      </c>
      <c r="E20" s="2">
        <v>5</v>
      </c>
      <c r="F20" s="2">
        <v>5</v>
      </c>
      <c r="G20" s="2">
        <v>4</v>
      </c>
      <c r="H20" s="2">
        <v>0</v>
      </c>
      <c r="I20" s="2">
        <v>9</v>
      </c>
      <c r="J20" s="2" t="str">
        <f>IF('Pack BB2020'!$J$24="Español",V20,(IF('Pack BB2020'!$J$24="Deutsch",W20,(IF('Pack BB2020'!$J$24="Français",X20,U20)))))</f>
        <v>Solitario (4+), Furia, Cuernos, Golpe mortífero (+1), Cabeza dura, Ira descontrolada</v>
      </c>
      <c r="K20" s="1">
        <v>150000</v>
      </c>
      <c r="L20" s="1">
        <f t="shared" si="1"/>
        <v>150</v>
      </c>
      <c r="M20" s="1">
        <v>1</v>
      </c>
      <c r="N20" s="1">
        <v>1</v>
      </c>
      <c r="O20" s="1" t="s">
        <v>169</v>
      </c>
      <c r="P20" s="1" t="s">
        <v>169</v>
      </c>
      <c r="Q20" s="1" t="s">
        <v>170</v>
      </c>
      <c r="R20" s="12">
        <v>0</v>
      </c>
      <c r="S20" s="1" t="s">
        <v>170</v>
      </c>
      <c r="T20" s="15" t="str">
        <f t="shared" si="2"/>
        <v>P</v>
      </c>
      <c r="U20" s="15" t="s">
        <v>275</v>
      </c>
      <c r="V20" s="15" t="s">
        <v>276</v>
      </c>
      <c r="W20" s="15" t="s">
        <v>277</v>
      </c>
      <c r="X20" s="15" t="s">
        <v>278</v>
      </c>
      <c r="Y20" s="15"/>
    </row>
    <row r="21" spans="1:25" s="23" customFormat="1" ht="12.75" customHeight="1" x14ac:dyDescent="0.2">
      <c r="A21" s="23" t="s">
        <v>35</v>
      </c>
      <c r="B21" s="2" t="str">
        <f>A21&amp;COUNTIF($A$2:$A21,A21)</f>
        <v>Chaos Dwarf1</v>
      </c>
      <c r="D21" s="2" t="str">
        <f t="shared" si="0"/>
        <v>Chaos Dwarf</v>
      </c>
      <c r="E21" s="23">
        <v>0</v>
      </c>
      <c r="F21" s="23">
        <v>0</v>
      </c>
      <c r="G21" s="23">
        <v>0</v>
      </c>
      <c r="H21" s="23">
        <v>0</v>
      </c>
      <c r="I21" s="23">
        <v>0</v>
      </c>
      <c r="J21" s="2">
        <f>IF('Pack BB2020'!$J$24="Español",V21,(IF('Pack BB2020'!$J$24="Deutsch",W21,(IF('Pack BB2020'!$J$24="Français",X21,U21)))))</f>
        <v>0</v>
      </c>
      <c r="K21" s="23">
        <v>0</v>
      </c>
      <c r="L21" s="23">
        <f t="shared" si="1"/>
        <v>0</v>
      </c>
      <c r="M21" s="23">
        <v>0</v>
      </c>
      <c r="N21" s="23">
        <v>0</v>
      </c>
      <c r="T21" s="15" t="str">
        <f t="shared" si="2"/>
        <v/>
      </c>
      <c r="U21" s="23">
        <v>0</v>
      </c>
      <c r="V21" s="23">
        <v>0</v>
      </c>
      <c r="W21" s="23">
        <v>0</v>
      </c>
      <c r="X21" s="23">
        <v>0</v>
      </c>
      <c r="Y21" s="23">
        <v>0</v>
      </c>
    </row>
    <row r="22" spans="1:25" s="23" customFormat="1" ht="12.75" customHeight="1" x14ac:dyDescent="0.2">
      <c r="A22" s="23" t="s">
        <v>35</v>
      </c>
      <c r="B22" s="2" t="str">
        <f>A22&amp;COUNTIF($A$2:$A22,A22)</f>
        <v>Chaos Dwarf2</v>
      </c>
      <c r="C22" s="2" t="s">
        <v>1494</v>
      </c>
      <c r="D22" s="2" t="str">
        <f t="shared" si="0"/>
        <v>Chaos DwarfHobgoblin Lineman</v>
      </c>
      <c r="E22" s="23">
        <v>6</v>
      </c>
      <c r="F22" s="23">
        <v>3</v>
      </c>
      <c r="G22" s="23">
        <v>3</v>
      </c>
      <c r="H22" s="23">
        <v>4</v>
      </c>
      <c r="I22" s="23">
        <v>8</v>
      </c>
      <c r="J22" s="2">
        <f>IF('Pack BB2020'!$J$24="Español",V22,(IF('Pack BB2020'!$J$24="Deutsch",W22,(IF('Pack BB2020'!$J$24="Français",X22,U22)))))</f>
        <v>0</v>
      </c>
      <c r="K22" s="23">
        <v>40000</v>
      </c>
      <c r="L22" s="23">
        <f t="shared" si="1"/>
        <v>40</v>
      </c>
      <c r="M22" s="23">
        <v>16</v>
      </c>
      <c r="N22" s="23">
        <v>0</v>
      </c>
      <c r="O22" s="2" t="s">
        <v>170</v>
      </c>
      <c r="P22" s="2" t="s">
        <v>169</v>
      </c>
      <c r="Q22" s="2" t="s">
        <v>169</v>
      </c>
      <c r="R22" s="23">
        <v>0</v>
      </c>
      <c r="S22" s="23">
        <v>0</v>
      </c>
      <c r="T22" s="15" t="str">
        <f t="shared" si="2"/>
        <v>PM</v>
      </c>
      <c r="U22" s="2" t="s">
        <v>216</v>
      </c>
      <c r="V22" s="15"/>
      <c r="W22" s="15"/>
      <c r="X22" s="15"/>
    </row>
    <row r="23" spans="1:25" s="23" customFormat="1" ht="12.75" customHeight="1" x14ac:dyDescent="0.2">
      <c r="A23" s="23" t="s">
        <v>35</v>
      </c>
      <c r="B23" s="2" t="str">
        <f>A23&amp;COUNTIF($A$2:$A23,A23)</f>
        <v>Chaos Dwarf3</v>
      </c>
      <c r="C23" s="2" t="s">
        <v>1495</v>
      </c>
      <c r="D23" s="2" t="str">
        <f t="shared" si="0"/>
        <v>Chaos DwarfHobgoblin Sneaky Stabba</v>
      </c>
      <c r="E23" s="23">
        <v>6</v>
      </c>
      <c r="F23" s="23">
        <v>3</v>
      </c>
      <c r="G23" s="23">
        <v>3</v>
      </c>
      <c r="H23" s="23">
        <v>5</v>
      </c>
      <c r="I23" s="23">
        <v>8</v>
      </c>
      <c r="J23" s="2" t="str">
        <f>IF('Pack BB2020'!$J$24="Español",V23,(IF('Pack BB2020'!$J$24="Deutsch",W23,(IF('Pack BB2020'!$J$24="Français",X23,U23)))))</f>
        <v>Perseguir, Puñal</v>
      </c>
      <c r="K23" s="23">
        <v>70000</v>
      </c>
      <c r="L23" s="23">
        <f t="shared" si="1"/>
        <v>70</v>
      </c>
      <c r="M23" s="23">
        <v>2</v>
      </c>
      <c r="N23" s="23">
        <v>0</v>
      </c>
      <c r="O23" s="2" t="s">
        <v>170</v>
      </c>
      <c r="P23" s="2" t="s">
        <v>169</v>
      </c>
      <c r="Q23" s="2" t="s">
        <v>169</v>
      </c>
      <c r="R23" s="23">
        <v>0</v>
      </c>
      <c r="S23" s="23">
        <v>0</v>
      </c>
      <c r="T23" s="15" t="str">
        <f t="shared" si="2"/>
        <v>PM</v>
      </c>
      <c r="U23" s="2" t="s">
        <v>326</v>
      </c>
      <c r="V23" s="15" t="s">
        <v>327</v>
      </c>
      <c r="W23" s="15" t="s">
        <v>328</v>
      </c>
      <c r="X23" s="15" t="s">
        <v>329</v>
      </c>
    </row>
    <row r="24" spans="1:25" s="23" customFormat="1" ht="12.75" customHeight="1" x14ac:dyDescent="0.2">
      <c r="A24" s="23" t="s">
        <v>35</v>
      </c>
      <c r="B24" s="2" t="str">
        <f>A24&amp;COUNTIF($A$2:$A24,A24)</f>
        <v>Chaos Dwarf4</v>
      </c>
      <c r="C24" s="2" t="s">
        <v>1496</v>
      </c>
      <c r="D24" s="2" t="str">
        <f t="shared" si="0"/>
        <v>Chaos DwarfChaos Dwarf Blocker</v>
      </c>
      <c r="E24" s="23">
        <v>4</v>
      </c>
      <c r="F24" s="23">
        <v>3</v>
      </c>
      <c r="G24" s="23">
        <v>4</v>
      </c>
      <c r="H24" s="23">
        <v>6</v>
      </c>
      <c r="I24" s="23">
        <v>10</v>
      </c>
      <c r="J24" s="2" t="str">
        <f>IF('Pack BB2020'!$J$24="Español",V24,(IF('Pack BB2020'!$J$24="Deutsch",W24,(IF('Pack BB2020'!$J$24="Français",X24,U24)))))</f>
        <v>Placar, Piel ferrea, Cabeza dura</v>
      </c>
      <c r="K24" s="23">
        <v>70000</v>
      </c>
      <c r="L24" s="23">
        <f t="shared" si="1"/>
        <v>70</v>
      </c>
      <c r="M24" s="23">
        <v>4</v>
      </c>
      <c r="N24" s="23">
        <v>0</v>
      </c>
      <c r="O24" s="2" t="s">
        <v>170</v>
      </c>
      <c r="P24" s="2" t="s">
        <v>169</v>
      </c>
      <c r="Q24" s="2" t="s">
        <v>170</v>
      </c>
      <c r="R24" s="23">
        <v>0</v>
      </c>
      <c r="S24" s="2" t="s">
        <v>169</v>
      </c>
      <c r="T24" s="15" t="str">
        <f t="shared" si="2"/>
        <v>P</v>
      </c>
      <c r="U24" s="2" t="s">
        <v>1499</v>
      </c>
      <c r="V24" s="2" t="s">
        <v>1502</v>
      </c>
      <c r="W24" s="15" t="s">
        <v>1503</v>
      </c>
      <c r="X24" s="15" t="s">
        <v>1504</v>
      </c>
    </row>
    <row r="25" spans="1:25" s="23" customFormat="1" ht="12.75" customHeight="1" x14ac:dyDescent="0.2">
      <c r="A25" s="23" t="s">
        <v>35</v>
      </c>
      <c r="B25" s="2" t="str">
        <f>A25&amp;COUNTIF($A$2:$A25,A25)</f>
        <v>Chaos Dwarf5</v>
      </c>
      <c r="C25" s="2" t="s">
        <v>1497</v>
      </c>
      <c r="D25" s="2" t="str">
        <f t="shared" si="0"/>
        <v>Chaos DwarfChaos Dwarf Flamesmith</v>
      </c>
      <c r="E25" s="23">
        <v>5</v>
      </c>
      <c r="F25" s="23">
        <v>3</v>
      </c>
      <c r="G25" s="23">
        <v>4</v>
      </c>
      <c r="H25" s="23">
        <v>6</v>
      </c>
      <c r="I25" s="23">
        <v>10</v>
      </c>
      <c r="J25" s="2" t="str">
        <f>IF('Pack BB2020'!$J$24="Español",V25,(IF('Pack BB2020'!$J$24="Deutsch",W25,(IF('Pack BB2020'!$J$24="Français",X25,U25)))))</f>
        <v>Luchador, Aliento de fuego, Presencia perturbadora Cabeza dura</v>
      </c>
      <c r="K25" s="23">
        <v>80000</v>
      </c>
      <c r="L25" s="23">
        <f t="shared" si="1"/>
        <v>80</v>
      </c>
      <c r="M25" s="23">
        <v>2</v>
      </c>
      <c r="N25" s="23">
        <v>0</v>
      </c>
      <c r="O25" s="2" t="s">
        <v>170</v>
      </c>
      <c r="P25" s="2" t="s">
        <v>169</v>
      </c>
      <c r="Q25" s="2" t="s">
        <v>170</v>
      </c>
      <c r="R25" s="23">
        <v>0</v>
      </c>
      <c r="S25" s="2" t="s">
        <v>169</v>
      </c>
      <c r="T25" s="15" t="str">
        <f t="shared" si="2"/>
        <v>P</v>
      </c>
      <c r="U25" s="2" t="s">
        <v>1500</v>
      </c>
      <c r="V25" s="15" t="s">
        <v>1505</v>
      </c>
      <c r="W25" s="15" t="s">
        <v>1506</v>
      </c>
      <c r="X25" s="15" t="s">
        <v>1507</v>
      </c>
    </row>
    <row r="26" spans="1:25" s="23" customFormat="1" ht="12.75" customHeight="1" x14ac:dyDescent="0.2">
      <c r="A26" s="23" t="s">
        <v>35</v>
      </c>
      <c r="B26" s="2" t="str">
        <f>A26&amp;COUNTIF($A$2:$A26,A26)</f>
        <v>Chaos Dwarf6</v>
      </c>
      <c r="C26" s="2" t="s">
        <v>1498</v>
      </c>
      <c r="D26" s="2" t="str">
        <f t="shared" si="0"/>
        <v>Chaos DwarfBull Centaur Blitzer</v>
      </c>
      <c r="E26" s="23">
        <v>6</v>
      </c>
      <c r="F26" s="23">
        <v>4</v>
      </c>
      <c r="G26" s="23">
        <v>4</v>
      </c>
      <c r="H26" s="23">
        <v>6</v>
      </c>
      <c r="I26" s="23">
        <v>10</v>
      </c>
      <c r="J26" s="2" t="str">
        <f>IF('Pack BB2020'!$J$24="Español",V26,(IF('Pack BB2020'!$J$24="Deutsch",W26,(IF('Pack BB2020'!$J$24="Français",X26,U26)))))</f>
        <v>Esprintar, Pies firmes, Cabeza dura</v>
      </c>
      <c r="K26" s="23">
        <v>130000</v>
      </c>
      <c r="L26" s="23">
        <f t="shared" si="1"/>
        <v>130</v>
      </c>
      <c r="M26" s="23">
        <v>2</v>
      </c>
      <c r="N26" s="23">
        <v>0</v>
      </c>
      <c r="O26" s="2" t="s">
        <v>170</v>
      </c>
      <c r="P26" s="2" t="s">
        <v>169</v>
      </c>
      <c r="Q26" s="2" t="s">
        <v>170</v>
      </c>
      <c r="R26" s="23">
        <v>0</v>
      </c>
      <c r="S26" s="2" t="s">
        <v>169</v>
      </c>
      <c r="T26" s="15" t="str">
        <f t="shared" si="2"/>
        <v>P</v>
      </c>
      <c r="U26" s="2" t="s">
        <v>284</v>
      </c>
      <c r="V26" s="15" t="s">
        <v>285</v>
      </c>
      <c r="W26" s="15" t="s">
        <v>286</v>
      </c>
      <c r="X26" s="15" t="s">
        <v>287</v>
      </c>
    </row>
    <row r="27" spans="1:25" s="23" customFormat="1" ht="12.75" customHeight="1" x14ac:dyDescent="0.2">
      <c r="A27" s="23" t="s">
        <v>35</v>
      </c>
      <c r="B27" s="2" t="str">
        <f>A27&amp;COUNTIF($A$2:$A27,A27)</f>
        <v>Chaos Dwarf7</v>
      </c>
      <c r="C27" s="2" t="s">
        <v>274</v>
      </c>
      <c r="D27" s="2" t="str">
        <f t="shared" si="0"/>
        <v>Chaos DwarfMinotaur</v>
      </c>
      <c r="E27" s="23">
        <v>5</v>
      </c>
      <c r="F27" s="23">
        <v>5</v>
      </c>
      <c r="G27" s="23">
        <v>4</v>
      </c>
      <c r="H27" s="23">
        <v>0</v>
      </c>
      <c r="I27" s="23">
        <v>9</v>
      </c>
      <c r="J27" s="2" t="str">
        <f>IF('Pack BB2020'!$J$24="Español",V27,(IF('Pack BB2020'!$J$24="Deutsch",W27,(IF('Pack BB2020'!$J$24="Français",X27,U27)))))</f>
        <v>Solitario (4+), Furia, Cuernos, Golpe mortífero (+1), Cabeza dura, Ira descontrolada</v>
      </c>
      <c r="K27" s="23">
        <v>150000</v>
      </c>
      <c r="L27" s="23">
        <f t="shared" si="1"/>
        <v>150</v>
      </c>
      <c r="M27" s="23">
        <v>1</v>
      </c>
      <c r="N27" s="23">
        <v>1</v>
      </c>
      <c r="O27" s="2" t="s">
        <v>169</v>
      </c>
      <c r="P27" s="2" t="s">
        <v>169</v>
      </c>
      <c r="Q27" s="2" t="s">
        <v>170</v>
      </c>
      <c r="R27" s="23">
        <v>0</v>
      </c>
      <c r="S27" s="2" t="s">
        <v>169</v>
      </c>
      <c r="T27" s="15" t="str">
        <f t="shared" si="2"/>
        <v>P</v>
      </c>
      <c r="U27" s="2" t="s">
        <v>1501</v>
      </c>
      <c r="V27" s="15" t="s">
        <v>276</v>
      </c>
      <c r="W27" s="15" t="s">
        <v>288</v>
      </c>
      <c r="X27" s="15" t="s">
        <v>278</v>
      </c>
    </row>
    <row r="28" spans="1:25" ht="12.75" customHeight="1" x14ac:dyDescent="0.2">
      <c r="A28" s="23" t="s">
        <v>41</v>
      </c>
      <c r="B28" s="2" t="str">
        <f>A28&amp;COUNTIF($A$2:$A28,A28)</f>
        <v>Chaos Renegades1</v>
      </c>
      <c r="C28" s="2" t="str">
        <f>""</f>
        <v/>
      </c>
      <c r="D28" s="2" t="str">
        <f t="shared" si="0"/>
        <v>Chaos Renegades</v>
      </c>
      <c r="E28" s="2">
        <v>0</v>
      </c>
      <c r="F28" s="2">
        <v>0</v>
      </c>
      <c r="G28" s="2">
        <v>0</v>
      </c>
      <c r="H28" s="2">
        <v>0</v>
      </c>
      <c r="I28" s="2">
        <v>0</v>
      </c>
      <c r="J28" s="2">
        <f>IF('Pack BB2020'!$J$24="Español",V28,(IF('Pack BB2020'!$J$24="Deutsch",W28,(IF('Pack BB2020'!$J$24="Français",X28,U28)))))</f>
        <v>0</v>
      </c>
      <c r="K28" s="1">
        <v>0</v>
      </c>
      <c r="L28" s="1">
        <f t="shared" si="1"/>
        <v>0</v>
      </c>
      <c r="M28" s="1">
        <v>0</v>
      </c>
      <c r="N28" s="1">
        <v>0</v>
      </c>
      <c r="O28" s="1"/>
      <c r="P28" s="1"/>
      <c r="Q28" s="1"/>
      <c r="R28" s="1"/>
      <c r="S28" s="1"/>
      <c r="T28" s="15" t="str">
        <f t="shared" si="2"/>
        <v/>
      </c>
      <c r="U28" s="15">
        <v>0</v>
      </c>
      <c r="V28" s="15">
        <v>0</v>
      </c>
      <c r="W28" s="15">
        <v>0</v>
      </c>
      <c r="X28" s="15">
        <v>0</v>
      </c>
      <c r="Y28" s="15">
        <v>0</v>
      </c>
    </row>
    <row r="29" spans="1:25" ht="12.75" customHeight="1" x14ac:dyDescent="0.2">
      <c r="A29" s="23" t="s">
        <v>41</v>
      </c>
      <c r="B29" s="2" t="str">
        <f>A29&amp;COUNTIF($A$2:$A29,A29)</f>
        <v>Chaos Renegades2</v>
      </c>
      <c r="C29" s="2" t="s">
        <v>289</v>
      </c>
      <c r="D29" s="2" t="str">
        <f t="shared" si="0"/>
        <v>Chaos RenegadesLinemen Renegade</v>
      </c>
      <c r="E29" s="2">
        <v>6</v>
      </c>
      <c r="F29" s="2">
        <v>3</v>
      </c>
      <c r="G29" s="2">
        <v>3</v>
      </c>
      <c r="H29" s="2">
        <v>4</v>
      </c>
      <c r="I29" s="2">
        <v>9</v>
      </c>
      <c r="J29" s="2" t="str">
        <f>IF('Pack BB2020'!$J$24="Español",V29,(IF('Pack BB2020'!$J$24="Deutsch",W29,(IF('Pack BB2020'!$J$24="Français",X29,U29)))))</f>
        <v/>
      </c>
      <c r="K29" s="1">
        <v>50000</v>
      </c>
      <c r="L29" s="1">
        <f t="shared" si="1"/>
        <v>50</v>
      </c>
      <c r="M29" s="2">
        <v>12</v>
      </c>
      <c r="N29" s="2">
        <v>0</v>
      </c>
      <c r="O29" s="1" t="s">
        <v>170</v>
      </c>
      <c r="P29" s="1" t="s">
        <v>169</v>
      </c>
      <c r="Q29" s="1" t="s">
        <v>169</v>
      </c>
      <c r="R29" s="1">
        <v>0</v>
      </c>
      <c r="S29" s="1" t="s">
        <v>170</v>
      </c>
      <c r="T29" s="15" t="str">
        <f t="shared" si="2"/>
        <v>P</v>
      </c>
      <c r="U29" s="15" t="str">
        <f t="shared" ref="U29:Y29" si="4">""</f>
        <v/>
      </c>
      <c r="V29" s="15" t="str">
        <f t="shared" si="4"/>
        <v/>
      </c>
      <c r="W29" s="15" t="str">
        <f t="shared" si="4"/>
        <v/>
      </c>
      <c r="X29" s="15" t="str">
        <f t="shared" si="4"/>
        <v/>
      </c>
      <c r="Y29" s="15" t="str">
        <f t="shared" si="4"/>
        <v/>
      </c>
    </row>
    <row r="30" spans="1:25" ht="12.75" customHeight="1" x14ac:dyDescent="0.2">
      <c r="A30" s="23" t="s">
        <v>41</v>
      </c>
      <c r="B30" s="2" t="str">
        <f>A30&amp;COUNTIF($A$2:$A30,A30)</f>
        <v>Chaos Renegades3</v>
      </c>
      <c r="C30" s="2" t="s">
        <v>290</v>
      </c>
      <c r="D30" s="2" t="str">
        <f t="shared" si="0"/>
        <v>Chaos RenegadesThrower Renegade</v>
      </c>
      <c r="E30" s="2">
        <v>6</v>
      </c>
      <c r="F30" s="2">
        <v>3</v>
      </c>
      <c r="G30" s="2">
        <v>3</v>
      </c>
      <c r="H30" s="2">
        <v>3</v>
      </c>
      <c r="I30" s="2">
        <v>9</v>
      </c>
      <c r="J30" s="2" t="str">
        <f>IF('Pack BB2020'!$J$24="Español",V30,(IF('Pack BB2020'!$J$24="Deutsch",W30,(IF('Pack BB2020'!$J$24="Français",X30,U30)))))</f>
        <v>Animosidad (todo el equipo), Pasar, Proteger el cuero</v>
      </c>
      <c r="K30" s="1">
        <v>75000</v>
      </c>
      <c r="L30" s="1">
        <f t="shared" si="1"/>
        <v>75</v>
      </c>
      <c r="M30" s="2">
        <v>1</v>
      </c>
      <c r="N30" s="2">
        <v>0</v>
      </c>
      <c r="O30" s="1" t="s">
        <v>170</v>
      </c>
      <c r="P30" s="1" t="s">
        <v>169</v>
      </c>
      <c r="Q30" s="1" t="s">
        <v>169</v>
      </c>
      <c r="R30" s="1" t="s">
        <v>170</v>
      </c>
      <c r="S30" s="1" t="s">
        <v>170</v>
      </c>
      <c r="T30" s="15" t="str">
        <f t="shared" si="2"/>
        <v>FULL</v>
      </c>
      <c r="U30" s="15" t="s">
        <v>291</v>
      </c>
      <c r="V30" s="15" t="s">
        <v>292</v>
      </c>
      <c r="W30" s="15" t="s">
        <v>293</v>
      </c>
      <c r="X30" s="15" t="s">
        <v>294</v>
      </c>
      <c r="Y30" s="15"/>
    </row>
    <row r="31" spans="1:25" ht="12.75" customHeight="1" x14ac:dyDescent="0.2">
      <c r="A31" s="23" t="s">
        <v>41</v>
      </c>
      <c r="B31" s="2" t="str">
        <f>A31&amp;COUNTIF($A$2:$A31,A31)</f>
        <v>Chaos Renegades4</v>
      </c>
      <c r="C31" s="2" t="s">
        <v>295</v>
      </c>
      <c r="D31" s="2" t="str">
        <f t="shared" si="0"/>
        <v>Chaos RenegadesGoblin Renegade</v>
      </c>
      <c r="E31" s="2">
        <v>6</v>
      </c>
      <c r="F31" s="2">
        <v>2</v>
      </c>
      <c r="G31" s="2">
        <v>3</v>
      </c>
      <c r="H31" s="2">
        <v>4</v>
      </c>
      <c r="I31" s="2">
        <v>8</v>
      </c>
      <c r="J31" s="2" t="str">
        <f>IF('Pack BB2020'!$J$24="Español",V31,(IF('Pack BB2020'!$J$24="Deutsch",W31,(IF('Pack BB2020'!$J$24="Français",X31,U31)))))</f>
        <v>Animosidad (todo el equipo), Esquivar, Humanoide bala, Escurridizo</v>
      </c>
      <c r="K31" s="1">
        <v>40000</v>
      </c>
      <c r="L31" s="1">
        <f t="shared" si="1"/>
        <v>40</v>
      </c>
      <c r="M31" s="1">
        <v>1</v>
      </c>
      <c r="N31" s="1">
        <v>0</v>
      </c>
      <c r="O31" s="1" t="s">
        <v>169</v>
      </c>
      <c r="P31" s="1" t="s">
        <v>170</v>
      </c>
      <c r="Q31" s="1" t="s">
        <v>169</v>
      </c>
      <c r="R31" s="1" t="s">
        <v>169</v>
      </c>
      <c r="S31" s="1" t="s">
        <v>170</v>
      </c>
      <c r="T31" s="15" t="str">
        <f t="shared" si="2"/>
        <v>FULL</v>
      </c>
      <c r="U31" s="15" t="s">
        <v>296</v>
      </c>
      <c r="V31" s="15" t="s">
        <v>297</v>
      </c>
      <c r="W31" s="15" t="s">
        <v>298</v>
      </c>
      <c r="X31" s="15" t="s">
        <v>299</v>
      </c>
      <c r="Y31" s="15"/>
    </row>
    <row r="32" spans="1:25" ht="12.75" customHeight="1" x14ac:dyDescent="0.2">
      <c r="A32" s="23" t="s">
        <v>41</v>
      </c>
      <c r="B32" s="2" t="str">
        <f>A32&amp;COUNTIF($A$2:$A32,A32)</f>
        <v>Chaos Renegades5</v>
      </c>
      <c r="C32" s="2" t="s">
        <v>300</v>
      </c>
      <c r="D32" s="2" t="str">
        <f t="shared" si="0"/>
        <v>Chaos RenegadesSkaven Renegade</v>
      </c>
      <c r="E32" s="2">
        <v>7</v>
      </c>
      <c r="F32" s="2">
        <v>3</v>
      </c>
      <c r="G32" s="2">
        <v>3</v>
      </c>
      <c r="H32" s="2">
        <v>4</v>
      </c>
      <c r="I32" s="2">
        <v>8</v>
      </c>
      <c r="J32" s="2" t="str">
        <f>IF('Pack BB2020'!$J$24="Español",V32,(IF('Pack BB2020'!$J$24="Deutsch",W32,(IF('Pack BB2020'!$J$24="Français",X32,U32)))))</f>
        <v>Animosidad (todo el equipo)</v>
      </c>
      <c r="K32" s="1">
        <v>50000</v>
      </c>
      <c r="L32" s="1">
        <f t="shared" si="1"/>
        <v>50</v>
      </c>
      <c r="M32" s="1">
        <v>1</v>
      </c>
      <c r="N32" s="1">
        <v>0</v>
      </c>
      <c r="O32" s="1" t="s">
        <v>170</v>
      </c>
      <c r="P32" s="1" t="s">
        <v>169</v>
      </c>
      <c r="Q32" s="1" t="s">
        <v>169</v>
      </c>
      <c r="R32" s="1">
        <v>0</v>
      </c>
      <c r="S32" s="1" t="s">
        <v>170</v>
      </c>
      <c r="T32" s="15" t="str">
        <f t="shared" si="2"/>
        <v>P</v>
      </c>
      <c r="U32" s="15" t="s">
        <v>301</v>
      </c>
      <c r="V32" s="15" t="s">
        <v>302</v>
      </c>
      <c r="W32" s="15" t="s">
        <v>303</v>
      </c>
      <c r="X32" s="15" t="s">
        <v>304</v>
      </c>
      <c r="Y32" s="15"/>
    </row>
    <row r="33" spans="1:25" ht="12.75" customHeight="1" x14ac:dyDescent="0.2">
      <c r="A33" s="23" t="s">
        <v>41</v>
      </c>
      <c r="B33" s="2" t="str">
        <f>A33&amp;COUNTIF($A$2:$A33,A33)</f>
        <v>Chaos Renegades6</v>
      </c>
      <c r="C33" s="2" t="s">
        <v>305</v>
      </c>
      <c r="D33" s="2" t="str">
        <f t="shared" si="0"/>
        <v>Chaos RenegadesOrc Renegade</v>
      </c>
      <c r="E33" s="2">
        <v>5</v>
      </c>
      <c r="F33" s="2">
        <v>3</v>
      </c>
      <c r="G33" s="2">
        <v>3</v>
      </c>
      <c r="H33" s="2">
        <v>5</v>
      </c>
      <c r="I33" s="2">
        <v>10</v>
      </c>
      <c r="J33" s="2" t="str">
        <f>IF('Pack BB2020'!$J$24="Español",V33,(IF('Pack BB2020'!$J$24="Deutsch",W33,(IF('Pack BB2020'!$J$24="Français",X33,U33)))))</f>
        <v>Animosidad (todo el equipo)</v>
      </c>
      <c r="K33" s="1">
        <v>50000</v>
      </c>
      <c r="L33" s="1">
        <f t="shared" si="1"/>
        <v>50</v>
      </c>
      <c r="M33" s="1">
        <v>1</v>
      </c>
      <c r="N33" s="1">
        <v>0</v>
      </c>
      <c r="O33" s="1" t="s">
        <v>170</v>
      </c>
      <c r="P33" s="1" t="s">
        <v>169</v>
      </c>
      <c r="Q33" s="1" t="s">
        <v>169</v>
      </c>
      <c r="R33" s="1">
        <v>0</v>
      </c>
      <c r="S33" s="1" t="s">
        <v>170</v>
      </c>
      <c r="T33" s="15" t="str">
        <f t="shared" si="2"/>
        <v>P</v>
      </c>
      <c r="U33" s="15" t="s">
        <v>301</v>
      </c>
      <c r="V33" s="15" t="s">
        <v>302</v>
      </c>
      <c r="W33" s="15" t="s">
        <v>303</v>
      </c>
      <c r="X33" s="15" t="s">
        <v>304</v>
      </c>
      <c r="Y33" s="15"/>
    </row>
    <row r="34" spans="1:25" ht="12.75" customHeight="1" x14ac:dyDescent="0.2">
      <c r="A34" s="23" t="s">
        <v>41</v>
      </c>
      <c r="B34" s="2" t="str">
        <f>A34&amp;COUNTIF($A$2:$A34,A34)</f>
        <v>Chaos Renegades7</v>
      </c>
      <c r="C34" s="2" t="s">
        <v>306</v>
      </c>
      <c r="D34" s="2" t="str">
        <f t="shared" si="0"/>
        <v>Chaos RenegadesDark Elf Renegade</v>
      </c>
      <c r="E34" s="2">
        <v>6</v>
      </c>
      <c r="F34" s="2">
        <v>3</v>
      </c>
      <c r="G34" s="2">
        <v>2</v>
      </c>
      <c r="H34" s="2">
        <v>3</v>
      </c>
      <c r="I34" s="2">
        <v>9</v>
      </c>
      <c r="J34" s="2" t="str">
        <f>IF('Pack BB2020'!$J$24="Español",V34,(IF('Pack BB2020'!$J$24="Deutsch",W34,(IF('Pack BB2020'!$J$24="Français",X34,U34)))))</f>
        <v>Animosidad (todo el equipo)</v>
      </c>
      <c r="K34" s="1">
        <v>75000</v>
      </c>
      <c r="L34" s="1">
        <f t="shared" si="1"/>
        <v>75</v>
      </c>
      <c r="M34" s="1">
        <v>1</v>
      </c>
      <c r="N34" s="1">
        <v>0</v>
      </c>
      <c r="O34" s="1" t="s">
        <v>170</v>
      </c>
      <c r="P34" s="1" t="s">
        <v>170</v>
      </c>
      <c r="Q34" s="1" t="s">
        <v>169</v>
      </c>
      <c r="R34" s="1" t="s">
        <v>169</v>
      </c>
      <c r="S34" s="1" t="s">
        <v>170</v>
      </c>
      <c r="T34" s="15" t="str">
        <f t="shared" si="2"/>
        <v>FULL</v>
      </c>
      <c r="U34" s="15" t="s">
        <v>301</v>
      </c>
      <c r="V34" s="15" t="s">
        <v>302</v>
      </c>
      <c r="W34" s="15" t="s">
        <v>303</v>
      </c>
      <c r="X34" s="15" t="s">
        <v>304</v>
      </c>
      <c r="Y34" s="15"/>
    </row>
    <row r="35" spans="1:25" ht="12.75" customHeight="1" x14ac:dyDescent="0.2">
      <c r="A35" s="23" t="s">
        <v>41</v>
      </c>
      <c r="B35" s="2" t="str">
        <f>A35&amp;COUNTIF($A$2:$A35,A35)</f>
        <v>Chaos Renegades8</v>
      </c>
      <c r="C35" s="2" t="s">
        <v>307</v>
      </c>
      <c r="D35" s="2" t="str">
        <f t="shared" si="0"/>
        <v>Chaos RenegadesTroll Renegade</v>
      </c>
      <c r="E35" s="2">
        <v>4</v>
      </c>
      <c r="F35" s="2">
        <v>5</v>
      </c>
      <c r="G35" s="2">
        <v>5</v>
      </c>
      <c r="H35" s="2">
        <v>5</v>
      </c>
      <c r="I35" s="2">
        <v>10</v>
      </c>
      <c r="J35" s="2" t="str">
        <f>IF('Pack BB2020'!$J$24="Español",V35,(IF('Pack BB2020'!$J$24="Deutsch",W35,(IF('Pack BB2020'!$J$24="Français",X35,U35)))))</f>
        <v>Siempre hambriento, Solitario (4+), Golpe mortífero (+1), Proyectil de vómito, Realmente estúpido, Regeneración, Lanzar compañero</v>
      </c>
      <c r="K35" s="1">
        <v>115000</v>
      </c>
      <c r="L35" s="1">
        <f t="shared" si="1"/>
        <v>115</v>
      </c>
      <c r="M35" s="1">
        <v>1</v>
      </c>
      <c r="N35" s="1">
        <v>1</v>
      </c>
      <c r="O35" s="1" t="s">
        <v>169</v>
      </c>
      <c r="P35" s="1" t="s">
        <v>169</v>
      </c>
      <c r="Q35" s="1" t="s">
        <v>170</v>
      </c>
      <c r="R35" s="1">
        <v>0</v>
      </c>
      <c r="S35" s="1" t="s">
        <v>169</v>
      </c>
      <c r="T35" s="15" t="str">
        <f t="shared" si="2"/>
        <v>P</v>
      </c>
      <c r="U35" s="15" t="s">
        <v>265</v>
      </c>
      <c r="V35" s="15" t="s">
        <v>266</v>
      </c>
      <c r="W35" s="15" t="s">
        <v>267</v>
      </c>
      <c r="X35" s="15" t="s">
        <v>268</v>
      </c>
      <c r="Y35" s="15"/>
    </row>
    <row r="36" spans="1:25" ht="12.75" customHeight="1" x14ac:dyDescent="0.2">
      <c r="A36" s="23" t="s">
        <v>41</v>
      </c>
      <c r="B36" s="2" t="str">
        <f>A36&amp;COUNTIF($A$2:$A36,A36)</f>
        <v>Chaos Renegades9</v>
      </c>
      <c r="C36" s="2" t="s">
        <v>308</v>
      </c>
      <c r="D36" s="2" t="str">
        <f t="shared" si="0"/>
        <v>Chaos RenegadesOgre Renegade</v>
      </c>
      <c r="E36" s="2">
        <v>5</v>
      </c>
      <c r="F36" s="2">
        <v>5</v>
      </c>
      <c r="G36" s="2">
        <v>4</v>
      </c>
      <c r="H36" s="2">
        <v>5</v>
      </c>
      <c r="I36" s="2">
        <v>10</v>
      </c>
      <c r="J36" s="2" t="str">
        <f>IF('Pack BB2020'!$J$24="Español",V36,(IF('Pack BB2020'!$J$24="Deutsch",W36,(IF('Pack BB2020'!$J$24="Français",X36,U36)))))</f>
        <v>Estúpido, Solitario (4+), Golpe mortífero (+1), Cabeza dura, Lanzar Compañero</v>
      </c>
      <c r="K36" s="1">
        <v>140000</v>
      </c>
      <c r="L36" s="1">
        <f t="shared" si="1"/>
        <v>140</v>
      </c>
      <c r="M36" s="1">
        <v>1</v>
      </c>
      <c r="N36" s="1">
        <v>1</v>
      </c>
      <c r="O36" s="1" t="s">
        <v>169</v>
      </c>
      <c r="P36" s="1" t="s">
        <v>169</v>
      </c>
      <c r="Q36" s="1" t="s">
        <v>170</v>
      </c>
      <c r="R36" s="1">
        <v>0</v>
      </c>
      <c r="S36" s="1" t="s">
        <v>169</v>
      </c>
      <c r="T36" s="15" t="str">
        <f t="shared" si="2"/>
        <v>P</v>
      </c>
      <c r="U36" s="15" t="s">
        <v>270</v>
      </c>
      <c r="V36" s="15" t="s">
        <v>271</v>
      </c>
      <c r="W36" s="15" t="s">
        <v>272</v>
      </c>
      <c r="X36" s="15" t="s">
        <v>273</v>
      </c>
      <c r="Y36" s="15"/>
    </row>
    <row r="37" spans="1:25" ht="12.75" customHeight="1" x14ac:dyDescent="0.2">
      <c r="A37" s="23" t="s">
        <v>41</v>
      </c>
      <c r="B37" s="2" t="str">
        <f>A37&amp;COUNTIF($A$2:$A37,A37)</f>
        <v>Chaos Renegades10</v>
      </c>
      <c r="C37" s="2" t="s">
        <v>309</v>
      </c>
      <c r="D37" s="2" t="str">
        <f t="shared" si="0"/>
        <v>Chaos RenegadesMinotaur Renegade</v>
      </c>
      <c r="E37" s="2">
        <v>5</v>
      </c>
      <c r="F37" s="2">
        <v>5</v>
      </c>
      <c r="G37" s="2">
        <v>4</v>
      </c>
      <c r="H37" s="2">
        <v>0</v>
      </c>
      <c r="I37" s="2">
        <v>9</v>
      </c>
      <c r="J37" s="2" t="str">
        <f>IF('Pack BB2020'!$J$24="Español",V37,(IF('Pack BB2020'!$J$24="Deutsch",W37,(IF('Pack BB2020'!$J$24="Français",X37,U37)))))</f>
        <v>Solitario (4+), Furia, Cuernos, Golpe mortífero (+1), Cabeza dura, Ira descontrolada</v>
      </c>
      <c r="K37" s="1">
        <v>150000</v>
      </c>
      <c r="L37" s="1">
        <f t="shared" si="1"/>
        <v>150</v>
      </c>
      <c r="M37" s="1">
        <v>1</v>
      </c>
      <c r="N37" s="1">
        <v>1</v>
      </c>
      <c r="O37" s="1" t="s">
        <v>169</v>
      </c>
      <c r="P37" s="1" t="s">
        <v>169</v>
      </c>
      <c r="Q37" s="1" t="s">
        <v>170</v>
      </c>
      <c r="R37" s="12">
        <v>0</v>
      </c>
      <c r="S37" s="1" t="s">
        <v>169</v>
      </c>
      <c r="T37" s="15" t="str">
        <f t="shared" si="2"/>
        <v>P</v>
      </c>
      <c r="U37" s="15" t="s">
        <v>275</v>
      </c>
      <c r="V37" s="15" t="s">
        <v>276</v>
      </c>
      <c r="W37" s="15" t="s">
        <v>277</v>
      </c>
      <c r="X37" s="15" t="s">
        <v>278</v>
      </c>
      <c r="Y37" s="15"/>
    </row>
    <row r="38" spans="1:25" ht="12.75" customHeight="1" x14ac:dyDescent="0.2">
      <c r="A38" s="23" t="s">
        <v>41</v>
      </c>
      <c r="B38" s="2" t="str">
        <f>A38&amp;COUNTIF($A$2:$A38,A38)</f>
        <v>Chaos Renegades11</v>
      </c>
      <c r="C38" s="2" t="s">
        <v>310</v>
      </c>
      <c r="D38" s="2" t="str">
        <f t="shared" si="0"/>
        <v>Chaos RenegadesRat Ogre Renegade</v>
      </c>
      <c r="E38" s="2">
        <v>6</v>
      </c>
      <c r="F38" s="2">
        <v>5</v>
      </c>
      <c r="G38" s="2">
        <v>4</v>
      </c>
      <c r="H38" s="2">
        <v>0</v>
      </c>
      <c r="I38" s="2">
        <v>9</v>
      </c>
      <c r="J38" s="2" t="str">
        <f>IF('Pack BB2020'!$J$24="Español",V38,(IF('Pack BB2020'!$J$24="Deutsch",W38,(IF('Pack BB2020'!$J$24="Français",X38,U38)))))</f>
        <v>Ferocidad animal, Furia, Solitario (4+), Golpe mortífero (+1), Cola prensil</v>
      </c>
      <c r="K38" s="1">
        <v>150000</v>
      </c>
      <c r="L38" s="1">
        <f t="shared" si="1"/>
        <v>150</v>
      </c>
      <c r="M38" s="1">
        <v>1</v>
      </c>
      <c r="N38" s="1">
        <v>1</v>
      </c>
      <c r="O38" s="1" t="s">
        <v>169</v>
      </c>
      <c r="P38" s="1" t="s">
        <v>169</v>
      </c>
      <c r="Q38" s="1" t="s">
        <v>170</v>
      </c>
      <c r="R38" s="12">
        <v>0</v>
      </c>
      <c r="S38" s="1" t="s">
        <v>169</v>
      </c>
      <c r="T38" s="15" t="str">
        <f t="shared" si="2"/>
        <v>P</v>
      </c>
      <c r="U38" s="15" t="s">
        <v>311</v>
      </c>
      <c r="V38" s="15" t="s">
        <v>312</v>
      </c>
      <c r="W38" s="15" t="s">
        <v>313</v>
      </c>
      <c r="X38" s="15" t="s">
        <v>314</v>
      </c>
      <c r="Y38" s="15"/>
    </row>
    <row r="39" spans="1:25" ht="12.75" customHeight="1" x14ac:dyDescent="0.2">
      <c r="A39" s="23" t="s">
        <v>46</v>
      </c>
      <c r="B39" s="2" t="str">
        <f>A39&amp;COUNTIF($A$2:$A39,A39)</f>
        <v>Dark Elf1</v>
      </c>
      <c r="C39" s="2" t="str">
        <f>""</f>
        <v/>
      </c>
      <c r="D39" s="2" t="str">
        <f t="shared" si="0"/>
        <v>Dark Elf</v>
      </c>
      <c r="E39" s="2">
        <v>0</v>
      </c>
      <c r="F39" s="2">
        <v>0</v>
      </c>
      <c r="G39" s="2">
        <v>0</v>
      </c>
      <c r="H39" s="2">
        <v>0</v>
      </c>
      <c r="I39" s="2">
        <v>0</v>
      </c>
      <c r="J39" s="2">
        <f>IF('Pack BB2020'!$J$24="Español",V39,(IF('Pack BB2020'!$J$24="Deutsch",W39,(IF('Pack BB2020'!$J$24="Français",X39,U39)))))</f>
        <v>0</v>
      </c>
      <c r="K39" s="1">
        <v>0</v>
      </c>
      <c r="L39" s="1">
        <f t="shared" si="1"/>
        <v>0</v>
      </c>
      <c r="M39" s="1">
        <v>0</v>
      </c>
      <c r="N39" s="1">
        <v>0</v>
      </c>
      <c r="O39" s="1"/>
      <c r="P39" s="1"/>
      <c r="Q39" s="1"/>
      <c r="R39" s="1"/>
      <c r="S39" s="1"/>
      <c r="T39" s="15" t="str">
        <f t="shared" si="2"/>
        <v/>
      </c>
      <c r="U39" s="15">
        <v>0</v>
      </c>
      <c r="V39" s="15">
        <v>0</v>
      </c>
      <c r="W39" s="15">
        <v>0</v>
      </c>
      <c r="X39" s="15">
        <v>0</v>
      </c>
      <c r="Y39" s="15">
        <v>0</v>
      </c>
    </row>
    <row r="40" spans="1:25" ht="12.75" customHeight="1" x14ac:dyDescent="0.2">
      <c r="A40" s="23" t="s">
        <v>46</v>
      </c>
      <c r="B40" s="2" t="str">
        <f>A40&amp;COUNTIF($A$2:$A40,A40)</f>
        <v>Dark Elf2</v>
      </c>
      <c r="C40" s="2" t="s">
        <v>319</v>
      </c>
      <c r="D40" s="2" t="str">
        <f t="shared" si="0"/>
        <v>Dark ElfLineman</v>
      </c>
      <c r="E40" s="2">
        <v>6</v>
      </c>
      <c r="F40" s="2">
        <v>3</v>
      </c>
      <c r="G40" s="2">
        <v>2</v>
      </c>
      <c r="H40" s="2">
        <v>4</v>
      </c>
      <c r="I40" s="2">
        <v>9</v>
      </c>
      <c r="J40" s="2" t="str">
        <f>IF('Pack BB2020'!$J$24="Español",V40,(IF('Pack BB2020'!$J$24="Deutsch",W40,(IF('Pack BB2020'!$J$24="Français",X40,U40)))))</f>
        <v/>
      </c>
      <c r="K40" s="1">
        <v>70000</v>
      </c>
      <c r="L40" s="1">
        <f t="shared" si="1"/>
        <v>70</v>
      </c>
      <c r="M40" s="1">
        <v>16</v>
      </c>
      <c r="N40" s="1">
        <v>0</v>
      </c>
      <c r="O40" s="1" t="s">
        <v>170</v>
      </c>
      <c r="P40" s="1" t="s">
        <v>170</v>
      </c>
      <c r="Q40" s="1" t="s">
        <v>169</v>
      </c>
      <c r="R40" s="1">
        <v>0</v>
      </c>
      <c r="S40" s="1">
        <v>0</v>
      </c>
      <c r="T40" s="15" t="str">
        <f t="shared" si="2"/>
        <v>PM</v>
      </c>
      <c r="U40" s="15" t="str">
        <f t="shared" ref="U40:Y40" si="5">""</f>
        <v/>
      </c>
      <c r="V40" s="15" t="str">
        <f t="shared" si="5"/>
        <v/>
      </c>
      <c r="W40" s="15" t="str">
        <f t="shared" si="5"/>
        <v/>
      </c>
      <c r="X40" s="15" t="str">
        <f t="shared" si="5"/>
        <v/>
      </c>
      <c r="Y40" s="15" t="str">
        <f t="shared" si="5"/>
        <v/>
      </c>
    </row>
    <row r="41" spans="1:25" ht="12.75" customHeight="1" x14ac:dyDescent="0.2">
      <c r="A41" s="23" t="s">
        <v>46</v>
      </c>
      <c r="B41" s="2" t="str">
        <f>A41&amp;COUNTIF($A$2:$A41,A41)</f>
        <v>Dark Elf3</v>
      </c>
      <c r="C41" s="2" t="s">
        <v>320</v>
      </c>
      <c r="D41" s="2" t="str">
        <f t="shared" si="0"/>
        <v>Dark ElfRunner</v>
      </c>
      <c r="E41" s="2">
        <v>7</v>
      </c>
      <c r="F41" s="2">
        <v>3</v>
      </c>
      <c r="G41" s="2">
        <v>2</v>
      </c>
      <c r="H41" s="2">
        <v>3</v>
      </c>
      <c r="I41" s="2">
        <v>8</v>
      </c>
      <c r="J41" s="2" t="str">
        <f>IF('Pack BB2020'!$J$24="Español",V41,(IF('Pack BB2020'!$J$24="Deutsch",W41,(IF('Pack BB2020'!$J$24="Français",X41,U41)))))</f>
        <v>Pase precipitado</v>
      </c>
      <c r="K41" s="1">
        <v>80000</v>
      </c>
      <c r="L41" s="1">
        <f t="shared" si="1"/>
        <v>80</v>
      </c>
      <c r="M41" s="1">
        <v>2</v>
      </c>
      <c r="N41" s="1">
        <v>0</v>
      </c>
      <c r="O41" s="1" t="s">
        <v>170</v>
      </c>
      <c r="P41" s="1" t="s">
        <v>170</v>
      </c>
      <c r="Q41" s="1" t="s">
        <v>169</v>
      </c>
      <c r="R41" s="1" t="s">
        <v>170</v>
      </c>
      <c r="S41" s="1">
        <v>0</v>
      </c>
      <c r="T41" s="15" t="str">
        <f t="shared" si="2"/>
        <v>M</v>
      </c>
      <c r="U41" s="15" t="s">
        <v>321</v>
      </c>
      <c r="V41" s="15" t="s">
        <v>322</v>
      </c>
      <c r="W41" s="15" t="s">
        <v>323</v>
      </c>
      <c r="X41" s="15" t="s">
        <v>324</v>
      </c>
      <c r="Y41" s="15"/>
    </row>
    <row r="42" spans="1:25" ht="12.75" customHeight="1" x14ac:dyDescent="0.2">
      <c r="A42" s="23" t="s">
        <v>46</v>
      </c>
      <c r="B42" s="2" t="str">
        <f>A42&amp;COUNTIF($A$2:$A42,A42)</f>
        <v>Dark Elf4</v>
      </c>
      <c r="C42" s="2" t="s">
        <v>325</v>
      </c>
      <c r="D42" s="2" t="str">
        <f t="shared" si="0"/>
        <v>Dark ElfAssassin</v>
      </c>
      <c r="E42" s="2">
        <v>7</v>
      </c>
      <c r="F42" s="2">
        <v>3</v>
      </c>
      <c r="G42" s="2">
        <v>2</v>
      </c>
      <c r="H42" s="2">
        <v>5</v>
      </c>
      <c r="I42" s="2">
        <v>8</v>
      </c>
      <c r="J42" s="2" t="str">
        <f>IF('Pack BB2020'!$J$24="Español",V42,(IF('Pack BB2020'!$J$24="Deutsch",W42,(IF('Pack BB2020'!$J$24="Français",X42,U42)))))</f>
        <v>Perseguir, Puñal</v>
      </c>
      <c r="K42" s="1">
        <v>85000</v>
      </c>
      <c r="L42" s="1">
        <f t="shared" si="1"/>
        <v>85</v>
      </c>
      <c r="M42" s="1">
        <v>2</v>
      </c>
      <c r="N42" s="1">
        <v>0</v>
      </c>
      <c r="O42" s="1" t="s">
        <v>170</v>
      </c>
      <c r="P42" s="1" t="s">
        <v>170</v>
      </c>
      <c r="Q42" s="1" t="s">
        <v>169</v>
      </c>
      <c r="R42" s="1" t="s">
        <v>169</v>
      </c>
      <c r="S42" s="1">
        <v>0</v>
      </c>
      <c r="T42" s="15" t="str">
        <f t="shared" si="2"/>
        <v>M</v>
      </c>
      <c r="U42" s="15" t="s">
        <v>326</v>
      </c>
      <c r="V42" s="15" t="s">
        <v>327</v>
      </c>
      <c r="W42" s="15" t="s">
        <v>328</v>
      </c>
      <c r="X42" s="15" t="s">
        <v>329</v>
      </c>
      <c r="Y42" s="15"/>
    </row>
    <row r="43" spans="1:25" ht="12.75" customHeight="1" x14ac:dyDescent="0.2">
      <c r="A43" s="23" t="s">
        <v>46</v>
      </c>
      <c r="B43" s="2" t="str">
        <f>A43&amp;COUNTIF($A$2:$A43,A43)</f>
        <v>Dark Elf5</v>
      </c>
      <c r="C43" s="2" t="s">
        <v>243</v>
      </c>
      <c r="D43" s="2" t="str">
        <f t="shared" si="0"/>
        <v>Dark ElfBlitzer</v>
      </c>
      <c r="E43" s="2">
        <v>7</v>
      </c>
      <c r="F43" s="2">
        <v>3</v>
      </c>
      <c r="G43" s="2">
        <v>2</v>
      </c>
      <c r="H43" s="2">
        <v>4</v>
      </c>
      <c r="I43" s="2">
        <v>9</v>
      </c>
      <c r="J43" s="2" t="str">
        <f>IF('Pack BB2020'!$J$24="Español",V43,(IF('Pack BB2020'!$J$24="Deutsch",W43,(IF('Pack BB2020'!$J$24="Français",X43,U43)))))</f>
        <v>Placar</v>
      </c>
      <c r="K43" s="1">
        <v>100000</v>
      </c>
      <c r="L43" s="1">
        <f t="shared" si="1"/>
        <v>100</v>
      </c>
      <c r="M43" s="7">
        <v>4</v>
      </c>
      <c r="N43" s="7">
        <v>0</v>
      </c>
      <c r="O43" s="1" t="s">
        <v>170</v>
      </c>
      <c r="P43" s="1" t="s">
        <v>170</v>
      </c>
      <c r="Q43" s="1" t="s">
        <v>169</v>
      </c>
      <c r="R43" s="1" t="s">
        <v>169</v>
      </c>
      <c r="S43" s="1">
        <v>0</v>
      </c>
      <c r="T43" s="15" t="str">
        <f t="shared" si="2"/>
        <v>M</v>
      </c>
      <c r="U43" s="15" t="s">
        <v>330</v>
      </c>
      <c r="V43" s="15" t="s">
        <v>331</v>
      </c>
      <c r="W43" s="15" t="s">
        <v>330</v>
      </c>
      <c r="X43" s="15" t="s">
        <v>332</v>
      </c>
      <c r="Y43" s="15"/>
    </row>
    <row r="44" spans="1:25" ht="12.75" customHeight="1" x14ac:dyDescent="0.2">
      <c r="A44" s="23" t="s">
        <v>46</v>
      </c>
      <c r="B44" s="2" t="str">
        <f>A44&amp;COUNTIF($A$2:$A44,A44)</f>
        <v>Dark Elf6</v>
      </c>
      <c r="C44" s="2" t="s">
        <v>333</v>
      </c>
      <c r="D44" s="2" t="str">
        <f t="shared" si="0"/>
        <v>Dark ElfWitch Elf</v>
      </c>
      <c r="E44" s="2">
        <v>7</v>
      </c>
      <c r="F44" s="2">
        <v>3</v>
      </c>
      <c r="G44" s="2">
        <v>2</v>
      </c>
      <c r="H44" s="2">
        <v>5</v>
      </c>
      <c r="I44" s="2">
        <v>8</v>
      </c>
      <c r="J44" s="2" t="str">
        <f>IF('Pack BB2020'!$J$24="Español",V44,(IF('Pack BB2020'!$J$24="Deutsch",W44,(IF('Pack BB2020'!$J$24="Français",X44,U44)))))</f>
        <v>Esquivar, Furia, En pie de un salto</v>
      </c>
      <c r="K44" s="1">
        <v>110000</v>
      </c>
      <c r="L44" s="1">
        <f t="shared" si="1"/>
        <v>110</v>
      </c>
      <c r="M44" s="2">
        <v>2</v>
      </c>
      <c r="N44" s="2">
        <v>0</v>
      </c>
      <c r="O44" s="1" t="s">
        <v>170</v>
      </c>
      <c r="P44" s="1" t="s">
        <v>170</v>
      </c>
      <c r="Q44" s="1" t="s">
        <v>169</v>
      </c>
      <c r="R44" s="1" t="s">
        <v>169</v>
      </c>
      <c r="S44" s="1">
        <v>0</v>
      </c>
      <c r="T44" s="15" t="str">
        <f t="shared" si="2"/>
        <v>M</v>
      </c>
      <c r="U44" s="15" t="s">
        <v>334</v>
      </c>
      <c r="V44" s="15" t="s">
        <v>335</v>
      </c>
      <c r="W44" s="15" t="s">
        <v>336</v>
      </c>
      <c r="X44" s="15" t="s">
        <v>337</v>
      </c>
      <c r="Y44" s="15"/>
    </row>
    <row r="45" spans="1:25" ht="12.75" customHeight="1" x14ac:dyDescent="0.2">
      <c r="A45" s="23" t="s">
        <v>52</v>
      </c>
      <c r="B45" s="2" t="str">
        <f>A45&amp;COUNTIF($A$2:$A45,A45)</f>
        <v>Dwarf1</v>
      </c>
      <c r="C45" s="2" t="str">
        <f>""</f>
        <v/>
      </c>
      <c r="D45" s="2" t="str">
        <f t="shared" si="0"/>
        <v>Dwarf</v>
      </c>
      <c r="E45" s="2">
        <v>0</v>
      </c>
      <c r="F45" s="2">
        <v>0</v>
      </c>
      <c r="G45" s="2">
        <v>0</v>
      </c>
      <c r="H45" s="2">
        <v>0</v>
      </c>
      <c r="I45" s="2">
        <v>0</v>
      </c>
      <c r="J45" s="2">
        <f>IF('Pack BB2020'!$J$24="Español",V45,(IF('Pack BB2020'!$J$24="Deutsch",W45,(IF('Pack BB2020'!$J$24="Français",X45,U45)))))</f>
        <v>0</v>
      </c>
      <c r="K45" s="1">
        <v>0</v>
      </c>
      <c r="L45" s="1">
        <f t="shared" si="1"/>
        <v>0</v>
      </c>
      <c r="M45" s="1">
        <v>0</v>
      </c>
      <c r="N45" s="1">
        <v>0</v>
      </c>
      <c r="O45" s="1"/>
      <c r="P45" s="1"/>
      <c r="Q45" s="1"/>
      <c r="R45" s="1"/>
      <c r="S45" s="1"/>
      <c r="T45" s="15" t="str">
        <f t="shared" si="2"/>
        <v/>
      </c>
      <c r="U45" s="15">
        <v>0</v>
      </c>
      <c r="V45" s="15">
        <v>0</v>
      </c>
      <c r="W45" s="15">
        <v>0</v>
      </c>
      <c r="X45" s="15">
        <v>0</v>
      </c>
      <c r="Y45" s="15">
        <v>0</v>
      </c>
    </row>
    <row r="46" spans="1:25" ht="12.75" customHeight="1" x14ac:dyDescent="0.2">
      <c r="A46" s="23" t="s">
        <v>52</v>
      </c>
      <c r="B46" s="2" t="str">
        <f>A46&amp;COUNTIF($A$2:$A46,A46)</f>
        <v>Dwarf2</v>
      </c>
      <c r="C46" s="2" t="s">
        <v>279</v>
      </c>
      <c r="D46" s="2" t="str">
        <f t="shared" si="0"/>
        <v>DwarfBlocker</v>
      </c>
      <c r="E46" s="2">
        <v>4</v>
      </c>
      <c r="F46" s="2">
        <v>3</v>
      </c>
      <c r="G46" s="2">
        <v>4</v>
      </c>
      <c r="H46" s="2">
        <v>5</v>
      </c>
      <c r="I46" s="2">
        <v>10</v>
      </c>
      <c r="J46" s="2" t="str">
        <f>IF('Pack BB2020'!$J$24="Español",V46,(IF('Pack BB2020'!$J$24="Deutsch",W46,(IF('Pack BB2020'!$J$24="Français",X46,U46)))))</f>
        <v>Placar, Placaje defensivo, Cabeza dura</v>
      </c>
      <c r="K46" s="1">
        <v>70000</v>
      </c>
      <c r="L46" s="1">
        <f t="shared" si="1"/>
        <v>70</v>
      </c>
      <c r="M46" s="7">
        <v>16</v>
      </c>
      <c r="N46" s="7">
        <v>0</v>
      </c>
      <c r="O46" s="1" t="s">
        <v>170</v>
      </c>
      <c r="P46" s="1" t="s">
        <v>169</v>
      </c>
      <c r="Q46" s="1" t="s">
        <v>170</v>
      </c>
      <c r="R46" s="1">
        <v>0</v>
      </c>
      <c r="S46" s="1">
        <v>0</v>
      </c>
      <c r="T46" s="15" t="str">
        <f t="shared" si="2"/>
        <v>PM</v>
      </c>
      <c r="U46" s="15" t="s">
        <v>280</v>
      </c>
      <c r="V46" s="2" t="s">
        <v>281</v>
      </c>
      <c r="W46" s="15" t="s">
        <v>282</v>
      </c>
      <c r="X46" s="15" t="s">
        <v>283</v>
      </c>
      <c r="Y46" s="15"/>
    </row>
    <row r="47" spans="1:25" ht="12.75" customHeight="1" x14ac:dyDescent="0.2">
      <c r="A47" s="23" t="s">
        <v>52</v>
      </c>
      <c r="B47" s="2" t="str">
        <f>A47&amp;COUNTIF($A$2:$A47,A47)</f>
        <v>Dwarf3</v>
      </c>
      <c r="C47" s="2" t="s">
        <v>320</v>
      </c>
      <c r="D47" s="2" t="str">
        <f t="shared" si="0"/>
        <v>DwarfRunner</v>
      </c>
      <c r="E47" s="2">
        <v>6</v>
      </c>
      <c r="F47" s="2">
        <v>3</v>
      </c>
      <c r="G47" s="2">
        <v>3</v>
      </c>
      <c r="H47" s="2">
        <v>4</v>
      </c>
      <c r="I47" s="2">
        <v>9</v>
      </c>
      <c r="J47" s="2" t="str">
        <f>IF('Pack BB2020'!$J$24="Español",V47,(IF('Pack BB2020'!$J$24="Deutsch",W47,(IF('Pack BB2020'!$J$24="Français",X47,U47)))))</f>
        <v>Manos seguras, Cabeza dura</v>
      </c>
      <c r="K47" s="1">
        <v>85000</v>
      </c>
      <c r="L47" s="1">
        <f t="shared" si="1"/>
        <v>85</v>
      </c>
      <c r="M47" s="1">
        <v>2</v>
      </c>
      <c r="N47" s="1">
        <v>0</v>
      </c>
      <c r="O47" s="1" t="s">
        <v>170</v>
      </c>
      <c r="P47" s="1" t="s">
        <v>169</v>
      </c>
      <c r="Q47" s="1" t="s">
        <v>169</v>
      </c>
      <c r="R47" s="1" t="s">
        <v>170</v>
      </c>
      <c r="S47" s="1">
        <v>0</v>
      </c>
      <c r="T47" s="15" t="str">
        <f t="shared" si="2"/>
        <v>M</v>
      </c>
      <c r="U47" s="15" t="s">
        <v>338</v>
      </c>
      <c r="V47" s="2" t="s">
        <v>339</v>
      </c>
      <c r="W47" s="15" t="s">
        <v>340</v>
      </c>
      <c r="X47" s="15" t="s">
        <v>341</v>
      </c>
      <c r="Y47" s="15"/>
    </row>
    <row r="48" spans="1:25" ht="12.75" customHeight="1" x14ac:dyDescent="0.2">
      <c r="A48" s="23" t="s">
        <v>52</v>
      </c>
      <c r="B48" s="2" t="str">
        <f>A48&amp;COUNTIF($A$2:$A48,A48)</f>
        <v>Dwarf4</v>
      </c>
      <c r="C48" s="2" t="s">
        <v>243</v>
      </c>
      <c r="D48" s="2" t="str">
        <f t="shared" si="0"/>
        <v>DwarfBlitzer</v>
      </c>
      <c r="E48" s="2">
        <v>5</v>
      </c>
      <c r="F48" s="2">
        <v>3</v>
      </c>
      <c r="G48" s="2">
        <v>3</v>
      </c>
      <c r="H48" s="2">
        <v>4</v>
      </c>
      <c r="I48" s="2">
        <v>10</v>
      </c>
      <c r="J48" s="2" t="str">
        <f>IF('Pack BB2020'!$J$24="Español",V48,(IF('Pack BB2020'!$J$24="Deutsch",W48,(IF('Pack BB2020'!$J$24="Français",X48,U48)))))</f>
        <v>Placar, Cabeza dura</v>
      </c>
      <c r="K48" s="1">
        <v>80000</v>
      </c>
      <c r="L48" s="1">
        <f t="shared" si="1"/>
        <v>80</v>
      </c>
      <c r="M48" s="1">
        <v>2</v>
      </c>
      <c r="N48" s="1">
        <v>0</v>
      </c>
      <c r="O48" s="1" t="s">
        <v>170</v>
      </c>
      <c r="P48" s="1" t="s">
        <v>169</v>
      </c>
      <c r="Q48" s="1" t="s">
        <v>170</v>
      </c>
      <c r="R48" s="1" t="s">
        <v>169</v>
      </c>
      <c r="S48" s="1">
        <v>0</v>
      </c>
      <c r="T48" s="15" t="str">
        <f t="shared" si="2"/>
        <v>M</v>
      </c>
      <c r="U48" s="15" t="s">
        <v>342</v>
      </c>
      <c r="V48" s="15" t="s">
        <v>343</v>
      </c>
      <c r="W48" s="15" t="s">
        <v>344</v>
      </c>
      <c r="X48" s="15" t="s">
        <v>345</v>
      </c>
      <c r="Y48" s="15"/>
    </row>
    <row r="49" spans="1:25" ht="12.75" customHeight="1" x14ac:dyDescent="0.2">
      <c r="A49" s="23" t="s">
        <v>52</v>
      </c>
      <c r="B49" s="2" t="str">
        <f>A49&amp;COUNTIF($A$2:$A49,A49)</f>
        <v>Dwarf5</v>
      </c>
      <c r="C49" s="2" t="s">
        <v>346</v>
      </c>
      <c r="D49" s="2" t="str">
        <f t="shared" si="0"/>
        <v>DwarfTroll Slayer</v>
      </c>
      <c r="E49" s="2">
        <v>5</v>
      </c>
      <c r="F49" s="2">
        <v>3</v>
      </c>
      <c r="G49" s="2">
        <v>4</v>
      </c>
      <c r="H49" s="2">
        <v>0</v>
      </c>
      <c r="I49" s="2">
        <v>9</v>
      </c>
      <c r="J49" s="2" t="str">
        <f>IF('Pack BB2020'!$J$24="Español",V49,(IF('Pack BB2020'!$J$24="Deutsch",W49,(IF('Pack BB2020'!$J$24="Français",X49,U49)))))</f>
        <v>Placar, Furia, Agallas, Cabeza dura</v>
      </c>
      <c r="K49" s="1">
        <v>95000</v>
      </c>
      <c r="L49" s="1">
        <f t="shared" si="1"/>
        <v>95</v>
      </c>
      <c r="M49" s="1">
        <v>2</v>
      </c>
      <c r="N49" s="1">
        <v>0</v>
      </c>
      <c r="O49" s="1" t="s">
        <v>170</v>
      </c>
      <c r="P49" s="1" t="s">
        <v>169</v>
      </c>
      <c r="Q49" s="1" t="s">
        <v>170</v>
      </c>
      <c r="R49" s="12">
        <v>0</v>
      </c>
      <c r="S49" s="1">
        <v>0</v>
      </c>
      <c r="T49" s="15" t="str">
        <f t="shared" si="2"/>
        <v>PM</v>
      </c>
      <c r="U49" s="15" t="s">
        <v>347</v>
      </c>
      <c r="V49" s="15" t="s">
        <v>348</v>
      </c>
      <c r="W49" s="15" t="s">
        <v>349</v>
      </c>
      <c r="X49" s="15" t="s">
        <v>350</v>
      </c>
      <c r="Y49" s="15"/>
    </row>
    <row r="50" spans="1:25" ht="12.75" customHeight="1" x14ac:dyDescent="0.2">
      <c r="A50" s="23" t="s">
        <v>52</v>
      </c>
      <c r="B50" s="2" t="str">
        <f>A50&amp;COUNTIF($A$2:$A50,A50)</f>
        <v>Dwarf6</v>
      </c>
      <c r="C50" s="2" t="s">
        <v>351</v>
      </c>
      <c r="D50" s="2" t="str">
        <f t="shared" si="0"/>
        <v>DwarfDeathroller</v>
      </c>
      <c r="E50" s="2">
        <v>4</v>
      </c>
      <c r="F50" s="2">
        <v>7</v>
      </c>
      <c r="G50" s="2">
        <v>5</v>
      </c>
      <c r="H50" s="2">
        <v>0</v>
      </c>
      <c r="I50" s="2">
        <v>11</v>
      </c>
      <c r="J50" s="2" t="str">
        <f>IF('Pack BB2020'!$J$24="Español",V50,(IF('Pack BB2020'!$J$24="Deutsch",W50,(IF('Pack BB2020'!$J$24="Français",X50,U50)))))</f>
        <v>Abrirse paso, Juego sucio (+2), Imparable, Solitario (5+), Golpe mortífero (+1), Sin manos, Arma secreta, Mantenerse firme</v>
      </c>
      <c r="K50" s="1">
        <v>170000</v>
      </c>
      <c r="L50" s="1">
        <f t="shared" si="1"/>
        <v>170</v>
      </c>
      <c r="M50" s="2">
        <v>1</v>
      </c>
      <c r="N50" s="2">
        <v>1</v>
      </c>
      <c r="O50" s="1" t="s">
        <v>169</v>
      </c>
      <c r="P50" s="1" t="s">
        <v>169</v>
      </c>
      <c r="Q50" s="1" t="s">
        <v>170</v>
      </c>
      <c r="R50" s="1">
        <v>0</v>
      </c>
      <c r="S50" s="1">
        <v>0</v>
      </c>
      <c r="T50" s="15" t="str">
        <f t="shared" si="2"/>
        <v>PM</v>
      </c>
      <c r="U50" s="15" t="s">
        <v>352</v>
      </c>
      <c r="V50" s="15" t="s">
        <v>353</v>
      </c>
      <c r="W50" s="15" t="s">
        <v>354</v>
      </c>
      <c r="X50" s="15" t="s">
        <v>355</v>
      </c>
      <c r="Y50" s="15"/>
    </row>
    <row r="51" spans="1:25" ht="12.75" customHeight="1" x14ac:dyDescent="0.2">
      <c r="A51" s="23" t="s">
        <v>57</v>
      </c>
      <c r="B51" s="2" t="str">
        <f>A51&amp;COUNTIF($A$2:$A51,A51)</f>
        <v>Elven Union1</v>
      </c>
      <c r="C51" s="2" t="str">
        <f>""</f>
        <v/>
      </c>
      <c r="D51" s="2" t="str">
        <f t="shared" si="0"/>
        <v>Elven Union</v>
      </c>
      <c r="E51" s="2">
        <v>0</v>
      </c>
      <c r="F51" s="2">
        <v>0</v>
      </c>
      <c r="G51" s="2">
        <v>0</v>
      </c>
      <c r="H51" s="2">
        <v>0</v>
      </c>
      <c r="I51" s="2">
        <v>0</v>
      </c>
      <c r="J51" s="2">
        <f>IF('Pack BB2020'!$J$24="Español",V51,(IF('Pack BB2020'!$J$24="Deutsch",W51,(IF('Pack BB2020'!$J$24="Français",X51,U51)))))</f>
        <v>0</v>
      </c>
      <c r="K51" s="1">
        <v>0</v>
      </c>
      <c r="L51" s="1">
        <f t="shared" si="1"/>
        <v>0</v>
      </c>
      <c r="M51" s="1">
        <v>0</v>
      </c>
      <c r="N51" s="1">
        <v>0</v>
      </c>
      <c r="O51" s="1"/>
      <c r="P51" s="1"/>
      <c r="Q51" s="1"/>
      <c r="R51" s="1"/>
      <c r="S51" s="1"/>
      <c r="T51" s="15" t="str">
        <f t="shared" si="2"/>
        <v/>
      </c>
      <c r="U51" s="15">
        <v>0</v>
      </c>
      <c r="V51" s="15">
        <v>0</v>
      </c>
      <c r="W51" s="15">
        <v>0</v>
      </c>
      <c r="X51" s="15">
        <v>0</v>
      </c>
      <c r="Y51" s="15">
        <v>0</v>
      </c>
    </row>
    <row r="52" spans="1:25" ht="12.75" customHeight="1" x14ac:dyDescent="0.2">
      <c r="A52" s="23" t="s">
        <v>57</v>
      </c>
      <c r="B52" s="2" t="str">
        <f>A52&amp;COUNTIF($A$2:$A52,A52)</f>
        <v>Elven Union2</v>
      </c>
      <c r="C52" s="2" t="s">
        <v>319</v>
      </c>
      <c r="D52" s="2" t="str">
        <f t="shared" si="0"/>
        <v>Elven UnionLineman</v>
      </c>
      <c r="E52" s="2">
        <v>6</v>
      </c>
      <c r="F52" s="2">
        <v>3</v>
      </c>
      <c r="G52" s="2">
        <v>2</v>
      </c>
      <c r="H52" s="2">
        <v>4</v>
      </c>
      <c r="I52" s="2">
        <v>8</v>
      </c>
      <c r="J52" s="2" t="str">
        <f>IF('Pack BB2020'!$J$24="Español",V52,(IF('Pack BB2020'!$J$24="Deutsch",W52,(IF('Pack BB2020'!$J$24="Français",X52,U52)))))</f>
        <v/>
      </c>
      <c r="K52" s="1">
        <v>60000</v>
      </c>
      <c r="L52" s="1">
        <f t="shared" si="1"/>
        <v>60</v>
      </c>
      <c r="M52" s="1">
        <v>16</v>
      </c>
      <c r="N52" s="1">
        <v>0</v>
      </c>
      <c r="O52" s="1" t="s">
        <v>170</v>
      </c>
      <c r="P52" s="1" t="s">
        <v>170</v>
      </c>
      <c r="Q52" s="1" t="s">
        <v>169</v>
      </c>
      <c r="R52" s="1">
        <v>0</v>
      </c>
      <c r="S52" s="1">
        <v>0</v>
      </c>
      <c r="T52" s="15" t="str">
        <f t="shared" si="2"/>
        <v>PM</v>
      </c>
      <c r="U52" s="15" t="str">
        <f t="shared" ref="U52:Y52" si="6">""</f>
        <v/>
      </c>
      <c r="V52" s="15" t="str">
        <f t="shared" si="6"/>
        <v/>
      </c>
      <c r="W52" s="15" t="str">
        <f t="shared" si="6"/>
        <v/>
      </c>
      <c r="X52" s="15" t="str">
        <f t="shared" si="6"/>
        <v/>
      </c>
      <c r="Y52" s="15" t="str">
        <f t="shared" si="6"/>
        <v/>
      </c>
    </row>
    <row r="53" spans="1:25" ht="12.75" customHeight="1" x14ac:dyDescent="0.2">
      <c r="A53" s="23" t="s">
        <v>57</v>
      </c>
      <c r="B53" s="2" t="str">
        <f>A53&amp;COUNTIF($A$2:$A53,A53)</f>
        <v>Elven Union3</v>
      </c>
      <c r="C53" s="2" t="s">
        <v>241</v>
      </c>
      <c r="D53" s="2" t="str">
        <f t="shared" si="0"/>
        <v>Elven UnionThrower</v>
      </c>
      <c r="E53" s="2">
        <v>6</v>
      </c>
      <c r="F53" s="2">
        <v>3</v>
      </c>
      <c r="G53" s="2">
        <v>2</v>
      </c>
      <c r="H53" s="2">
        <v>2</v>
      </c>
      <c r="I53" s="2">
        <v>8</v>
      </c>
      <c r="J53" s="2" t="str">
        <f>IF('Pack BB2020'!$J$24="Español",V53,(IF('Pack BB2020'!$J$24="Deutsch",W53,(IF('Pack BB2020'!$J$24="Français",X53,U53)))))</f>
        <v>Pasar</v>
      </c>
      <c r="K53" s="1">
        <v>75000</v>
      </c>
      <c r="L53" s="1">
        <f t="shared" si="1"/>
        <v>75</v>
      </c>
      <c r="M53" s="7">
        <v>2</v>
      </c>
      <c r="N53" s="7">
        <v>0</v>
      </c>
      <c r="O53" s="1" t="s">
        <v>170</v>
      </c>
      <c r="P53" s="1" t="s">
        <v>170</v>
      </c>
      <c r="Q53" s="1" t="s">
        <v>169</v>
      </c>
      <c r="R53" s="1" t="s">
        <v>170</v>
      </c>
      <c r="S53" s="1">
        <v>0</v>
      </c>
      <c r="T53" s="15" t="str">
        <f t="shared" si="2"/>
        <v>M</v>
      </c>
      <c r="U53" s="15" t="s">
        <v>356</v>
      </c>
      <c r="V53" s="15" t="s">
        <v>357</v>
      </c>
      <c r="W53" s="15" t="s">
        <v>358</v>
      </c>
      <c r="X53" s="15" t="s">
        <v>359</v>
      </c>
      <c r="Y53" s="15"/>
    </row>
    <row r="54" spans="1:25" ht="12.75" customHeight="1" x14ac:dyDescent="0.2">
      <c r="A54" s="23" t="s">
        <v>57</v>
      </c>
      <c r="B54" s="2" t="str">
        <f>A54&amp;COUNTIF($A$2:$A54,A54)</f>
        <v>Elven Union4</v>
      </c>
      <c r="C54" s="2" t="s">
        <v>242</v>
      </c>
      <c r="D54" s="2" t="str">
        <f t="shared" si="0"/>
        <v>Elven UnionCatcher</v>
      </c>
      <c r="E54" s="2">
        <v>8</v>
      </c>
      <c r="F54" s="2">
        <v>3</v>
      </c>
      <c r="G54" s="2">
        <v>2</v>
      </c>
      <c r="H54" s="2">
        <v>4</v>
      </c>
      <c r="I54" s="2">
        <v>8</v>
      </c>
      <c r="J54" s="2" t="str">
        <f>IF('Pack BB2020'!$J$24="Español",V54,(IF('Pack BB2020'!$J$24="Deutsch",W54,(IF('Pack BB2020'!$J$24="Français",X54,U54)))))</f>
        <v>Atrapar, Nervios de acero</v>
      </c>
      <c r="K54" s="1">
        <v>100000</v>
      </c>
      <c r="L54" s="1">
        <f t="shared" si="1"/>
        <v>100</v>
      </c>
      <c r="M54" s="2">
        <v>4</v>
      </c>
      <c r="N54" s="2">
        <v>0</v>
      </c>
      <c r="O54" s="1" t="s">
        <v>170</v>
      </c>
      <c r="P54" s="1" t="s">
        <v>170</v>
      </c>
      <c r="Q54" s="1" t="s">
        <v>169</v>
      </c>
      <c r="R54" s="1">
        <v>0</v>
      </c>
      <c r="S54" s="1">
        <v>0</v>
      </c>
      <c r="T54" s="15" t="str">
        <f t="shared" si="2"/>
        <v>PM</v>
      </c>
      <c r="U54" s="15" t="s">
        <v>360</v>
      </c>
      <c r="V54" s="15" t="s">
        <v>361</v>
      </c>
      <c r="W54" s="15" t="s">
        <v>362</v>
      </c>
      <c r="X54" s="15" t="s">
        <v>363</v>
      </c>
      <c r="Y54" s="15"/>
    </row>
    <row r="55" spans="1:25" ht="12.75" customHeight="1" x14ac:dyDescent="0.2">
      <c r="A55" s="23" t="s">
        <v>57</v>
      </c>
      <c r="B55" s="2" t="str">
        <f>A55&amp;COUNTIF($A$2:$A55,A55)</f>
        <v>Elven Union5</v>
      </c>
      <c r="C55" s="2" t="s">
        <v>243</v>
      </c>
      <c r="D55" s="2" t="str">
        <f t="shared" si="0"/>
        <v>Elven UnionBlitzer</v>
      </c>
      <c r="E55" s="2">
        <v>7</v>
      </c>
      <c r="F55" s="2">
        <v>3</v>
      </c>
      <c r="G55" s="2">
        <v>2</v>
      </c>
      <c r="H55" s="2">
        <v>3</v>
      </c>
      <c r="I55" s="2">
        <v>9</v>
      </c>
      <c r="J55" s="2" t="str">
        <f>IF('Pack BB2020'!$J$24="Español",V55,(IF('Pack BB2020'!$J$24="Deutsch",W55,(IF('Pack BB2020'!$J$24="Français",X55,U55)))))</f>
        <v>Placar, Echarse a un lado</v>
      </c>
      <c r="K55" s="1">
        <v>115000</v>
      </c>
      <c r="L55" s="1">
        <f t="shared" si="1"/>
        <v>115</v>
      </c>
      <c r="M55" s="2">
        <v>2</v>
      </c>
      <c r="N55" s="2">
        <v>0</v>
      </c>
      <c r="O55" s="1" t="s">
        <v>170</v>
      </c>
      <c r="P55" s="1" t="s">
        <v>170</v>
      </c>
      <c r="Q55" s="1" t="s">
        <v>169</v>
      </c>
      <c r="R55" s="1" t="s">
        <v>169</v>
      </c>
      <c r="S55" s="1">
        <v>0</v>
      </c>
      <c r="T55" s="15" t="str">
        <f t="shared" si="2"/>
        <v>M</v>
      </c>
      <c r="U55" s="15" t="s">
        <v>364</v>
      </c>
      <c r="V55" s="15" t="s">
        <v>365</v>
      </c>
      <c r="W55" s="15" t="s">
        <v>366</v>
      </c>
      <c r="X55" s="15" t="s">
        <v>367</v>
      </c>
      <c r="Y55" s="15"/>
    </row>
    <row r="56" spans="1:25" ht="12.75" customHeight="1" x14ac:dyDescent="0.2">
      <c r="A56" s="23" t="s">
        <v>62</v>
      </c>
      <c r="B56" s="2" t="str">
        <f>A56&amp;COUNTIF($A$2:$A56,A56)</f>
        <v>Goblin1</v>
      </c>
      <c r="C56" s="2" t="str">
        <f>""</f>
        <v/>
      </c>
      <c r="D56" s="2" t="str">
        <f t="shared" si="0"/>
        <v>Goblin</v>
      </c>
      <c r="E56" s="2">
        <v>0</v>
      </c>
      <c r="F56" s="2">
        <v>0</v>
      </c>
      <c r="G56" s="2">
        <v>0</v>
      </c>
      <c r="H56" s="2">
        <v>0</v>
      </c>
      <c r="I56" s="2">
        <v>0</v>
      </c>
      <c r="J56" s="2">
        <f>IF('Pack BB2020'!$J$24="Español",V56,(IF('Pack BB2020'!$J$24="Deutsch",W56,(IF('Pack BB2020'!$J$24="Français",X56,U56)))))</f>
        <v>0</v>
      </c>
      <c r="K56" s="1">
        <v>0</v>
      </c>
      <c r="L56" s="1">
        <f t="shared" si="1"/>
        <v>0</v>
      </c>
      <c r="M56" s="1">
        <v>0</v>
      </c>
      <c r="N56" s="1">
        <v>0</v>
      </c>
      <c r="O56" s="1"/>
      <c r="P56" s="1"/>
      <c r="Q56" s="1"/>
      <c r="R56" s="1"/>
      <c r="S56" s="1"/>
      <c r="T56" s="15" t="str">
        <f t="shared" si="2"/>
        <v/>
      </c>
      <c r="U56" s="15">
        <v>0</v>
      </c>
      <c r="V56" s="15">
        <v>0</v>
      </c>
      <c r="W56" s="15">
        <v>0</v>
      </c>
      <c r="X56" s="15">
        <v>0</v>
      </c>
      <c r="Y56" s="15">
        <v>0</v>
      </c>
    </row>
    <row r="57" spans="1:25" ht="12.75" customHeight="1" x14ac:dyDescent="0.2">
      <c r="A57" s="23" t="s">
        <v>62</v>
      </c>
      <c r="B57" s="2" t="str">
        <f>A57&amp;COUNTIF($A$2:$A57,A57)</f>
        <v>Goblin2</v>
      </c>
      <c r="C57" s="2" t="s">
        <v>62</v>
      </c>
      <c r="D57" s="2" t="str">
        <f t="shared" si="0"/>
        <v>GoblinGoblin</v>
      </c>
      <c r="E57" s="2">
        <v>6</v>
      </c>
      <c r="F57" s="2">
        <v>2</v>
      </c>
      <c r="G57" s="2">
        <v>3</v>
      </c>
      <c r="H57" s="2">
        <v>4</v>
      </c>
      <c r="I57" s="2">
        <v>8</v>
      </c>
      <c r="J57" s="2" t="str">
        <f>IF('Pack BB2020'!$J$24="Español",V57,(IF('Pack BB2020'!$J$24="Deutsch",W57,(IF('Pack BB2020'!$J$24="Français",X57,U57)))))</f>
        <v>Esquivar, Humanoide bala, Escurridizo</v>
      </c>
      <c r="K57" s="1">
        <v>40000</v>
      </c>
      <c r="L57" s="1">
        <f t="shared" si="1"/>
        <v>40</v>
      </c>
      <c r="M57" s="1">
        <v>16</v>
      </c>
      <c r="N57" s="1">
        <v>0</v>
      </c>
      <c r="O57" s="1" t="s">
        <v>169</v>
      </c>
      <c r="P57" s="1" t="s">
        <v>170</v>
      </c>
      <c r="Q57" s="1" t="s">
        <v>169</v>
      </c>
      <c r="R57" s="1" t="s">
        <v>169</v>
      </c>
      <c r="S57" s="1">
        <v>0</v>
      </c>
      <c r="T57" s="15" t="str">
        <f t="shared" si="2"/>
        <v>M</v>
      </c>
      <c r="U57" s="15" t="s">
        <v>368</v>
      </c>
      <c r="V57" s="15" t="s">
        <v>369</v>
      </c>
      <c r="W57" s="15" t="s">
        <v>370</v>
      </c>
      <c r="X57" s="15" t="s">
        <v>371</v>
      </c>
      <c r="Y57" s="15"/>
    </row>
    <row r="58" spans="1:25" ht="12.75" customHeight="1" x14ac:dyDescent="0.2">
      <c r="A58" s="23" t="s">
        <v>62</v>
      </c>
      <c r="B58" s="2" t="str">
        <f>A58&amp;COUNTIF($A$2:$A58,A58)</f>
        <v>Goblin3</v>
      </c>
      <c r="C58" s="2" t="s">
        <v>372</v>
      </c>
      <c r="D58" s="2" t="str">
        <f t="shared" si="0"/>
        <v>GoblinBombardier</v>
      </c>
      <c r="E58" s="2">
        <v>6</v>
      </c>
      <c r="F58" s="2">
        <v>2</v>
      </c>
      <c r="G58" s="2">
        <v>3</v>
      </c>
      <c r="H58" s="2">
        <v>4</v>
      </c>
      <c r="I58" s="2">
        <v>8</v>
      </c>
      <c r="J58" s="2" t="str">
        <f>IF('Pack BB2020'!$J$24="Español",V58,(IF('Pack BB2020'!$J$24="Deutsch",W58,(IF('Pack BB2020'!$J$24="Français",X58,U58)))))</f>
        <v>Bombardero, Esquivar, Arma secreta, Escurridizo</v>
      </c>
      <c r="K58" s="1">
        <v>45000</v>
      </c>
      <c r="L58" s="1">
        <f t="shared" si="1"/>
        <v>45</v>
      </c>
      <c r="M58" s="1">
        <v>1</v>
      </c>
      <c r="N58" s="1">
        <v>0</v>
      </c>
      <c r="O58" s="1" t="s">
        <v>169</v>
      </c>
      <c r="P58" s="1" t="s">
        <v>170</v>
      </c>
      <c r="Q58" s="1" t="s">
        <v>169</v>
      </c>
      <c r="R58" s="1" t="s">
        <v>170</v>
      </c>
      <c r="S58" s="1">
        <v>0</v>
      </c>
      <c r="T58" s="15" t="str">
        <f t="shared" si="2"/>
        <v>M</v>
      </c>
      <c r="U58" s="15" t="s">
        <v>373</v>
      </c>
      <c r="V58" s="15" t="s">
        <v>374</v>
      </c>
      <c r="W58" s="15" t="s">
        <v>375</v>
      </c>
      <c r="X58" s="15" t="s">
        <v>376</v>
      </c>
      <c r="Y58" s="15"/>
    </row>
    <row r="59" spans="1:25" ht="12.75" customHeight="1" x14ac:dyDescent="0.2">
      <c r="A59" s="23" t="s">
        <v>62</v>
      </c>
      <c r="B59" s="2" t="str">
        <f>A59&amp;COUNTIF($A$2:$A59,A59)</f>
        <v>Goblin4</v>
      </c>
      <c r="C59" s="2" t="s">
        <v>377</v>
      </c>
      <c r="D59" s="2" t="str">
        <f t="shared" si="0"/>
        <v>GoblinLooney</v>
      </c>
      <c r="E59" s="2">
        <v>6</v>
      </c>
      <c r="F59" s="2">
        <v>2</v>
      </c>
      <c r="G59" s="2">
        <v>3</v>
      </c>
      <c r="H59" s="2">
        <v>0</v>
      </c>
      <c r="I59" s="2">
        <v>8</v>
      </c>
      <c r="J59" s="2" t="str">
        <f>IF('Pack BB2020'!$J$24="Español",V59,(IF('Pack BB2020'!$J$24="Deutsch",W59,(IF('Pack BB2020'!$J$24="Français",X59,U59)))))</f>
        <v>Motosierra, Arma secreta, Escurridizo</v>
      </c>
      <c r="K59" s="1">
        <v>40000</v>
      </c>
      <c r="L59" s="1">
        <f t="shared" si="1"/>
        <v>40</v>
      </c>
      <c r="M59" s="1">
        <v>1</v>
      </c>
      <c r="N59" s="1">
        <v>0</v>
      </c>
      <c r="O59" s="1" t="s">
        <v>169</v>
      </c>
      <c r="P59" s="1" t="s">
        <v>170</v>
      </c>
      <c r="Q59" s="1" t="s">
        <v>169</v>
      </c>
      <c r="R59" s="12">
        <v>0</v>
      </c>
      <c r="S59" s="1">
        <v>0</v>
      </c>
      <c r="T59" s="15" t="str">
        <f t="shared" si="2"/>
        <v>PM</v>
      </c>
      <c r="U59" s="15" t="s">
        <v>378</v>
      </c>
      <c r="V59" s="15" t="s">
        <v>379</v>
      </c>
      <c r="W59" s="15" t="s">
        <v>380</v>
      </c>
      <c r="X59" s="15" t="s">
        <v>381</v>
      </c>
      <c r="Y59" s="15"/>
    </row>
    <row r="60" spans="1:25" ht="12.75" customHeight="1" x14ac:dyDescent="0.2">
      <c r="A60" s="23" t="s">
        <v>62</v>
      </c>
      <c r="B60" s="2" t="str">
        <f>A60&amp;COUNTIF($A$2:$A60,A60)</f>
        <v>Goblin5</v>
      </c>
      <c r="C60" s="2" t="s">
        <v>382</v>
      </c>
      <c r="D60" s="2" t="str">
        <f t="shared" si="0"/>
        <v>GoblinDoom Diver</v>
      </c>
      <c r="E60" s="2">
        <v>6</v>
      </c>
      <c r="F60" s="2">
        <v>2</v>
      </c>
      <c r="G60" s="2">
        <v>3</v>
      </c>
      <c r="H60" s="2">
        <v>6</v>
      </c>
      <c r="I60" s="2">
        <v>8</v>
      </c>
      <c r="J60" s="2" t="str">
        <f>IF('Pack BB2020'!$J$24="Español",V60,(IF('Pack BB2020'!$J$24="Deutsch",W60,(IF('Pack BB2020'!$J$24="Français",X60,U60)))))</f>
        <v>Humanoide bala, Escurridizo, Planear</v>
      </c>
      <c r="K60" s="1">
        <v>60000</v>
      </c>
      <c r="L60" s="1">
        <f t="shared" si="1"/>
        <v>60</v>
      </c>
      <c r="M60" s="7">
        <v>1</v>
      </c>
      <c r="N60" s="7">
        <v>0</v>
      </c>
      <c r="O60" s="1" t="s">
        <v>169</v>
      </c>
      <c r="P60" s="1" t="s">
        <v>170</v>
      </c>
      <c r="Q60" s="1" t="s">
        <v>169</v>
      </c>
      <c r="R60" s="1">
        <v>0</v>
      </c>
      <c r="S60" s="1">
        <v>0</v>
      </c>
      <c r="T60" s="15" t="str">
        <f t="shared" si="2"/>
        <v>PM</v>
      </c>
      <c r="U60" s="15" t="s">
        <v>383</v>
      </c>
      <c r="V60" s="15" t="s">
        <v>384</v>
      </c>
      <c r="W60" s="15" t="s">
        <v>385</v>
      </c>
      <c r="X60" s="15" t="s">
        <v>386</v>
      </c>
      <c r="Y60" s="15"/>
    </row>
    <row r="61" spans="1:25" ht="12.75" customHeight="1" x14ac:dyDescent="0.2">
      <c r="A61" s="23" t="s">
        <v>62</v>
      </c>
      <c r="B61" s="2" t="str">
        <f>A61&amp;COUNTIF($A$2:$A61,A61)</f>
        <v>Goblin6</v>
      </c>
      <c r="C61" s="2" t="s">
        <v>387</v>
      </c>
      <c r="D61" s="2" t="str">
        <f t="shared" si="0"/>
        <v>GoblinOoligan</v>
      </c>
      <c r="E61" s="2">
        <v>6</v>
      </c>
      <c r="F61" s="2">
        <v>2</v>
      </c>
      <c r="G61" s="2">
        <v>3</v>
      </c>
      <c r="H61" s="2">
        <v>6</v>
      </c>
      <c r="I61" s="2">
        <v>8</v>
      </c>
      <c r="J61" s="2" t="str">
        <f>IF('Pack BB2020'!$J$24="Español",V61,(IF('Pack BB2020'!$J$24="Deutsch",W61,(IF('Pack BB2020'!$J$24="Français",X61,U61)))))</f>
        <v>Juego sucio (+1), Presencia perturbadora, Esquivar, Humanoide bala, Escurridizo</v>
      </c>
      <c r="K61" s="1">
        <v>65000</v>
      </c>
      <c r="L61" s="1">
        <f t="shared" si="1"/>
        <v>65</v>
      </c>
      <c r="M61" s="2">
        <v>1</v>
      </c>
      <c r="N61" s="2">
        <v>0</v>
      </c>
      <c r="O61" s="1" t="s">
        <v>169</v>
      </c>
      <c r="P61" s="1" t="s">
        <v>170</v>
      </c>
      <c r="Q61" s="1" t="s">
        <v>169</v>
      </c>
      <c r="R61" s="1" t="s">
        <v>169</v>
      </c>
      <c r="S61" s="1">
        <v>0</v>
      </c>
      <c r="T61" s="15" t="str">
        <f t="shared" si="2"/>
        <v>M</v>
      </c>
      <c r="U61" s="15" t="s">
        <v>388</v>
      </c>
      <c r="V61" s="15" t="s">
        <v>389</v>
      </c>
      <c r="W61" s="15" t="s">
        <v>390</v>
      </c>
      <c r="X61" s="15" t="s">
        <v>391</v>
      </c>
      <c r="Y61" s="15"/>
    </row>
    <row r="62" spans="1:25" ht="12.75" customHeight="1" x14ac:dyDescent="0.2">
      <c r="A62" s="23" t="s">
        <v>62</v>
      </c>
      <c r="B62" s="2" t="str">
        <f>A62&amp;COUNTIF($A$2:$A62,A62)</f>
        <v>Goblin7</v>
      </c>
      <c r="C62" s="2" t="s">
        <v>392</v>
      </c>
      <c r="D62" s="2" t="str">
        <f t="shared" si="0"/>
        <v xml:space="preserve">GoblinFanatic </v>
      </c>
      <c r="E62" s="2">
        <v>3</v>
      </c>
      <c r="F62" s="2">
        <v>7</v>
      </c>
      <c r="G62" s="2">
        <v>3</v>
      </c>
      <c r="H62" s="2">
        <v>0</v>
      </c>
      <c r="I62" s="2">
        <v>8</v>
      </c>
      <c r="J62" s="2" t="str">
        <f>IF('Pack BB2020'!$J$24="Español",V62,(IF('Pack BB2020'!$J$24="Deutsch",W62,(IF('Pack BB2020'!$J$24="Français",X62,U62)))))</f>
        <v>Bola y cadena, Sin manos, Arma secreta, Escurridizo</v>
      </c>
      <c r="K62" s="1">
        <v>70000</v>
      </c>
      <c r="L62" s="1">
        <f t="shared" si="1"/>
        <v>70</v>
      </c>
      <c r="M62" s="2">
        <v>1</v>
      </c>
      <c r="N62" s="2">
        <v>0</v>
      </c>
      <c r="O62" s="1" t="s">
        <v>169</v>
      </c>
      <c r="P62" s="1" t="s">
        <v>169</v>
      </c>
      <c r="Q62" s="1" t="s">
        <v>170</v>
      </c>
      <c r="R62" s="12">
        <v>0</v>
      </c>
      <c r="S62" s="1">
        <v>0</v>
      </c>
      <c r="T62" s="15" t="str">
        <f t="shared" si="2"/>
        <v>PM</v>
      </c>
      <c r="U62" s="15" t="s">
        <v>393</v>
      </c>
      <c r="V62" s="15" t="s">
        <v>394</v>
      </c>
      <c r="W62" s="15" t="s">
        <v>395</v>
      </c>
      <c r="X62" s="15" t="s">
        <v>396</v>
      </c>
      <c r="Y62" s="15"/>
    </row>
    <row r="63" spans="1:25" ht="12.75" customHeight="1" x14ac:dyDescent="0.2">
      <c r="A63" s="23" t="s">
        <v>62</v>
      </c>
      <c r="B63" s="2" t="str">
        <f>A63&amp;COUNTIF($A$2:$A63,A63)</f>
        <v>Goblin8</v>
      </c>
      <c r="C63" s="2" t="s">
        <v>397</v>
      </c>
      <c r="D63" s="2" t="str">
        <f t="shared" si="0"/>
        <v>GoblinPogoer</v>
      </c>
      <c r="E63" s="2">
        <v>7</v>
      </c>
      <c r="F63" s="2">
        <v>2</v>
      </c>
      <c r="G63" s="2">
        <v>3</v>
      </c>
      <c r="H63" s="2">
        <v>5</v>
      </c>
      <c r="I63" s="2">
        <v>8</v>
      </c>
      <c r="J63" s="2" t="str">
        <f>IF('Pack BB2020'!$J$24="Español",V63,(IF('Pack BB2020'!$J$24="Deutsch",W63,(IF('Pack BB2020'!$J$24="Français",X63,U63)))))</f>
        <v>Esquivar, Pogo saltarín, Escurridizo</v>
      </c>
      <c r="K63" s="1">
        <v>75000</v>
      </c>
      <c r="L63" s="1">
        <f t="shared" si="1"/>
        <v>75</v>
      </c>
      <c r="M63" s="2">
        <v>1</v>
      </c>
      <c r="N63" s="2">
        <v>0</v>
      </c>
      <c r="O63" s="1" t="s">
        <v>169</v>
      </c>
      <c r="P63" s="1" t="s">
        <v>170</v>
      </c>
      <c r="Q63" s="1" t="s">
        <v>169</v>
      </c>
      <c r="R63" s="1" t="s">
        <v>169</v>
      </c>
      <c r="S63" s="1">
        <v>0</v>
      </c>
      <c r="T63" s="15" t="str">
        <f t="shared" si="2"/>
        <v>M</v>
      </c>
      <c r="U63" s="15" t="s">
        <v>398</v>
      </c>
      <c r="V63" s="15" t="s">
        <v>399</v>
      </c>
      <c r="W63" s="15" t="s">
        <v>400</v>
      </c>
      <c r="X63" s="15" t="s">
        <v>401</v>
      </c>
      <c r="Y63" s="15"/>
    </row>
    <row r="64" spans="1:25" ht="12.75" customHeight="1" x14ac:dyDescent="0.2">
      <c r="A64" s="23" t="s">
        <v>62</v>
      </c>
      <c r="B64" s="2" t="str">
        <f>A64&amp;COUNTIF($A$2:$A64,A64)</f>
        <v>Goblin9</v>
      </c>
      <c r="C64" s="2" t="s">
        <v>402</v>
      </c>
      <c r="D64" s="2" t="str">
        <f t="shared" si="0"/>
        <v xml:space="preserve">GoblinTroll </v>
      </c>
      <c r="E64" s="2">
        <v>4</v>
      </c>
      <c r="F64" s="2">
        <v>5</v>
      </c>
      <c r="G64" s="2">
        <v>5</v>
      </c>
      <c r="H64" s="2">
        <v>5</v>
      </c>
      <c r="I64" s="2">
        <v>10</v>
      </c>
      <c r="J64" s="2" t="str">
        <f>IF('Pack BB2020'!$J$24="Español",V64,(IF('Pack BB2020'!$J$24="Deutsch",W64,(IF('Pack BB2020'!$J$24="Français",X64,U64)))))</f>
        <v>Siempre hambriento, Solitario (3+), Golpe mortífero (+1), Proyectil de vómito, Realmente estúpido, Regeneración, Lanzar compañero</v>
      </c>
      <c r="K64" s="1">
        <v>115000</v>
      </c>
      <c r="L64" s="1">
        <f t="shared" si="1"/>
        <v>115</v>
      </c>
      <c r="M64" s="2">
        <v>2</v>
      </c>
      <c r="N64" s="2">
        <v>1</v>
      </c>
      <c r="O64" s="1" t="s">
        <v>169</v>
      </c>
      <c r="P64" s="1" t="s">
        <v>169</v>
      </c>
      <c r="Q64" s="1" t="s">
        <v>170</v>
      </c>
      <c r="R64" s="1" t="s">
        <v>169</v>
      </c>
      <c r="S64" s="1">
        <v>0</v>
      </c>
      <c r="T64" s="15" t="str">
        <f t="shared" si="2"/>
        <v>M</v>
      </c>
      <c r="U64" s="15" t="s">
        <v>254</v>
      </c>
      <c r="V64" s="15" t="s">
        <v>255</v>
      </c>
      <c r="W64" s="15" t="s">
        <v>256</v>
      </c>
      <c r="X64" s="15" t="s">
        <v>257</v>
      </c>
      <c r="Y64" s="15"/>
    </row>
    <row r="65" spans="1:25" ht="12.75" customHeight="1" x14ac:dyDescent="0.2">
      <c r="A65" s="23" t="s">
        <v>1431</v>
      </c>
      <c r="B65" s="2" t="str">
        <f>A65&amp;COUNTIF($A$2:$A65,A65)</f>
        <v>Gnome1</v>
      </c>
      <c r="C65" s="2"/>
      <c r="D65" s="2" t="str">
        <f t="shared" si="0"/>
        <v>Gnome</v>
      </c>
      <c r="E65" s="2">
        <v>0</v>
      </c>
      <c r="F65" s="2">
        <v>0</v>
      </c>
      <c r="G65" s="2">
        <v>0</v>
      </c>
      <c r="H65" s="2">
        <v>0</v>
      </c>
      <c r="I65" s="2">
        <v>0</v>
      </c>
      <c r="J65" s="2">
        <f>IF('Pack BB2020'!$J$24="Español",V65,(IF('Pack BB2020'!$J$24="Deutsch",W65,(IF('Pack BB2020'!$J$24="Français",X65,U65)))))</f>
        <v>0</v>
      </c>
      <c r="K65" s="1">
        <v>0</v>
      </c>
      <c r="L65" s="1">
        <f t="shared" si="1"/>
        <v>0</v>
      </c>
      <c r="M65" s="2">
        <v>0</v>
      </c>
      <c r="N65" s="2">
        <v>0</v>
      </c>
      <c r="O65" s="1"/>
      <c r="P65" s="1"/>
      <c r="Q65" s="1"/>
      <c r="R65" s="1"/>
      <c r="S65" s="1"/>
      <c r="T65" s="15" t="str">
        <f t="shared" si="2"/>
        <v/>
      </c>
      <c r="U65" s="15"/>
      <c r="V65" s="15"/>
      <c r="W65" s="15"/>
      <c r="X65" s="15"/>
      <c r="Y65" s="15"/>
    </row>
    <row r="66" spans="1:25" ht="12.75" customHeight="1" x14ac:dyDescent="0.2">
      <c r="A66" s="23" t="s">
        <v>1431</v>
      </c>
      <c r="B66" s="2" t="str">
        <f>A66&amp;COUNTIF($A$2:$A66,A66)</f>
        <v>Gnome2</v>
      </c>
      <c r="C66" s="2" t="s">
        <v>319</v>
      </c>
      <c r="D66" s="2" t="str">
        <f t="shared" si="0"/>
        <v>GnomeLineman</v>
      </c>
      <c r="E66" s="2">
        <v>5</v>
      </c>
      <c r="F66" s="2">
        <v>2</v>
      </c>
      <c r="G66" s="2">
        <v>3</v>
      </c>
      <c r="H66" s="2">
        <v>4</v>
      </c>
      <c r="I66" s="2">
        <v>7</v>
      </c>
      <c r="J66" s="2" t="str">
        <f>IF('Pack BB2020'!$J$24="Español",V66,(IF('Pack BB2020'!$J$24="Deutsch",W66,(IF('Pack BB2020'!$J$24="Français",X66,U66)))))</f>
        <v>En pie de un salto, Humanoide bala, Escurridizo, Forcejear</v>
      </c>
      <c r="K66" s="1">
        <v>40000</v>
      </c>
      <c r="L66" s="1">
        <f t="shared" si="1"/>
        <v>40</v>
      </c>
      <c r="M66" s="2">
        <v>16</v>
      </c>
      <c r="N66" s="2">
        <v>0</v>
      </c>
      <c r="O66" s="1" t="s">
        <v>169</v>
      </c>
      <c r="P66" s="1" t="s">
        <v>170</v>
      </c>
      <c r="Q66" s="1" t="s">
        <v>169</v>
      </c>
      <c r="R66" s="1" t="s">
        <v>169</v>
      </c>
      <c r="S66" s="1">
        <v>0</v>
      </c>
      <c r="T66" s="15" t="str">
        <f t="shared" si="2"/>
        <v>M</v>
      </c>
      <c r="U66" s="15" t="s">
        <v>1437</v>
      </c>
      <c r="V66" s="15" t="s">
        <v>1441</v>
      </c>
      <c r="W66" s="15" t="s">
        <v>1442</v>
      </c>
      <c r="X66" s="15" t="s">
        <v>1443</v>
      </c>
      <c r="Y66" s="15"/>
    </row>
    <row r="67" spans="1:25" ht="12.75" customHeight="1" x14ac:dyDescent="0.2">
      <c r="A67" s="23" t="s">
        <v>1431</v>
      </c>
      <c r="B67" s="2" t="str">
        <f>A67&amp;COUNTIF($A$2:$A67,A67)</f>
        <v>Gnome3</v>
      </c>
      <c r="C67" s="2" t="s">
        <v>1433</v>
      </c>
      <c r="D67" s="2" t="str">
        <f t="shared" si="0"/>
        <v>GnomeIllusionist</v>
      </c>
      <c r="E67" s="2">
        <v>5</v>
      </c>
      <c r="F67" s="2">
        <v>2</v>
      </c>
      <c r="G67" s="2">
        <v>3</v>
      </c>
      <c r="H67" s="2">
        <v>3</v>
      </c>
      <c r="I67" s="2">
        <v>7</v>
      </c>
      <c r="J67" s="2" t="str">
        <f>IF('Pack BB2020'!$J$24="Español",V67,(IF('Pack BB2020'!$J$24="Deutsch",W67,(IF('Pack BB2020'!$J$24="Français",X67,U67)))))</f>
        <v>En pie de un salto, Escurridizo, Embaucador, Forcejear</v>
      </c>
      <c r="K67" s="1">
        <v>50000</v>
      </c>
      <c r="L67" s="1">
        <f t="shared" si="1"/>
        <v>50</v>
      </c>
      <c r="M67" s="2">
        <v>2</v>
      </c>
      <c r="N67" s="2">
        <v>0</v>
      </c>
      <c r="O67" s="1" t="s">
        <v>169</v>
      </c>
      <c r="P67" s="1" t="s">
        <v>170</v>
      </c>
      <c r="Q67" s="1" t="s">
        <v>169</v>
      </c>
      <c r="R67" s="1" t="s">
        <v>169</v>
      </c>
      <c r="S67" s="1">
        <v>0</v>
      </c>
      <c r="T67" s="15" t="str">
        <f t="shared" ref="T67:T130" si="7">IF(K67=0,"",(IF(O67=0,"GPSM",(IF(AND(R67=0,S67=0),"PM",(IF(S67=0,"M",(IF(R67=0,"P","FULL")))))))))</f>
        <v>M</v>
      </c>
      <c r="U67" s="15" t="s">
        <v>1438</v>
      </c>
      <c r="V67" s="15" t="s">
        <v>1491</v>
      </c>
      <c r="W67" s="15" t="s">
        <v>1492</v>
      </c>
      <c r="X67" s="15" t="s">
        <v>1493</v>
      </c>
      <c r="Y67" s="15"/>
    </row>
    <row r="68" spans="1:25" ht="12.75" customHeight="1" x14ac:dyDescent="0.2">
      <c r="A68" s="23" t="s">
        <v>1431</v>
      </c>
      <c r="B68" s="2" t="str">
        <f>A68&amp;COUNTIF($A$2:$A68,A68)</f>
        <v>Gnome4</v>
      </c>
      <c r="C68" s="2" t="s">
        <v>1434</v>
      </c>
      <c r="D68" s="2" t="str">
        <f t="shared" si="0"/>
        <v>GnomeWoodland Fox</v>
      </c>
      <c r="E68" s="2">
        <v>7</v>
      </c>
      <c r="F68" s="2">
        <v>2</v>
      </c>
      <c r="G68" s="2">
        <v>2</v>
      </c>
      <c r="H68" s="2">
        <v>0</v>
      </c>
      <c r="I68" s="2">
        <v>6</v>
      </c>
      <c r="J68" s="2" t="str">
        <f>IF('Pack BB2020'!$J$24="Español",V68,(IF('Pack BB2020'!$J$24="Deutsch",W68,(IF('Pack BB2020'!$J$24="Français",X68,U68)))))</f>
        <v>Esquivar, Mi balón, Echarse a un lado, Escurridizo</v>
      </c>
      <c r="K68" s="1">
        <v>50000</v>
      </c>
      <c r="L68" s="1">
        <f t="shared" si="1"/>
        <v>50</v>
      </c>
      <c r="M68" s="2">
        <v>2</v>
      </c>
      <c r="N68" s="2">
        <v>0</v>
      </c>
      <c r="O68" s="1">
        <v>0</v>
      </c>
      <c r="P68" s="1" t="s">
        <v>169</v>
      </c>
      <c r="Q68" s="1">
        <v>0</v>
      </c>
      <c r="R68" s="1">
        <v>0</v>
      </c>
      <c r="S68" s="1">
        <v>0</v>
      </c>
      <c r="T68" s="15" t="str">
        <f t="shared" si="7"/>
        <v>GPSM</v>
      </c>
      <c r="U68" s="15" t="s">
        <v>1439</v>
      </c>
      <c r="V68" s="15" t="s">
        <v>1444</v>
      </c>
      <c r="W68" s="15" t="s">
        <v>1445</v>
      </c>
      <c r="X68" s="15" t="s">
        <v>1446</v>
      </c>
      <c r="Y68" s="15"/>
    </row>
    <row r="69" spans="1:25" ht="12.75" customHeight="1" x14ac:dyDescent="0.2">
      <c r="A69" s="23" t="s">
        <v>1431</v>
      </c>
      <c r="B69" s="2" t="str">
        <f>A69&amp;COUNTIF($A$2:$A69,A69)</f>
        <v>Gnome5</v>
      </c>
      <c r="C69" s="2" t="s">
        <v>1435</v>
      </c>
      <c r="D69" s="2" t="str">
        <f t="shared" si="0"/>
        <v>GnomeBeastmaster</v>
      </c>
      <c r="E69" s="2">
        <v>5</v>
      </c>
      <c r="F69" s="2">
        <v>2</v>
      </c>
      <c r="G69" s="2">
        <v>3</v>
      </c>
      <c r="H69" s="2">
        <v>4</v>
      </c>
      <c r="I69" s="2">
        <v>8</v>
      </c>
      <c r="J69" s="2" t="str">
        <f>IF('Pack BB2020'!$J$24="Español",V69,(IF('Pack BB2020'!$J$24="Deutsch",W69,(IF('Pack BB2020'!$J$24="Français",X69,U69)))))</f>
        <v>Defensa, En pie de un salto, Escurridizo, Forcejear</v>
      </c>
      <c r="K69" s="1">
        <v>55000</v>
      </c>
      <c r="L69" s="1">
        <f t="shared" si="1"/>
        <v>55</v>
      </c>
      <c r="M69" s="2">
        <v>2</v>
      </c>
      <c r="N69" s="2">
        <v>0</v>
      </c>
      <c r="O69" s="1" t="s">
        <v>169</v>
      </c>
      <c r="P69" s="1" t="s">
        <v>170</v>
      </c>
      <c r="Q69" s="1" t="s">
        <v>169</v>
      </c>
      <c r="R69" s="1" t="s">
        <v>169</v>
      </c>
      <c r="S69" s="1">
        <v>0</v>
      </c>
      <c r="T69" s="15" t="str">
        <f t="shared" si="7"/>
        <v>M</v>
      </c>
      <c r="U69" s="15" t="s">
        <v>1440</v>
      </c>
      <c r="V69" s="15" t="s">
        <v>1447</v>
      </c>
      <c r="W69" s="15" t="s">
        <v>1448</v>
      </c>
      <c r="X69" s="15" t="s">
        <v>1449</v>
      </c>
      <c r="Y69" s="15"/>
    </row>
    <row r="70" spans="1:25" ht="12.75" customHeight="1" x14ac:dyDescent="0.2">
      <c r="A70" s="23" t="s">
        <v>1431</v>
      </c>
      <c r="B70" s="2" t="str">
        <f>A70&amp;COUNTIF($A$2:$A70,A70)</f>
        <v>Gnome6</v>
      </c>
      <c r="C70" s="2" t="s">
        <v>1436</v>
      </c>
      <c r="D70" s="2" t="str">
        <f t="shared" si="0"/>
        <v>GnomeAltern Forest Treeman</v>
      </c>
      <c r="E70" s="2">
        <v>2</v>
      </c>
      <c r="F70" s="2">
        <v>6</v>
      </c>
      <c r="G70" s="2">
        <v>5</v>
      </c>
      <c r="H70" s="2">
        <v>5</v>
      </c>
      <c r="I70" s="2">
        <v>11</v>
      </c>
      <c r="J70" s="2" t="str">
        <f>IF('Pack BB2020'!$J$24="Español",V70,(IF('Pack BB2020'!$J$24="Deutsch",W70,(IF('Pack BB2020'!$J$24="Français",X70,U70)))))</f>
        <v>Golpe mortífero (+1), Mantenerse firme, Brazo fuerte, Echar raíces, Cabeza dura, Lanzar compañero, ¡Tronco va!</v>
      </c>
      <c r="K70" s="1">
        <v>120000</v>
      </c>
      <c r="L70" s="1">
        <f t="shared" si="1"/>
        <v>120</v>
      </c>
      <c r="M70" s="2">
        <v>2</v>
      </c>
      <c r="N70" s="2">
        <v>1</v>
      </c>
      <c r="O70" s="1" t="s">
        <v>169</v>
      </c>
      <c r="P70" s="1" t="s">
        <v>169</v>
      </c>
      <c r="Q70" s="1" t="s">
        <v>170</v>
      </c>
      <c r="R70" s="1" t="s">
        <v>169</v>
      </c>
      <c r="S70" s="1">
        <v>0</v>
      </c>
      <c r="T70" s="15" t="str">
        <f t="shared" si="7"/>
        <v>M</v>
      </c>
      <c r="U70" s="15" t="s">
        <v>415</v>
      </c>
      <c r="V70" s="15" t="s">
        <v>416</v>
      </c>
      <c r="W70" s="15" t="s">
        <v>1090</v>
      </c>
      <c r="X70" s="15" t="s">
        <v>417</v>
      </c>
      <c r="Y70" s="15"/>
    </row>
    <row r="71" spans="1:25" ht="12.75" customHeight="1" x14ac:dyDescent="0.2">
      <c r="A71" s="23" t="s">
        <v>67</v>
      </c>
      <c r="B71" s="2" t="str">
        <f>A71&amp;COUNTIF($A$2:$A71,A71)</f>
        <v>Halfling1</v>
      </c>
      <c r="C71" s="2" t="str">
        <f>""</f>
        <v/>
      </c>
      <c r="D71" s="2" t="str">
        <f t="shared" si="0"/>
        <v>Halfling</v>
      </c>
      <c r="E71" s="2">
        <v>0</v>
      </c>
      <c r="F71" s="2">
        <v>0</v>
      </c>
      <c r="G71" s="2">
        <v>0</v>
      </c>
      <c r="H71" s="2">
        <v>0</v>
      </c>
      <c r="I71" s="2">
        <v>0</v>
      </c>
      <c r="J71" s="2">
        <f>IF('Pack BB2020'!$J$24="Español",V71,(IF('Pack BB2020'!$J$24="Deutsch",W71,(IF('Pack BB2020'!$J$24="Français",X71,U71)))))</f>
        <v>0</v>
      </c>
      <c r="K71" s="1">
        <v>0</v>
      </c>
      <c r="L71" s="1">
        <f t="shared" si="1"/>
        <v>0</v>
      </c>
      <c r="M71" s="1">
        <v>0</v>
      </c>
      <c r="N71" s="1">
        <v>0</v>
      </c>
      <c r="O71" s="1"/>
      <c r="P71" s="1"/>
      <c r="Q71" s="1"/>
      <c r="R71" s="1"/>
      <c r="S71" s="1"/>
      <c r="T71" s="15" t="str">
        <f t="shared" si="7"/>
        <v/>
      </c>
      <c r="U71" s="15">
        <v>0</v>
      </c>
      <c r="V71" s="15">
        <v>0</v>
      </c>
      <c r="W71" s="15">
        <v>0</v>
      </c>
      <c r="X71" s="15">
        <v>0</v>
      </c>
      <c r="Y71" s="15">
        <v>0</v>
      </c>
    </row>
    <row r="72" spans="1:25" ht="12.75" customHeight="1" x14ac:dyDescent="0.2">
      <c r="A72" s="23" t="s">
        <v>67</v>
      </c>
      <c r="B72" s="2" t="str">
        <f>A72&amp;COUNTIF($A$2:$A72,A72)</f>
        <v>Halfling2</v>
      </c>
      <c r="C72" s="2" t="s">
        <v>403</v>
      </c>
      <c r="D72" s="2" t="str">
        <f t="shared" si="0"/>
        <v>HalflingHalfling Hopeful</v>
      </c>
      <c r="E72" s="2">
        <v>5</v>
      </c>
      <c r="F72" s="2">
        <v>2</v>
      </c>
      <c r="G72" s="2">
        <v>3</v>
      </c>
      <c r="H72" s="2">
        <v>4</v>
      </c>
      <c r="I72" s="2">
        <v>7</v>
      </c>
      <c r="J72" s="2" t="str">
        <f>IF('Pack BB2020'!$J$24="Español",V72,(IF('Pack BB2020'!$J$24="Deutsch",W72,(IF('Pack BB2020'!$J$24="Français",X72,U72)))))</f>
        <v>Esquivar, Humanoide bala, Escurridizo</v>
      </c>
      <c r="K72" s="1">
        <v>30000</v>
      </c>
      <c r="L72" s="1">
        <f t="shared" si="1"/>
        <v>30</v>
      </c>
      <c r="M72" s="2">
        <v>16</v>
      </c>
      <c r="N72" s="2">
        <v>0</v>
      </c>
      <c r="O72" s="1" t="s">
        <v>169</v>
      </c>
      <c r="P72" s="1" t="s">
        <v>170</v>
      </c>
      <c r="Q72" s="1" t="s">
        <v>169</v>
      </c>
      <c r="R72" s="1">
        <v>0</v>
      </c>
      <c r="S72" s="1">
        <v>0</v>
      </c>
      <c r="T72" s="15" t="str">
        <f t="shared" si="7"/>
        <v>PM</v>
      </c>
      <c r="U72" s="15" t="s">
        <v>368</v>
      </c>
      <c r="V72" s="15" t="s">
        <v>369</v>
      </c>
      <c r="W72" s="15" t="s">
        <v>370</v>
      </c>
      <c r="X72" s="15" t="s">
        <v>371</v>
      </c>
      <c r="Y72" s="15"/>
    </row>
    <row r="73" spans="1:25" ht="12.75" customHeight="1" x14ac:dyDescent="0.2">
      <c r="A73" s="23" t="s">
        <v>67</v>
      </c>
      <c r="B73" s="2" t="str">
        <f>A73&amp;COUNTIF($A$2:$A73,A73)</f>
        <v>Halfling3</v>
      </c>
      <c r="C73" s="2" t="s">
        <v>404</v>
      </c>
      <c r="D73" s="2" t="str">
        <f t="shared" si="0"/>
        <v>HalflingHalfling Catcher</v>
      </c>
      <c r="E73" s="2">
        <v>5</v>
      </c>
      <c r="F73" s="2">
        <v>2</v>
      </c>
      <c r="G73" s="2">
        <v>3</v>
      </c>
      <c r="H73" s="2">
        <v>5</v>
      </c>
      <c r="I73" s="2">
        <v>7</v>
      </c>
      <c r="J73" s="2" t="str">
        <f>IF('Pack BB2020'!$J$24="Español",V73,(IF('Pack BB2020'!$J$24="Deutsch",W73,(IF('Pack BB2020'!$J$24="Français",X73,U73)))))</f>
        <v>Atrapar, Esquivar, Humanoide bala, Esprintar, Escurridizo</v>
      </c>
      <c r="K73" s="1">
        <v>55000</v>
      </c>
      <c r="L73" s="1">
        <f t="shared" si="1"/>
        <v>55</v>
      </c>
      <c r="M73" s="2">
        <v>2</v>
      </c>
      <c r="N73" s="2">
        <v>0</v>
      </c>
      <c r="O73" s="1" t="s">
        <v>169</v>
      </c>
      <c r="P73" s="1" t="s">
        <v>170</v>
      </c>
      <c r="Q73" s="1" t="s">
        <v>169</v>
      </c>
      <c r="R73" s="1">
        <v>0</v>
      </c>
      <c r="S73" s="1">
        <v>0</v>
      </c>
      <c r="T73" s="15" t="str">
        <f t="shared" si="7"/>
        <v>PM</v>
      </c>
      <c r="U73" s="15" t="s">
        <v>405</v>
      </c>
      <c r="V73" s="15" t="s">
        <v>406</v>
      </c>
      <c r="W73" s="15" t="s">
        <v>407</v>
      </c>
      <c r="X73" s="15" t="s">
        <v>408</v>
      </c>
      <c r="Y73" s="15"/>
    </row>
    <row r="74" spans="1:25" ht="12.75" customHeight="1" x14ac:dyDescent="0.2">
      <c r="A74" s="23" t="s">
        <v>67</v>
      </c>
      <c r="B74" s="2" t="str">
        <f>A74&amp;COUNTIF($A$2:$A74,A74)</f>
        <v>Halfling4</v>
      </c>
      <c r="C74" s="2" t="s">
        <v>409</v>
      </c>
      <c r="D74" s="2" t="str">
        <f t="shared" si="0"/>
        <v>HalflingHalfling Hefty</v>
      </c>
      <c r="E74" s="2">
        <v>5</v>
      </c>
      <c r="F74" s="2">
        <v>2</v>
      </c>
      <c r="G74" s="2">
        <v>3</v>
      </c>
      <c r="H74" s="2">
        <v>3</v>
      </c>
      <c r="I74" s="2">
        <v>8</v>
      </c>
      <c r="J74" s="2" t="str">
        <f>IF('Pack BB2020'!$J$24="Español",V74,(IF('Pack BB2020'!$J$24="Deutsch",W74,(IF('Pack BB2020'!$J$24="Français",X74,U74)))))</f>
        <v>Esquivar, Zafarse, Escurridizo</v>
      </c>
      <c r="K74" s="1">
        <v>50000</v>
      </c>
      <c r="L74" s="1">
        <f t="shared" si="1"/>
        <v>50</v>
      </c>
      <c r="M74" s="1">
        <v>2</v>
      </c>
      <c r="N74" s="1">
        <v>0</v>
      </c>
      <c r="O74" s="1" t="s">
        <v>169</v>
      </c>
      <c r="P74" s="1" t="s">
        <v>170</v>
      </c>
      <c r="Q74" s="1" t="s">
        <v>169</v>
      </c>
      <c r="R74" s="1" t="s">
        <v>170</v>
      </c>
      <c r="S74" s="1">
        <v>0</v>
      </c>
      <c r="T74" s="15" t="str">
        <f t="shared" si="7"/>
        <v>M</v>
      </c>
      <c r="U74" s="15" t="s">
        <v>410</v>
      </c>
      <c r="V74" s="15" t="s">
        <v>411</v>
      </c>
      <c r="W74" s="15" t="s">
        <v>412</v>
      </c>
      <c r="X74" s="15" t="s">
        <v>413</v>
      </c>
      <c r="Y74" s="15"/>
    </row>
    <row r="75" spans="1:25" ht="12.75" customHeight="1" x14ac:dyDescent="0.2">
      <c r="A75" s="23" t="s">
        <v>67</v>
      </c>
      <c r="B75" s="2" t="str">
        <f>A75&amp;COUNTIF($A$2:$A75,A75)</f>
        <v>Halfling5</v>
      </c>
      <c r="C75" s="2" t="s">
        <v>414</v>
      </c>
      <c r="D75" s="2" t="str">
        <f t="shared" si="0"/>
        <v>HalflingForest Treeman</v>
      </c>
      <c r="E75" s="2">
        <v>2</v>
      </c>
      <c r="F75" s="2">
        <v>6</v>
      </c>
      <c r="G75" s="2">
        <v>5</v>
      </c>
      <c r="H75" s="2">
        <v>5</v>
      </c>
      <c r="I75" s="2">
        <v>11</v>
      </c>
      <c r="J75" s="2" t="str">
        <f>IF('Pack BB2020'!$J$24="Español",V75,(IF('Pack BB2020'!$J$24="Deutsch",W75,(IF('Pack BB2020'!$J$24="Français",X75,U75)))))</f>
        <v>Golpe mortífero (+1), Mantenerse firme, Brazo fuerte, Echar raíces, Cabeza dura, Lanzar compañero, ¡Tronco va!</v>
      </c>
      <c r="K75" s="1">
        <v>120000</v>
      </c>
      <c r="L75" s="1">
        <f t="shared" si="1"/>
        <v>120</v>
      </c>
      <c r="M75" s="1">
        <v>2</v>
      </c>
      <c r="N75" s="1">
        <v>1</v>
      </c>
      <c r="O75" s="1" t="s">
        <v>169</v>
      </c>
      <c r="P75" s="1" t="s">
        <v>169</v>
      </c>
      <c r="Q75" s="1" t="s">
        <v>170</v>
      </c>
      <c r="R75" s="1" t="s">
        <v>169</v>
      </c>
      <c r="S75" s="1">
        <v>0</v>
      </c>
      <c r="T75" s="15" t="str">
        <f t="shared" si="7"/>
        <v>M</v>
      </c>
      <c r="U75" s="15" t="s">
        <v>415</v>
      </c>
      <c r="V75" s="15" t="s">
        <v>416</v>
      </c>
      <c r="W75" s="15" t="s">
        <v>1090</v>
      </c>
      <c r="X75" s="15" t="s">
        <v>417</v>
      </c>
      <c r="Y75" s="15"/>
    </row>
    <row r="76" spans="1:25" ht="12.75" customHeight="1" x14ac:dyDescent="0.2">
      <c r="A76" s="23" t="s">
        <v>72</v>
      </c>
      <c r="B76" s="2" t="str">
        <f>A76&amp;COUNTIF($A$2:$A76,A76)</f>
        <v>High Elf1</v>
      </c>
      <c r="C76" s="2" t="str">
        <f>""</f>
        <v/>
      </c>
      <c r="D76" s="2" t="str">
        <f t="shared" si="0"/>
        <v>High Elf</v>
      </c>
      <c r="E76" s="2">
        <v>0</v>
      </c>
      <c r="F76" s="2">
        <v>0</v>
      </c>
      <c r="G76" s="2">
        <v>0</v>
      </c>
      <c r="H76" s="2">
        <v>0</v>
      </c>
      <c r="I76" s="2">
        <v>0</v>
      </c>
      <c r="J76" s="2">
        <f>IF('Pack BB2020'!$J$24="Español",V76,(IF('Pack BB2020'!$J$24="Deutsch",W76,(IF('Pack BB2020'!$J$24="Français",X76,U76)))))</f>
        <v>0</v>
      </c>
      <c r="K76" s="1">
        <v>0</v>
      </c>
      <c r="L76" s="1">
        <f t="shared" si="1"/>
        <v>0</v>
      </c>
      <c r="M76" s="1">
        <v>0</v>
      </c>
      <c r="N76" s="1">
        <v>0</v>
      </c>
      <c r="O76" s="1"/>
      <c r="P76" s="1"/>
      <c r="Q76" s="1"/>
      <c r="R76" s="1"/>
      <c r="S76" s="1"/>
      <c r="T76" s="15" t="str">
        <f t="shared" si="7"/>
        <v/>
      </c>
      <c r="U76" s="15">
        <v>0</v>
      </c>
      <c r="V76" s="15">
        <v>0</v>
      </c>
      <c r="W76" s="15">
        <v>0</v>
      </c>
      <c r="X76" s="15">
        <v>0</v>
      </c>
      <c r="Y76" s="15">
        <v>0</v>
      </c>
    </row>
    <row r="77" spans="1:25" ht="12.75" customHeight="1" x14ac:dyDescent="0.2">
      <c r="A77" s="23" t="s">
        <v>72</v>
      </c>
      <c r="B77" s="2" t="str">
        <f>A77&amp;COUNTIF($A$2:$A77,A77)</f>
        <v>High Elf2</v>
      </c>
      <c r="C77" s="2" t="s">
        <v>319</v>
      </c>
      <c r="D77" s="2" t="str">
        <f t="shared" si="0"/>
        <v>High ElfLineman</v>
      </c>
      <c r="E77" s="2">
        <v>6</v>
      </c>
      <c r="F77" s="2">
        <v>3</v>
      </c>
      <c r="G77" s="2">
        <v>2</v>
      </c>
      <c r="H77" s="2">
        <v>4</v>
      </c>
      <c r="I77" s="2">
        <v>9</v>
      </c>
      <c r="J77" s="2" t="str">
        <f>IF('Pack BB2020'!$J$24="Español",V77,(IF('Pack BB2020'!$J$24="Deutsch",W77,(IF('Pack BB2020'!$J$24="Français",X77,U77)))))</f>
        <v/>
      </c>
      <c r="K77" s="1">
        <v>70000</v>
      </c>
      <c r="L77" s="1">
        <f t="shared" si="1"/>
        <v>70</v>
      </c>
      <c r="M77" s="2">
        <v>16</v>
      </c>
      <c r="N77" s="2">
        <v>0</v>
      </c>
      <c r="O77" s="1" t="s">
        <v>170</v>
      </c>
      <c r="P77" s="1" t="s">
        <v>170</v>
      </c>
      <c r="Q77" s="1" t="s">
        <v>169</v>
      </c>
      <c r="R77" s="1" t="s">
        <v>169</v>
      </c>
      <c r="S77" s="1">
        <v>0</v>
      </c>
      <c r="T77" s="15" t="str">
        <f t="shared" si="7"/>
        <v>M</v>
      </c>
      <c r="U77" s="15" t="str">
        <f t="shared" ref="U77:Y77" si="8">""</f>
        <v/>
      </c>
      <c r="V77" s="15" t="str">
        <f t="shared" si="8"/>
        <v/>
      </c>
      <c r="W77" s="15" t="str">
        <f t="shared" si="8"/>
        <v/>
      </c>
      <c r="X77" s="15" t="str">
        <f t="shared" si="8"/>
        <v/>
      </c>
      <c r="Y77" s="15" t="str">
        <f t="shared" si="8"/>
        <v/>
      </c>
    </row>
    <row r="78" spans="1:25" ht="12.75" customHeight="1" x14ac:dyDescent="0.2">
      <c r="A78" s="23" t="s">
        <v>72</v>
      </c>
      <c r="B78" s="2" t="str">
        <f>A78&amp;COUNTIF($A$2:$A78,A78)</f>
        <v>High Elf3</v>
      </c>
      <c r="C78" s="2" t="s">
        <v>241</v>
      </c>
      <c r="D78" s="2" t="str">
        <f t="shared" si="0"/>
        <v>High ElfThrower</v>
      </c>
      <c r="E78" s="2">
        <v>6</v>
      </c>
      <c r="F78" s="2">
        <v>3</v>
      </c>
      <c r="G78" s="2">
        <v>2</v>
      </c>
      <c r="H78" s="2">
        <v>2</v>
      </c>
      <c r="I78" s="2">
        <v>9</v>
      </c>
      <c r="J78" s="2" t="str">
        <f>IF('Pack BB2020'!$J$24="Español",V78,(IF('Pack BB2020'!$J$24="Deutsch",W78,(IF('Pack BB2020'!$J$24="Français",X78,U78)))))</f>
        <v>Partenubes, Pasar, Pase seguro</v>
      </c>
      <c r="K78" s="1">
        <v>100000</v>
      </c>
      <c r="L78" s="1">
        <f t="shared" si="1"/>
        <v>100</v>
      </c>
      <c r="M78" s="2">
        <v>2</v>
      </c>
      <c r="N78" s="2">
        <v>0</v>
      </c>
      <c r="O78" s="1" t="s">
        <v>170</v>
      </c>
      <c r="P78" s="1" t="s">
        <v>170</v>
      </c>
      <c r="Q78" s="1" t="s">
        <v>169</v>
      </c>
      <c r="R78" s="1" t="s">
        <v>170</v>
      </c>
      <c r="S78" s="1">
        <v>0</v>
      </c>
      <c r="T78" s="15" t="str">
        <f t="shared" si="7"/>
        <v>M</v>
      </c>
      <c r="U78" s="15" t="s">
        <v>418</v>
      </c>
      <c r="V78" s="15" t="s">
        <v>419</v>
      </c>
      <c r="W78" s="15" t="s">
        <v>420</v>
      </c>
      <c r="X78" s="15" t="s">
        <v>421</v>
      </c>
      <c r="Y78" s="15"/>
    </row>
    <row r="79" spans="1:25" ht="12.75" customHeight="1" x14ac:dyDescent="0.2">
      <c r="A79" s="23" t="s">
        <v>72</v>
      </c>
      <c r="B79" s="2" t="str">
        <f>A79&amp;COUNTIF($A$2:$A79,A79)</f>
        <v>High Elf4</v>
      </c>
      <c r="C79" s="2" t="s">
        <v>242</v>
      </c>
      <c r="D79" s="2" t="str">
        <f t="shared" si="0"/>
        <v>High ElfCatcher</v>
      </c>
      <c r="E79" s="2">
        <v>8</v>
      </c>
      <c r="F79" s="2">
        <v>3</v>
      </c>
      <c r="G79" s="2">
        <v>2</v>
      </c>
      <c r="H79" s="2">
        <v>5</v>
      </c>
      <c r="I79" s="2">
        <v>8</v>
      </c>
      <c r="J79" s="2" t="str">
        <f>IF('Pack BB2020'!$J$24="Español",V79,(IF('Pack BB2020'!$J$24="Deutsch",W79,(IF('Pack BB2020'!$J$24="Français",X79,U79)))))</f>
        <v>Atrapar</v>
      </c>
      <c r="K79" s="1">
        <v>90000</v>
      </c>
      <c r="L79" s="1">
        <f t="shared" si="1"/>
        <v>90</v>
      </c>
      <c r="M79" s="2">
        <v>4</v>
      </c>
      <c r="N79" s="2">
        <v>0</v>
      </c>
      <c r="O79" s="1" t="s">
        <v>170</v>
      </c>
      <c r="P79" s="1" t="s">
        <v>170</v>
      </c>
      <c r="Q79" s="1" t="s">
        <v>169</v>
      </c>
      <c r="R79" s="1">
        <v>0</v>
      </c>
      <c r="S79" s="1">
        <v>0</v>
      </c>
      <c r="T79" s="15" t="str">
        <f t="shared" si="7"/>
        <v>PM</v>
      </c>
      <c r="U79" s="15" t="s">
        <v>422</v>
      </c>
      <c r="V79" s="15" t="s">
        <v>423</v>
      </c>
      <c r="W79" s="15" t="s">
        <v>424</v>
      </c>
      <c r="X79" s="15" t="s">
        <v>425</v>
      </c>
      <c r="Y79" s="15"/>
    </row>
    <row r="80" spans="1:25" ht="12.75" customHeight="1" x14ac:dyDescent="0.2">
      <c r="A80" s="23" t="s">
        <v>72</v>
      </c>
      <c r="B80" s="2" t="str">
        <f>A80&amp;COUNTIF($A$2:$A80,A80)</f>
        <v>High Elf5</v>
      </c>
      <c r="C80" s="2" t="s">
        <v>243</v>
      </c>
      <c r="D80" s="2" t="str">
        <f t="shared" si="0"/>
        <v>High ElfBlitzer</v>
      </c>
      <c r="E80" s="2">
        <v>7</v>
      </c>
      <c r="F80" s="2">
        <v>3</v>
      </c>
      <c r="G80" s="2">
        <v>2</v>
      </c>
      <c r="H80" s="2">
        <v>4</v>
      </c>
      <c r="I80" s="2">
        <v>9</v>
      </c>
      <c r="J80" s="2" t="str">
        <f>IF('Pack BB2020'!$J$24="Español",V80,(IF('Pack BB2020'!$J$24="Deutsch",W80,(IF('Pack BB2020'!$J$24="Français",X80,U80)))))</f>
        <v>Placar</v>
      </c>
      <c r="K80" s="1">
        <v>100000</v>
      </c>
      <c r="L80" s="1">
        <f t="shared" si="1"/>
        <v>100</v>
      </c>
      <c r="M80" s="2">
        <v>2</v>
      </c>
      <c r="N80" s="2">
        <v>0</v>
      </c>
      <c r="O80" s="1" t="s">
        <v>170</v>
      </c>
      <c r="P80" s="1" t="s">
        <v>170</v>
      </c>
      <c r="Q80" s="1" t="s">
        <v>169</v>
      </c>
      <c r="R80" s="1" t="s">
        <v>169</v>
      </c>
      <c r="S80" s="1">
        <v>0</v>
      </c>
      <c r="T80" s="15" t="str">
        <f t="shared" si="7"/>
        <v>M</v>
      </c>
      <c r="U80" s="15" t="s">
        <v>330</v>
      </c>
      <c r="V80" s="15" t="s">
        <v>331</v>
      </c>
      <c r="W80" s="15" t="s">
        <v>330</v>
      </c>
      <c r="X80" s="15" t="s">
        <v>332</v>
      </c>
      <c r="Y80" s="15"/>
    </row>
    <row r="81" spans="1:25" ht="12.75" customHeight="1" x14ac:dyDescent="0.2">
      <c r="A81" s="23" t="s">
        <v>77</v>
      </c>
      <c r="B81" s="2" t="str">
        <f>A81&amp;COUNTIF($A$2:$A81,A81)</f>
        <v>Human1</v>
      </c>
      <c r="C81" s="2" t="str">
        <f>""</f>
        <v/>
      </c>
      <c r="D81" s="2" t="str">
        <f t="shared" si="0"/>
        <v>Human</v>
      </c>
      <c r="E81" s="2">
        <v>0</v>
      </c>
      <c r="F81" s="2">
        <v>0</v>
      </c>
      <c r="G81" s="2">
        <v>0</v>
      </c>
      <c r="H81" s="2">
        <v>0</v>
      </c>
      <c r="I81" s="2">
        <v>0</v>
      </c>
      <c r="J81" s="2">
        <f>IF('Pack BB2020'!$J$24="Español",V81,(IF('Pack BB2020'!$J$24="Deutsch",W81,(IF('Pack BB2020'!$J$24="Français",X81,U81)))))</f>
        <v>0</v>
      </c>
      <c r="K81" s="1">
        <v>0</v>
      </c>
      <c r="L81" s="1">
        <f t="shared" si="1"/>
        <v>0</v>
      </c>
      <c r="M81" s="1">
        <v>0</v>
      </c>
      <c r="N81" s="1">
        <v>0</v>
      </c>
      <c r="O81" s="1"/>
      <c r="P81" s="1"/>
      <c r="Q81" s="1"/>
      <c r="R81" s="1"/>
      <c r="S81" s="1"/>
      <c r="T81" s="15" t="str">
        <f t="shared" si="7"/>
        <v/>
      </c>
      <c r="U81" s="15">
        <v>0</v>
      </c>
      <c r="V81" s="15">
        <v>0</v>
      </c>
      <c r="W81" s="15">
        <v>0</v>
      </c>
      <c r="X81" s="15">
        <v>0</v>
      </c>
      <c r="Y81" s="15">
        <v>0</v>
      </c>
    </row>
    <row r="82" spans="1:25" ht="12.75" customHeight="1" x14ac:dyDescent="0.2">
      <c r="A82" s="23" t="s">
        <v>77</v>
      </c>
      <c r="B82" s="2" t="str">
        <f>A82&amp;COUNTIF($A$2:$A82,A82)</f>
        <v>Human2</v>
      </c>
      <c r="C82" s="2" t="s">
        <v>319</v>
      </c>
      <c r="D82" s="2" t="str">
        <f t="shared" si="0"/>
        <v>HumanLineman</v>
      </c>
      <c r="E82" s="2">
        <v>6</v>
      </c>
      <c r="F82" s="2">
        <v>3</v>
      </c>
      <c r="G82" s="2">
        <v>3</v>
      </c>
      <c r="H82" s="2">
        <v>4</v>
      </c>
      <c r="I82" s="2">
        <v>9</v>
      </c>
      <c r="J82" s="2" t="str">
        <f>IF('Pack BB2020'!$J$24="Español",V82,(IF('Pack BB2020'!$J$24="Deutsch",W82,(IF('Pack BB2020'!$J$24="Français",X82,U82)))))</f>
        <v/>
      </c>
      <c r="K82" s="1">
        <v>50000</v>
      </c>
      <c r="L82" s="1">
        <f t="shared" si="1"/>
        <v>50</v>
      </c>
      <c r="M82" s="2">
        <v>16</v>
      </c>
      <c r="N82" s="2">
        <v>0</v>
      </c>
      <c r="O82" s="1" t="s">
        <v>170</v>
      </c>
      <c r="P82" s="1" t="s">
        <v>169</v>
      </c>
      <c r="Q82" s="1" t="s">
        <v>169</v>
      </c>
      <c r="R82" s="1">
        <v>0</v>
      </c>
      <c r="S82" s="1">
        <v>0</v>
      </c>
      <c r="T82" s="15" t="str">
        <f t="shared" si="7"/>
        <v>PM</v>
      </c>
      <c r="U82" s="15" t="str">
        <f t="shared" ref="U82:Y82" si="9">""</f>
        <v/>
      </c>
      <c r="V82" s="15" t="str">
        <f t="shared" si="9"/>
        <v/>
      </c>
      <c r="W82" s="15" t="str">
        <f t="shared" si="9"/>
        <v/>
      </c>
      <c r="X82" s="15" t="str">
        <f t="shared" si="9"/>
        <v/>
      </c>
      <c r="Y82" s="15" t="str">
        <f t="shared" si="9"/>
        <v/>
      </c>
    </row>
    <row r="83" spans="1:25" ht="12.75" customHeight="1" x14ac:dyDescent="0.2">
      <c r="A83" s="23" t="s">
        <v>77</v>
      </c>
      <c r="B83" s="2" t="str">
        <f>A83&amp;COUNTIF($A$2:$A83,A83)</f>
        <v>Human3</v>
      </c>
      <c r="C83" s="2" t="s">
        <v>242</v>
      </c>
      <c r="D83" s="2" t="str">
        <f t="shared" si="0"/>
        <v>HumanCatcher</v>
      </c>
      <c r="E83" s="2">
        <v>8</v>
      </c>
      <c r="F83" s="2">
        <v>2</v>
      </c>
      <c r="G83" s="2">
        <v>3</v>
      </c>
      <c r="H83" s="2">
        <v>5</v>
      </c>
      <c r="I83" s="2">
        <v>8</v>
      </c>
      <c r="J83" s="2" t="str">
        <f>IF('Pack BB2020'!$J$24="Español",V83,(IF('Pack BB2020'!$J$24="Deutsch",W83,(IF('Pack BB2020'!$J$24="Français",X83,U83)))))</f>
        <v>Atrapar, Esquivar</v>
      </c>
      <c r="K83" s="1">
        <v>65000</v>
      </c>
      <c r="L83" s="1">
        <f t="shared" si="1"/>
        <v>65</v>
      </c>
      <c r="M83" s="2">
        <v>4</v>
      </c>
      <c r="N83" s="2">
        <v>0</v>
      </c>
      <c r="O83" s="1" t="s">
        <v>170</v>
      </c>
      <c r="P83" s="1" t="s">
        <v>170</v>
      </c>
      <c r="Q83" s="1" t="s">
        <v>169</v>
      </c>
      <c r="R83" s="1" t="s">
        <v>169</v>
      </c>
      <c r="S83" s="1">
        <v>0</v>
      </c>
      <c r="T83" s="15" t="str">
        <f t="shared" si="7"/>
        <v>M</v>
      </c>
      <c r="U83" s="15" t="s">
        <v>426</v>
      </c>
      <c r="V83" s="15" t="s">
        <v>427</v>
      </c>
      <c r="W83" s="15" t="s">
        <v>428</v>
      </c>
      <c r="X83" s="15" t="s">
        <v>429</v>
      </c>
      <c r="Y83" s="15"/>
    </row>
    <row r="84" spans="1:25" ht="12.75" customHeight="1" x14ac:dyDescent="0.2">
      <c r="A84" s="23" t="s">
        <v>77</v>
      </c>
      <c r="B84" s="2" t="str">
        <f>A84&amp;COUNTIF($A$2:$A84,A84)</f>
        <v>Human4</v>
      </c>
      <c r="C84" s="2" t="s">
        <v>241</v>
      </c>
      <c r="D84" s="2" t="str">
        <f t="shared" si="0"/>
        <v>HumanThrower</v>
      </c>
      <c r="E84" s="2">
        <v>6</v>
      </c>
      <c r="F84" s="2">
        <v>3</v>
      </c>
      <c r="G84" s="2">
        <v>3</v>
      </c>
      <c r="H84" s="2">
        <v>2</v>
      </c>
      <c r="I84" s="2">
        <v>9</v>
      </c>
      <c r="J84" s="2" t="str">
        <f>IF('Pack BB2020'!$J$24="Español",V84,(IF('Pack BB2020'!$J$24="Deutsch",W84,(IF('Pack BB2020'!$J$24="Français",X84,U84)))))</f>
        <v>Pasar, Manos seguras</v>
      </c>
      <c r="K84" s="1">
        <v>80000</v>
      </c>
      <c r="L84" s="1">
        <f t="shared" si="1"/>
        <v>80</v>
      </c>
      <c r="M84" s="2">
        <v>2</v>
      </c>
      <c r="N84" s="2">
        <v>0</v>
      </c>
      <c r="O84" s="1" t="s">
        <v>170</v>
      </c>
      <c r="P84" s="1" t="s">
        <v>169</v>
      </c>
      <c r="Q84" s="1" t="s">
        <v>169</v>
      </c>
      <c r="R84" s="1" t="s">
        <v>170</v>
      </c>
      <c r="S84" s="1">
        <v>0</v>
      </c>
      <c r="T84" s="15" t="str">
        <f t="shared" si="7"/>
        <v>M</v>
      </c>
      <c r="U84" s="15" t="s">
        <v>430</v>
      </c>
      <c r="V84" s="15" t="s">
        <v>431</v>
      </c>
      <c r="W84" s="15" t="s">
        <v>432</v>
      </c>
      <c r="X84" s="15" t="s">
        <v>433</v>
      </c>
      <c r="Y84" s="15"/>
    </row>
    <row r="85" spans="1:25" ht="12.75" customHeight="1" x14ac:dyDescent="0.2">
      <c r="A85" s="23" t="s">
        <v>77</v>
      </c>
      <c r="B85" s="2" t="str">
        <f>A85&amp;COUNTIF($A$2:$A85,A85)</f>
        <v>Human5</v>
      </c>
      <c r="C85" s="2" t="s">
        <v>243</v>
      </c>
      <c r="D85" s="2" t="str">
        <f t="shared" si="0"/>
        <v>HumanBlitzer</v>
      </c>
      <c r="E85" s="2">
        <v>7</v>
      </c>
      <c r="F85" s="2">
        <v>3</v>
      </c>
      <c r="G85" s="2">
        <v>3</v>
      </c>
      <c r="H85" s="2">
        <v>4</v>
      </c>
      <c r="I85" s="2">
        <v>9</v>
      </c>
      <c r="J85" s="2" t="str">
        <f>IF('Pack BB2020'!$J$24="Español",V85,(IF('Pack BB2020'!$J$24="Deutsch",W85,(IF('Pack BB2020'!$J$24="Français",X85,U85)))))</f>
        <v>Placar</v>
      </c>
      <c r="K85" s="1">
        <v>85000</v>
      </c>
      <c r="L85" s="1">
        <f t="shared" si="1"/>
        <v>85</v>
      </c>
      <c r="M85" s="2">
        <v>4</v>
      </c>
      <c r="N85" s="2">
        <v>0</v>
      </c>
      <c r="O85" s="1" t="s">
        <v>170</v>
      </c>
      <c r="P85" s="1" t="s">
        <v>169</v>
      </c>
      <c r="Q85" s="1" t="s">
        <v>170</v>
      </c>
      <c r="R85" s="1" t="s">
        <v>169</v>
      </c>
      <c r="S85" s="1">
        <v>0</v>
      </c>
      <c r="T85" s="15" t="str">
        <f t="shared" si="7"/>
        <v>M</v>
      </c>
      <c r="U85" s="15" t="s">
        <v>330</v>
      </c>
      <c r="V85" s="15" t="s">
        <v>331</v>
      </c>
      <c r="W85" s="15" t="s">
        <v>330</v>
      </c>
      <c r="X85" s="15" t="s">
        <v>332</v>
      </c>
      <c r="Y85" s="15"/>
    </row>
    <row r="86" spans="1:25" ht="12.75" customHeight="1" x14ac:dyDescent="0.2">
      <c r="A86" s="23" t="s">
        <v>77</v>
      </c>
      <c r="B86" s="2" t="str">
        <f>A86&amp;COUNTIF($A$2:$A86,A86)</f>
        <v>Human6</v>
      </c>
      <c r="C86" s="2" t="s">
        <v>403</v>
      </c>
      <c r="D86" s="2" t="str">
        <f t="shared" si="0"/>
        <v>HumanHalfling Hopeful</v>
      </c>
      <c r="E86" s="2">
        <v>5</v>
      </c>
      <c r="F86" s="2">
        <v>2</v>
      </c>
      <c r="G86" s="2">
        <v>3</v>
      </c>
      <c r="H86" s="2">
        <v>4</v>
      </c>
      <c r="I86" s="13">
        <v>7</v>
      </c>
      <c r="J86" s="2" t="str">
        <f>IF('Pack BB2020'!$J$24="Español",V86,(IF('Pack BB2020'!$J$24="Deutsch",W86,(IF('Pack BB2020'!$J$24="Français",X86,U86)))))</f>
        <v>Esquivar, Humanoide bala, Escurridizo</v>
      </c>
      <c r="K86" s="1">
        <v>30000</v>
      </c>
      <c r="L86" s="1">
        <f t="shared" si="1"/>
        <v>30</v>
      </c>
      <c r="M86" s="2">
        <v>3</v>
      </c>
      <c r="N86" s="2">
        <v>0</v>
      </c>
      <c r="O86" s="1" t="s">
        <v>169</v>
      </c>
      <c r="P86" s="1" t="s">
        <v>170</v>
      </c>
      <c r="Q86" s="1" t="s">
        <v>169</v>
      </c>
      <c r="R86" s="1">
        <v>0</v>
      </c>
      <c r="S86" s="1">
        <v>0</v>
      </c>
      <c r="T86" s="15" t="str">
        <f t="shared" si="7"/>
        <v>PM</v>
      </c>
      <c r="U86" s="15" t="s">
        <v>368</v>
      </c>
      <c r="V86" s="15" t="s">
        <v>369</v>
      </c>
      <c r="W86" s="15" t="s">
        <v>370</v>
      </c>
      <c r="X86" s="15" t="s">
        <v>371</v>
      </c>
      <c r="Y86" s="15"/>
    </row>
    <row r="87" spans="1:25" ht="12.75" customHeight="1" x14ac:dyDescent="0.2">
      <c r="A87" s="23" t="s">
        <v>77</v>
      </c>
      <c r="B87" s="2" t="str">
        <f>A87&amp;COUNTIF($A$2:$A87,A87)</f>
        <v>Human7</v>
      </c>
      <c r="C87" s="2" t="s">
        <v>110</v>
      </c>
      <c r="D87" s="2" t="str">
        <f t="shared" si="0"/>
        <v>HumanOgre</v>
      </c>
      <c r="E87" s="2">
        <v>5</v>
      </c>
      <c r="F87" s="2">
        <v>5</v>
      </c>
      <c r="G87" s="2">
        <v>4</v>
      </c>
      <c r="H87" s="2">
        <v>5</v>
      </c>
      <c r="I87" s="2">
        <v>10</v>
      </c>
      <c r="J87" s="2" t="str">
        <f>IF('Pack BB2020'!$J$24="Español",V87,(IF('Pack BB2020'!$J$24="Deutsch",W87,(IF('Pack BB2020'!$J$24="Français",X87,U87)))))</f>
        <v>Estúpido, Solitario (4+), Golpe mortífero (+1), Cabeza dura, Lanzar Compañero</v>
      </c>
      <c r="K87" s="1">
        <v>140000</v>
      </c>
      <c r="L87" s="1">
        <f t="shared" si="1"/>
        <v>140</v>
      </c>
      <c r="M87" s="2">
        <v>1</v>
      </c>
      <c r="N87" s="2">
        <v>1</v>
      </c>
      <c r="O87" s="1" t="s">
        <v>169</v>
      </c>
      <c r="P87" s="1" t="s">
        <v>169</v>
      </c>
      <c r="Q87" s="1" t="s">
        <v>170</v>
      </c>
      <c r="R87" s="1">
        <v>0</v>
      </c>
      <c r="S87" s="1">
        <v>0</v>
      </c>
      <c r="T87" s="15" t="str">
        <f t="shared" si="7"/>
        <v>PM</v>
      </c>
      <c r="U87" s="15" t="s">
        <v>270</v>
      </c>
      <c r="V87" s="15" t="s">
        <v>271</v>
      </c>
      <c r="W87" s="15" t="s">
        <v>272</v>
      </c>
      <c r="X87" s="15" t="s">
        <v>273</v>
      </c>
      <c r="Y87" s="15"/>
    </row>
    <row r="88" spans="1:25" ht="12.75" customHeight="1" x14ac:dyDescent="0.2">
      <c r="A88" s="23" t="s">
        <v>82</v>
      </c>
      <c r="B88" s="2" t="str">
        <f>A88&amp;COUNTIF($A$2:$A88,A88)</f>
        <v>Imperial Nobility1</v>
      </c>
      <c r="C88" s="2" t="str">
        <f>""</f>
        <v/>
      </c>
      <c r="D88" s="2" t="str">
        <f t="shared" si="0"/>
        <v>Imperial Nobility</v>
      </c>
      <c r="E88" s="2">
        <v>0</v>
      </c>
      <c r="F88" s="2">
        <v>0</v>
      </c>
      <c r="G88" s="2">
        <v>0</v>
      </c>
      <c r="H88" s="2">
        <v>0</v>
      </c>
      <c r="I88" s="2">
        <v>0</v>
      </c>
      <c r="J88" s="2">
        <f>IF('Pack BB2020'!$J$24="Español",V88,(IF('Pack BB2020'!$J$24="Deutsch",W88,(IF('Pack BB2020'!$J$24="Français",X88,U88)))))</f>
        <v>0</v>
      </c>
      <c r="K88" s="1">
        <v>0</v>
      </c>
      <c r="L88" s="1">
        <f t="shared" si="1"/>
        <v>0</v>
      </c>
      <c r="M88" s="1">
        <v>0</v>
      </c>
      <c r="N88" s="1">
        <v>0</v>
      </c>
      <c r="O88" s="1"/>
      <c r="P88" s="1"/>
      <c r="Q88" s="1"/>
      <c r="R88" s="1"/>
      <c r="S88" s="1"/>
      <c r="T88" s="15" t="str">
        <f t="shared" si="7"/>
        <v/>
      </c>
      <c r="U88" s="15">
        <v>0</v>
      </c>
      <c r="V88" s="15">
        <v>0</v>
      </c>
      <c r="W88" s="15">
        <v>0</v>
      </c>
      <c r="X88" s="15">
        <v>0</v>
      </c>
      <c r="Y88" s="15">
        <v>0</v>
      </c>
    </row>
    <row r="89" spans="1:25" ht="12.75" customHeight="1" x14ac:dyDescent="0.2">
      <c r="A89" s="23" t="s">
        <v>82</v>
      </c>
      <c r="B89" s="2" t="str">
        <f>A89&amp;COUNTIF($A$2:$A89,A89)</f>
        <v>Imperial Nobility2</v>
      </c>
      <c r="C89" s="2" t="s">
        <v>319</v>
      </c>
      <c r="D89" s="2" t="str">
        <f t="shared" si="0"/>
        <v>Imperial NobilityLineman</v>
      </c>
      <c r="E89" s="2">
        <v>6</v>
      </c>
      <c r="F89" s="2">
        <v>3</v>
      </c>
      <c r="G89" s="2">
        <v>4</v>
      </c>
      <c r="H89" s="2">
        <v>4</v>
      </c>
      <c r="I89" s="2">
        <v>8</v>
      </c>
      <c r="J89" s="2" t="str">
        <f>IF('Pack BB2020'!$J$24="Español",V89,(IF('Pack BB2020'!$J$24="Deutsch",W89,(IF('Pack BB2020'!$J$24="Français",X89,U89)))))</f>
        <v>Zafarse</v>
      </c>
      <c r="K89" s="1">
        <v>45000</v>
      </c>
      <c r="L89" s="1">
        <f t="shared" si="1"/>
        <v>45</v>
      </c>
      <c r="M89" s="2">
        <v>16</v>
      </c>
      <c r="N89" s="2">
        <v>0</v>
      </c>
      <c r="O89" s="1" t="s">
        <v>170</v>
      </c>
      <c r="P89" s="1" t="s">
        <v>169</v>
      </c>
      <c r="Q89" s="1" t="s">
        <v>169</v>
      </c>
      <c r="R89" s="1">
        <v>0</v>
      </c>
      <c r="S89" s="2">
        <v>0</v>
      </c>
      <c r="T89" s="15" t="str">
        <f t="shared" si="7"/>
        <v>PM</v>
      </c>
      <c r="U89" s="15" t="s">
        <v>434</v>
      </c>
      <c r="V89" s="15" t="s">
        <v>435</v>
      </c>
      <c r="W89" s="15" t="s">
        <v>436</v>
      </c>
      <c r="X89" s="15" t="s">
        <v>437</v>
      </c>
      <c r="Y89" s="15"/>
    </row>
    <row r="90" spans="1:25" ht="12.75" customHeight="1" x14ac:dyDescent="0.2">
      <c r="A90" s="23" t="s">
        <v>82</v>
      </c>
      <c r="B90" s="2" t="str">
        <f>A90&amp;COUNTIF($A$2:$A90,A90)</f>
        <v>Imperial Nobility3</v>
      </c>
      <c r="C90" s="2" t="s">
        <v>241</v>
      </c>
      <c r="D90" s="2" t="str">
        <f t="shared" si="0"/>
        <v>Imperial NobilityThrower</v>
      </c>
      <c r="E90" s="2">
        <v>6</v>
      </c>
      <c r="F90" s="2">
        <v>3</v>
      </c>
      <c r="G90" s="2">
        <v>3</v>
      </c>
      <c r="H90" s="2">
        <v>3</v>
      </c>
      <c r="I90" s="2">
        <v>9</v>
      </c>
      <c r="J90" s="2" t="str">
        <f>IF('Pack BB2020'!$J$24="Español",V90,(IF('Pack BB2020'!$J$24="Deutsch",W90,(IF('Pack BB2020'!$J$24="Français",X90,U90)))))</f>
        <v>Pasar, Pase a la carrera</v>
      </c>
      <c r="K90" s="1">
        <v>75000</v>
      </c>
      <c r="L90" s="1">
        <f t="shared" si="1"/>
        <v>75</v>
      </c>
      <c r="M90" s="2">
        <v>2</v>
      </c>
      <c r="N90" s="2">
        <v>0</v>
      </c>
      <c r="O90" s="1" t="s">
        <v>170</v>
      </c>
      <c r="P90" s="1" t="s">
        <v>169</v>
      </c>
      <c r="Q90" s="1" t="s">
        <v>169</v>
      </c>
      <c r="R90" s="1" t="s">
        <v>170</v>
      </c>
      <c r="S90" s="2">
        <v>0</v>
      </c>
      <c r="T90" s="15" t="str">
        <f t="shared" si="7"/>
        <v>M</v>
      </c>
      <c r="U90" s="15" t="s">
        <v>438</v>
      </c>
      <c r="V90" s="15" t="s">
        <v>439</v>
      </c>
      <c r="W90" s="15" t="s">
        <v>440</v>
      </c>
      <c r="X90" s="15" t="s">
        <v>441</v>
      </c>
      <c r="Y90" s="15"/>
    </row>
    <row r="91" spans="1:25" ht="12.75" customHeight="1" x14ac:dyDescent="0.2">
      <c r="A91" s="23" t="s">
        <v>82</v>
      </c>
      <c r="B91" s="2" t="str">
        <f>A91&amp;COUNTIF($A$2:$A91,A91)</f>
        <v>Imperial Nobility4</v>
      </c>
      <c r="C91" s="2" t="s">
        <v>243</v>
      </c>
      <c r="D91" s="2" t="str">
        <f t="shared" si="0"/>
        <v>Imperial NobilityBlitzer</v>
      </c>
      <c r="E91" s="2">
        <v>7</v>
      </c>
      <c r="F91" s="2">
        <v>3</v>
      </c>
      <c r="G91" s="2">
        <v>3</v>
      </c>
      <c r="H91" s="2">
        <v>4</v>
      </c>
      <c r="I91" s="2">
        <v>9</v>
      </c>
      <c r="J91" s="2" t="str">
        <f>IF('Pack BB2020'!$J$24="Español",V91,(IF('Pack BB2020'!$J$24="Deutsch",W91,(IF('Pack BB2020'!$J$24="Français",X91,U91)))))</f>
        <v>Placar, Atrapar</v>
      </c>
      <c r="K91" s="1">
        <v>105000</v>
      </c>
      <c r="L91" s="1">
        <f t="shared" si="1"/>
        <v>105</v>
      </c>
      <c r="M91" s="2">
        <v>2</v>
      </c>
      <c r="N91" s="2">
        <v>0</v>
      </c>
      <c r="O91" s="1" t="s">
        <v>170</v>
      </c>
      <c r="P91" s="1" t="s">
        <v>170</v>
      </c>
      <c r="Q91" s="1" t="s">
        <v>169</v>
      </c>
      <c r="R91" s="1" t="s">
        <v>169</v>
      </c>
      <c r="S91" s="2">
        <v>0</v>
      </c>
      <c r="T91" s="15" t="str">
        <f t="shared" si="7"/>
        <v>M</v>
      </c>
      <c r="U91" s="15" t="s">
        <v>442</v>
      </c>
      <c r="V91" s="15" t="s">
        <v>443</v>
      </c>
      <c r="W91" s="15" t="s">
        <v>444</v>
      </c>
      <c r="X91" s="15" t="s">
        <v>445</v>
      </c>
      <c r="Y91" s="15"/>
    </row>
    <row r="92" spans="1:25" ht="12.75" customHeight="1" x14ac:dyDescent="0.2">
      <c r="A92" s="23" t="s">
        <v>82</v>
      </c>
      <c r="B92" s="2" t="str">
        <f>A92&amp;COUNTIF($A$2:$A92,A92)</f>
        <v>Imperial Nobility5</v>
      </c>
      <c r="C92" s="2" t="s">
        <v>446</v>
      </c>
      <c r="D92" s="2" t="str">
        <f t="shared" si="0"/>
        <v>Imperial NobilityBodyguard</v>
      </c>
      <c r="E92" s="2">
        <v>6</v>
      </c>
      <c r="F92" s="2">
        <v>3</v>
      </c>
      <c r="G92" s="2">
        <v>3</v>
      </c>
      <c r="H92" s="2">
        <v>5</v>
      </c>
      <c r="I92" s="2">
        <v>9</v>
      </c>
      <c r="J92" s="2" t="str">
        <f>IF('Pack BB2020'!$J$24="Español",V92,(IF('Pack BB2020'!$J$24="Deutsch",W92,(IF('Pack BB2020'!$J$24="Français",X92,U92)))))</f>
        <v>Mantenerse firme, Forcejear</v>
      </c>
      <c r="K92" s="1">
        <v>90000</v>
      </c>
      <c r="L92" s="1">
        <f t="shared" si="1"/>
        <v>90</v>
      </c>
      <c r="M92" s="2">
        <v>4</v>
      </c>
      <c r="N92" s="2">
        <v>0</v>
      </c>
      <c r="O92" s="1" t="s">
        <v>170</v>
      </c>
      <c r="P92" s="1" t="s">
        <v>169</v>
      </c>
      <c r="Q92" s="1" t="s">
        <v>170</v>
      </c>
      <c r="R92" s="1">
        <v>0</v>
      </c>
      <c r="S92" s="2">
        <v>0</v>
      </c>
      <c r="T92" s="15" t="str">
        <f t="shared" si="7"/>
        <v>PM</v>
      </c>
      <c r="U92" s="15" t="s">
        <v>447</v>
      </c>
      <c r="V92" s="15" t="s">
        <v>448</v>
      </c>
      <c r="W92" s="15" t="s">
        <v>449</v>
      </c>
      <c r="X92" s="15" t="s">
        <v>450</v>
      </c>
      <c r="Y92" s="15"/>
    </row>
    <row r="93" spans="1:25" ht="12.75" customHeight="1" x14ac:dyDescent="0.2">
      <c r="A93" s="23" t="s">
        <v>82</v>
      </c>
      <c r="B93" s="2" t="str">
        <f>A93&amp;COUNTIF($A$2:$A93,A93)</f>
        <v>Imperial Nobility6</v>
      </c>
      <c r="C93" s="2" t="s">
        <v>110</v>
      </c>
      <c r="D93" s="2" t="str">
        <f t="shared" si="0"/>
        <v>Imperial NobilityOgre</v>
      </c>
      <c r="E93" s="2">
        <v>5</v>
      </c>
      <c r="F93" s="2">
        <v>5</v>
      </c>
      <c r="G93" s="2">
        <v>4</v>
      </c>
      <c r="H93" s="2">
        <v>5</v>
      </c>
      <c r="I93" s="2">
        <v>10</v>
      </c>
      <c r="J93" s="2" t="str">
        <f>IF('Pack BB2020'!$J$24="Español",V93,(IF('Pack BB2020'!$J$24="Deutsch",W93,(IF('Pack BB2020'!$J$24="Français",X93,U93)))))</f>
        <v>Estúpido, Solitario (4+), Golpe mortífero (+1), Cabeza dura, Lanzar Compañero</v>
      </c>
      <c r="K93" s="1">
        <v>140000</v>
      </c>
      <c r="L93" s="1">
        <f t="shared" si="1"/>
        <v>140</v>
      </c>
      <c r="M93" s="2">
        <v>1</v>
      </c>
      <c r="N93" s="2">
        <v>1</v>
      </c>
      <c r="O93" s="1" t="s">
        <v>169</v>
      </c>
      <c r="P93" s="1" t="s">
        <v>169</v>
      </c>
      <c r="Q93" s="1" t="s">
        <v>170</v>
      </c>
      <c r="R93" s="1">
        <v>0</v>
      </c>
      <c r="S93" s="2">
        <v>0</v>
      </c>
      <c r="T93" s="15" t="str">
        <f t="shared" si="7"/>
        <v>PM</v>
      </c>
      <c r="U93" s="15" t="s">
        <v>270</v>
      </c>
      <c r="V93" s="15" t="s">
        <v>271</v>
      </c>
      <c r="W93" s="15" t="s">
        <v>272</v>
      </c>
      <c r="X93" s="15" t="s">
        <v>273</v>
      </c>
      <c r="Y93" s="15"/>
    </row>
    <row r="94" spans="1:25" ht="12.75" customHeight="1" x14ac:dyDescent="0.2">
      <c r="A94" s="23" t="s">
        <v>87</v>
      </c>
      <c r="B94" s="9" t="str">
        <f>A94&amp;COUNTIF($A$2:$A94,A94)</f>
        <v>Khorne1</v>
      </c>
      <c r="C94" s="9"/>
      <c r="D94" s="9" t="str">
        <f t="shared" si="0"/>
        <v>Khorne</v>
      </c>
      <c r="E94" s="9">
        <v>0</v>
      </c>
      <c r="F94" s="9">
        <v>0</v>
      </c>
      <c r="G94" s="9">
        <v>0</v>
      </c>
      <c r="H94" s="9">
        <v>0</v>
      </c>
      <c r="I94" s="9">
        <v>0</v>
      </c>
      <c r="J94" s="2">
        <f>IF('Pack BB2020'!$J$24="Español",V94,(IF('Pack BB2020'!$J$24="Deutsch",W94,(IF('Pack BB2020'!$J$24="Français",X94,U94)))))</f>
        <v>0</v>
      </c>
      <c r="K94" s="16">
        <v>0</v>
      </c>
      <c r="L94" s="1">
        <f t="shared" ref="L94:L142" si="10">K94/1000</f>
        <v>0</v>
      </c>
      <c r="M94" s="16">
        <v>0</v>
      </c>
      <c r="N94" s="16">
        <v>0</v>
      </c>
      <c r="O94" s="17"/>
      <c r="P94" s="17"/>
      <c r="Q94" s="17"/>
      <c r="R94" s="17"/>
      <c r="S94" s="17"/>
      <c r="T94" s="15" t="str">
        <f t="shared" si="7"/>
        <v/>
      </c>
      <c r="U94" s="15"/>
      <c r="V94" s="15"/>
      <c r="W94" s="15"/>
      <c r="X94" s="15"/>
      <c r="Y94" s="8"/>
    </row>
    <row r="95" spans="1:25" ht="12.75" customHeight="1" x14ac:dyDescent="0.2">
      <c r="A95" s="23" t="s">
        <v>87</v>
      </c>
      <c r="B95" s="9" t="str">
        <f>A95&amp;COUNTIF($A$2:$A95,A95)</f>
        <v>Khorne2</v>
      </c>
      <c r="C95" s="9" t="s">
        <v>451</v>
      </c>
      <c r="D95" s="9" t="str">
        <f t="shared" si="0"/>
        <v>KhorneBloodborn Marauder Lineman</v>
      </c>
      <c r="E95" s="9">
        <v>6</v>
      </c>
      <c r="F95" s="9">
        <v>3</v>
      </c>
      <c r="G95" s="9">
        <v>3</v>
      </c>
      <c r="H95" s="9">
        <v>4</v>
      </c>
      <c r="I95" s="9">
        <v>8</v>
      </c>
      <c r="J95" s="2" t="str">
        <f>IF('Pack BB2020'!$J$24="Español",V95,(IF('Pack BB2020'!$J$24="Deutsch",W95,(IF('Pack BB2020'!$J$24="Français",X95,U95)))))</f>
        <v>Furia</v>
      </c>
      <c r="K95" s="16">
        <v>50000</v>
      </c>
      <c r="L95" s="1">
        <f t="shared" si="10"/>
        <v>50</v>
      </c>
      <c r="M95" s="16">
        <v>16</v>
      </c>
      <c r="N95" s="16">
        <v>0</v>
      </c>
      <c r="O95" s="16" t="s">
        <v>170</v>
      </c>
      <c r="P95" s="16" t="s">
        <v>169</v>
      </c>
      <c r="Q95" s="16" t="s">
        <v>169</v>
      </c>
      <c r="R95" s="16">
        <v>0</v>
      </c>
      <c r="S95" s="16" t="s">
        <v>170</v>
      </c>
      <c r="T95" s="15" t="str">
        <f t="shared" si="7"/>
        <v>P</v>
      </c>
      <c r="U95" s="15" t="s">
        <v>315</v>
      </c>
      <c r="V95" s="15" t="s">
        <v>316</v>
      </c>
      <c r="W95" s="15" t="s">
        <v>317</v>
      </c>
      <c r="X95" s="15" t="s">
        <v>318</v>
      </c>
      <c r="Y95" s="8"/>
    </row>
    <row r="96" spans="1:25" ht="12.75" customHeight="1" x14ac:dyDescent="0.2">
      <c r="A96" s="23" t="s">
        <v>87</v>
      </c>
      <c r="B96" s="9" t="str">
        <f>A96&amp;COUNTIF($A$2:$A96,A96)</f>
        <v>Khorne3</v>
      </c>
      <c r="C96" s="9" t="s">
        <v>452</v>
      </c>
      <c r="D96" s="9" t="str">
        <f t="shared" si="0"/>
        <v>KhorneKhorngors</v>
      </c>
      <c r="E96" s="9">
        <v>6</v>
      </c>
      <c r="F96" s="9">
        <v>3</v>
      </c>
      <c r="G96" s="9">
        <v>3</v>
      </c>
      <c r="H96" s="9">
        <v>4</v>
      </c>
      <c r="I96" s="9">
        <v>9</v>
      </c>
      <c r="J96" s="2" t="str">
        <f>IF('Pack BB2020'!$J$24="Español",V96,(IF('Pack BB2020'!$J$24="Deutsch",W96,(IF('Pack BB2020'!$J$24="Français",X96,U96)))))</f>
        <v>Cuernos, Imparable</v>
      </c>
      <c r="K96" s="16">
        <v>70000</v>
      </c>
      <c r="L96" s="1">
        <f t="shared" si="10"/>
        <v>70</v>
      </c>
      <c r="M96" s="16">
        <v>4</v>
      </c>
      <c r="N96" s="16">
        <v>0</v>
      </c>
      <c r="O96" s="16" t="s">
        <v>170</v>
      </c>
      <c r="P96" s="16" t="s">
        <v>169</v>
      </c>
      <c r="Q96" s="16" t="s">
        <v>170</v>
      </c>
      <c r="R96" s="16" t="s">
        <v>169</v>
      </c>
      <c r="S96" s="16" t="s">
        <v>170</v>
      </c>
      <c r="T96" s="15" t="str">
        <f t="shared" si="7"/>
        <v>FULL</v>
      </c>
      <c r="U96" s="15" t="s">
        <v>453</v>
      </c>
      <c r="V96" s="15" t="s">
        <v>454</v>
      </c>
      <c r="W96" s="15" t="s">
        <v>455</v>
      </c>
      <c r="X96" s="15" t="s">
        <v>456</v>
      </c>
      <c r="Y96" s="8"/>
    </row>
    <row r="97" spans="1:25" ht="12.75" customHeight="1" x14ac:dyDescent="0.2">
      <c r="A97" s="23" t="s">
        <v>87</v>
      </c>
      <c r="B97" s="9" t="str">
        <f>A97&amp;COUNTIF($A$2:$A97,A97)</f>
        <v>Khorne4</v>
      </c>
      <c r="C97" s="9" t="s">
        <v>457</v>
      </c>
      <c r="D97" s="9" t="str">
        <f t="shared" si="0"/>
        <v>KhorneBloodseekers</v>
      </c>
      <c r="E97" s="9">
        <v>5</v>
      </c>
      <c r="F97" s="9">
        <v>4</v>
      </c>
      <c r="G97" s="9">
        <v>4</v>
      </c>
      <c r="H97" s="9">
        <v>6</v>
      </c>
      <c r="I97" s="9">
        <v>10</v>
      </c>
      <c r="J97" s="2" t="str">
        <f>IF('Pack BB2020'!$J$24="Español",V97,(IF('Pack BB2020'!$J$24="Deutsch",W97,(IF('Pack BB2020'!$J$24="Français",X97,U97)))))</f>
        <v>Furia</v>
      </c>
      <c r="K97" s="16">
        <v>110000</v>
      </c>
      <c r="L97" s="1">
        <f t="shared" si="10"/>
        <v>110</v>
      </c>
      <c r="M97" s="16">
        <v>4</v>
      </c>
      <c r="N97" s="16">
        <v>0</v>
      </c>
      <c r="O97" s="16" t="s">
        <v>170</v>
      </c>
      <c r="P97" s="16" t="s">
        <v>169</v>
      </c>
      <c r="Q97" s="16" t="s">
        <v>170</v>
      </c>
      <c r="R97" s="16">
        <v>0</v>
      </c>
      <c r="S97" s="16" t="s">
        <v>170</v>
      </c>
      <c r="T97" s="15" t="str">
        <f t="shared" si="7"/>
        <v>P</v>
      </c>
      <c r="U97" s="15" t="s">
        <v>315</v>
      </c>
      <c r="V97" s="15" t="s">
        <v>316</v>
      </c>
      <c r="W97" s="15" t="s">
        <v>317</v>
      </c>
      <c r="X97" s="15" t="s">
        <v>318</v>
      </c>
      <c r="Y97" s="8"/>
    </row>
    <row r="98" spans="1:25" ht="12.75" customHeight="1" x14ac:dyDescent="0.2">
      <c r="A98" s="23" t="s">
        <v>87</v>
      </c>
      <c r="B98" s="9" t="str">
        <f>A98&amp;COUNTIF($A$2:$A98,A98)</f>
        <v>Khorne5</v>
      </c>
      <c r="C98" s="9" t="s">
        <v>458</v>
      </c>
      <c r="D98" s="9" t="str">
        <f t="shared" si="0"/>
        <v>KhorneBloodspawn</v>
      </c>
      <c r="E98" s="9">
        <v>5</v>
      </c>
      <c r="F98" s="9">
        <v>5</v>
      </c>
      <c r="G98" s="9">
        <v>4</v>
      </c>
      <c r="H98" s="9">
        <v>0</v>
      </c>
      <c r="I98" s="9">
        <v>9</v>
      </c>
      <c r="J98" s="2" t="str">
        <f>IF('Pack BB2020'!$J$24="Español",V98,(IF('Pack BB2020'!$J$24="Deutsch",W98,(IF('Pack BB2020'!$J$24="Français",X98,U98)))))</f>
        <v>Garras, Furia, Solitario (4+), Golpe Mortífero (+1), Ira descontrolada</v>
      </c>
      <c r="K98" s="16">
        <v>160000</v>
      </c>
      <c r="L98" s="1">
        <f t="shared" si="10"/>
        <v>160</v>
      </c>
      <c r="M98" s="16">
        <v>1</v>
      </c>
      <c r="N98" s="16">
        <v>1</v>
      </c>
      <c r="O98" s="16" t="s">
        <v>169</v>
      </c>
      <c r="P98" s="16" t="s">
        <v>169</v>
      </c>
      <c r="Q98" s="16" t="s">
        <v>170</v>
      </c>
      <c r="R98" s="16">
        <v>0</v>
      </c>
      <c r="S98" s="16" t="s">
        <v>170</v>
      </c>
      <c r="T98" s="15" t="str">
        <f t="shared" si="7"/>
        <v>P</v>
      </c>
      <c r="U98" s="15" t="s">
        <v>459</v>
      </c>
      <c r="V98" s="15" t="s">
        <v>460</v>
      </c>
      <c r="W98" s="15" t="s">
        <v>461</v>
      </c>
      <c r="X98" s="15" t="s">
        <v>462</v>
      </c>
      <c r="Y98" s="8"/>
    </row>
    <row r="99" spans="1:25" ht="12.75" customHeight="1" x14ac:dyDescent="0.2">
      <c r="A99" s="23" t="s">
        <v>92</v>
      </c>
      <c r="B99" s="2" t="str">
        <f>A99&amp;COUNTIF($A$2:$A99,A99)</f>
        <v>Lizardman1</v>
      </c>
      <c r="C99" s="2" t="str">
        <f>""</f>
        <v/>
      </c>
      <c r="D99" s="2" t="str">
        <f t="shared" si="0"/>
        <v>Lizardman</v>
      </c>
      <c r="E99" s="2">
        <v>0</v>
      </c>
      <c r="F99" s="2">
        <v>0</v>
      </c>
      <c r="G99" s="2">
        <v>0</v>
      </c>
      <c r="H99" s="2">
        <v>0</v>
      </c>
      <c r="I99" s="2">
        <v>0</v>
      </c>
      <c r="J99" s="2">
        <f>IF('Pack BB2020'!$J$24="Español",V99,(IF('Pack BB2020'!$J$24="Deutsch",W99,(IF('Pack BB2020'!$J$24="Français",X99,U99)))))</f>
        <v>0</v>
      </c>
      <c r="K99" s="1">
        <v>0</v>
      </c>
      <c r="L99" s="1">
        <f t="shared" si="10"/>
        <v>0</v>
      </c>
      <c r="M99" s="1">
        <v>0</v>
      </c>
      <c r="N99" s="1">
        <v>0</v>
      </c>
      <c r="O99" s="1"/>
      <c r="P99" s="1"/>
      <c r="Q99" s="1"/>
      <c r="R99" s="1"/>
      <c r="S99" s="1"/>
      <c r="T99" s="15" t="str">
        <f t="shared" si="7"/>
        <v/>
      </c>
      <c r="U99" s="15">
        <v>0</v>
      </c>
      <c r="V99" s="15">
        <v>0</v>
      </c>
      <c r="W99" s="15">
        <v>0</v>
      </c>
      <c r="X99" s="15">
        <v>0</v>
      </c>
      <c r="Y99" s="15">
        <v>0</v>
      </c>
    </row>
    <row r="100" spans="1:25" ht="12.75" customHeight="1" x14ac:dyDescent="0.2">
      <c r="A100" s="23" t="s">
        <v>92</v>
      </c>
      <c r="B100" s="2" t="str">
        <f>A100&amp;COUNTIF($A$2:$A100,A100)</f>
        <v>Lizardman2</v>
      </c>
      <c r="C100" s="2" t="s">
        <v>463</v>
      </c>
      <c r="D100" s="2" t="str">
        <f t="shared" si="0"/>
        <v>LizardmanSkink</v>
      </c>
      <c r="E100" s="2">
        <v>8</v>
      </c>
      <c r="F100" s="2">
        <v>2</v>
      </c>
      <c r="G100" s="2">
        <v>3</v>
      </c>
      <c r="H100" s="2">
        <v>4</v>
      </c>
      <c r="I100" s="2">
        <v>8</v>
      </c>
      <c r="J100" s="2" t="str">
        <f>IF('Pack BB2020'!$J$24="Español",V100,(IF('Pack BB2020'!$J$24="Deutsch",W100,(IF('Pack BB2020'!$J$24="Français",X100,U100)))))</f>
        <v>Esquivar, Escurridizo</v>
      </c>
      <c r="K100" s="1">
        <v>60000</v>
      </c>
      <c r="L100" s="1">
        <f t="shared" si="10"/>
        <v>60</v>
      </c>
      <c r="M100" s="1">
        <v>16</v>
      </c>
      <c r="N100" s="1">
        <v>0</v>
      </c>
      <c r="O100" s="1" t="s">
        <v>169</v>
      </c>
      <c r="P100" s="1" t="s">
        <v>170</v>
      </c>
      <c r="Q100" s="1" t="s">
        <v>169</v>
      </c>
      <c r="R100" s="1" t="s">
        <v>169</v>
      </c>
      <c r="S100" s="1">
        <v>0</v>
      </c>
      <c r="T100" s="15" t="str">
        <f t="shared" si="7"/>
        <v>M</v>
      </c>
      <c r="U100" s="15" t="s">
        <v>464</v>
      </c>
      <c r="V100" s="15" t="s">
        <v>465</v>
      </c>
      <c r="W100" s="15" t="s">
        <v>466</v>
      </c>
      <c r="X100" s="15" t="s">
        <v>467</v>
      </c>
      <c r="Y100" s="15"/>
    </row>
    <row r="101" spans="1:25" ht="12.75" customHeight="1" x14ac:dyDescent="0.2">
      <c r="A101" s="23" t="s">
        <v>92</v>
      </c>
      <c r="B101" s="2" t="str">
        <f>A101&amp;COUNTIF($A$2:$A101,A101)</f>
        <v>Lizardman3</v>
      </c>
      <c r="C101" s="2" t="s">
        <v>468</v>
      </c>
      <c r="D101" s="2" t="str">
        <f t="shared" si="0"/>
        <v>LizardmanChameleon Skink</v>
      </c>
      <c r="E101" s="2">
        <v>7</v>
      </c>
      <c r="F101" s="2">
        <v>2</v>
      </c>
      <c r="G101" s="2">
        <v>3</v>
      </c>
      <c r="H101" s="2">
        <v>3</v>
      </c>
      <c r="I101" s="2">
        <v>8</v>
      </c>
      <c r="J101" s="2" t="str">
        <f>IF('Pack BB2020'!$J$24="Español",V101,(IF('Pack BB2020'!$J$24="Deutsch",W101,(IF('Pack BB2020'!$J$24="Français",X101,U101)))))</f>
        <v>Esquivar, Atento al balón, Perseguir, Escurridizo</v>
      </c>
      <c r="K101" s="1">
        <v>70000</v>
      </c>
      <c r="L101" s="1">
        <f t="shared" si="10"/>
        <v>70</v>
      </c>
      <c r="M101" s="2">
        <v>2</v>
      </c>
      <c r="N101" s="2">
        <v>0</v>
      </c>
      <c r="O101" s="1" t="s">
        <v>169</v>
      </c>
      <c r="P101" s="1" t="s">
        <v>170</v>
      </c>
      <c r="Q101" s="1" t="s">
        <v>169</v>
      </c>
      <c r="R101" s="1" t="s">
        <v>169</v>
      </c>
      <c r="S101" s="1">
        <v>0</v>
      </c>
      <c r="T101" s="15" t="str">
        <f t="shared" si="7"/>
        <v>M</v>
      </c>
      <c r="U101" s="15" t="s">
        <v>469</v>
      </c>
      <c r="V101" s="15" t="s">
        <v>470</v>
      </c>
      <c r="W101" s="15" t="s">
        <v>471</v>
      </c>
      <c r="X101" s="15" t="s">
        <v>472</v>
      </c>
      <c r="Y101" s="15"/>
    </row>
    <row r="102" spans="1:25" ht="12.75" customHeight="1" x14ac:dyDescent="0.2">
      <c r="A102" s="23" t="s">
        <v>92</v>
      </c>
      <c r="B102" s="2" t="str">
        <f>A102&amp;COUNTIF($A$2:$A102,A102)</f>
        <v>Lizardman4</v>
      </c>
      <c r="C102" s="2" t="s">
        <v>473</v>
      </c>
      <c r="D102" s="2" t="str">
        <f t="shared" si="0"/>
        <v>LizardmanSaurus</v>
      </c>
      <c r="E102" s="2">
        <v>6</v>
      </c>
      <c r="F102" s="2">
        <v>4</v>
      </c>
      <c r="G102" s="2">
        <v>5</v>
      </c>
      <c r="H102" s="2">
        <v>6</v>
      </c>
      <c r="I102" s="2">
        <v>10</v>
      </c>
      <c r="J102" s="2" t="str">
        <f>IF('Pack BB2020'!$J$24="Español",V102,(IF('Pack BB2020'!$J$24="Deutsch",W102,(IF('Pack BB2020'!$J$24="Français",X102,U102)))))</f>
        <v/>
      </c>
      <c r="K102" s="1">
        <v>85000</v>
      </c>
      <c r="L102" s="1">
        <f t="shared" si="10"/>
        <v>85</v>
      </c>
      <c r="M102" s="2">
        <v>6</v>
      </c>
      <c r="N102" s="2">
        <v>0</v>
      </c>
      <c r="O102" s="1" t="s">
        <v>170</v>
      </c>
      <c r="P102" s="1" t="s">
        <v>169</v>
      </c>
      <c r="Q102" s="1" t="s">
        <v>170</v>
      </c>
      <c r="R102" s="1">
        <v>0</v>
      </c>
      <c r="S102" s="1">
        <v>0</v>
      </c>
      <c r="T102" s="15" t="str">
        <f t="shared" si="7"/>
        <v>PM</v>
      </c>
      <c r="U102" s="15" t="str">
        <f t="shared" ref="U102:Y102" si="11">""</f>
        <v/>
      </c>
      <c r="V102" s="15" t="str">
        <f t="shared" si="11"/>
        <v/>
      </c>
      <c r="W102" s="15" t="str">
        <f t="shared" si="11"/>
        <v/>
      </c>
      <c r="X102" s="15" t="str">
        <f t="shared" si="11"/>
        <v/>
      </c>
      <c r="Y102" s="15" t="str">
        <f t="shared" si="11"/>
        <v/>
      </c>
    </row>
    <row r="103" spans="1:25" ht="12.75" customHeight="1" x14ac:dyDescent="0.2">
      <c r="A103" s="23" t="s">
        <v>92</v>
      </c>
      <c r="B103" s="2" t="str">
        <f>A103&amp;COUNTIF($A$2:$A103,A103)</f>
        <v>Lizardman5</v>
      </c>
      <c r="C103" s="2" t="s">
        <v>474</v>
      </c>
      <c r="D103" s="2" t="str">
        <f t="shared" si="0"/>
        <v>LizardmanKroxigor</v>
      </c>
      <c r="E103" s="2">
        <v>6</v>
      </c>
      <c r="F103" s="2">
        <v>5</v>
      </c>
      <c r="G103" s="2">
        <v>5</v>
      </c>
      <c r="H103" s="2">
        <v>0</v>
      </c>
      <c r="I103" s="2">
        <v>10</v>
      </c>
      <c r="J103" s="2" t="str">
        <f>IF('Pack BB2020'!$J$24="Español",V103,(IF('Pack BB2020'!$J$24="Deutsch",W103,(IF('Pack BB2020'!$J$24="Français",X103,U103)))))</f>
        <v>Estúpido, Solitario (4+), Golpe mortífero (+1), Cola prensil, Cabeza dura</v>
      </c>
      <c r="K103" s="1">
        <v>140000</v>
      </c>
      <c r="L103" s="1">
        <f t="shared" si="10"/>
        <v>140</v>
      </c>
      <c r="M103" s="2">
        <v>1</v>
      </c>
      <c r="N103" s="2">
        <v>1</v>
      </c>
      <c r="O103" s="1" t="s">
        <v>169</v>
      </c>
      <c r="P103" s="1" t="s">
        <v>169</v>
      </c>
      <c r="Q103" s="1" t="s">
        <v>170</v>
      </c>
      <c r="R103" s="12">
        <v>0</v>
      </c>
      <c r="S103" s="1">
        <v>0</v>
      </c>
      <c r="T103" s="15" t="str">
        <f t="shared" si="7"/>
        <v>PM</v>
      </c>
      <c r="U103" s="15" t="s">
        <v>475</v>
      </c>
      <c r="V103" s="15" t="s">
        <v>476</v>
      </c>
      <c r="W103" s="15" t="s">
        <v>477</v>
      </c>
      <c r="X103" s="15" t="s">
        <v>478</v>
      </c>
      <c r="Y103" s="15"/>
    </row>
    <row r="104" spans="1:25" ht="12.75" customHeight="1" x14ac:dyDescent="0.2">
      <c r="A104" s="23" t="s">
        <v>96</v>
      </c>
      <c r="B104" s="2" t="str">
        <f>A104&amp;COUNTIF($A$2:$A104,A104)</f>
        <v>Necromantic1</v>
      </c>
      <c r="C104" s="2" t="str">
        <f>""</f>
        <v/>
      </c>
      <c r="D104" s="2" t="str">
        <f t="shared" si="0"/>
        <v>Necromantic</v>
      </c>
      <c r="E104" s="2">
        <v>0</v>
      </c>
      <c r="F104" s="2">
        <v>0</v>
      </c>
      <c r="G104" s="2">
        <v>0</v>
      </c>
      <c r="H104" s="2">
        <v>0</v>
      </c>
      <c r="I104" s="2">
        <v>0</v>
      </c>
      <c r="J104" s="2">
        <f>IF('Pack BB2020'!$J$24="Español",V104,(IF('Pack BB2020'!$J$24="Deutsch",W104,(IF('Pack BB2020'!$J$24="Français",X104,U104)))))</f>
        <v>0</v>
      </c>
      <c r="K104" s="1">
        <v>0</v>
      </c>
      <c r="L104" s="1">
        <f t="shared" si="10"/>
        <v>0</v>
      </c>
      <c r="M104" s="1">
        <v>0</v>
      </c>
      <c r="N104" s="1">
        <v>0</v>
      </c>
      <c r="O104" s="1"/>
      <c r="P104" s="1"/>
      <c r="Q104" s="1"/>
      <c r="R104" s="1"/>
      <c r="S104" s="1"/>
      <c r="T104" s="15" t="str">
        <f t="shared" si="7"/>
        <v/>
      </c>
      <c r="U104" s="15">
        <v>0</v>
      </c>
      <c r="V104" s="15">
        <v>0</v>
      </c>
      <c r="W104" s="15">
        <v>0</v>
      </c>
      <c r="X104" s="15">
        <v>0</v>
      </c>
      <c r="Y104" s="15">
        <v>0</v>
      </c>
    </row>
    <row r="105" spans="1:25" ht="12.75" customHeight="1" x14ac:dyDescent="0.2">
      <c r="A105" s="23" t="s">
        <v>96</v>
      </c>
      <c r="B105" s="2" t="str">
        <f>A105&amp;COUNTIF($A$2:$A105,A105)</f>
        <v>Necromantic2</v>
      </c>
      <c r="C105" s="2" t="s">
        <v>479</v>
      </c>
      <c r="D105" s="2" t="str">
        <f t="shared" si="0"/>
        <v>NecromanticZombie</v>
      </c>
      <c r="E105" s="2">
        <v>4</v>
      </c>
      <c r="F105" s="2">
        <v>3</v>
      </c>
      <c r="G105" s="2">
        <v>4</v>
      </c>
      <c r="H105" s="2">
        <v>0</v>
      </c>
      <c r="I105" s="2">
        <v>9</v>
      </c>
      <c r="J105" s="2" t="str">
        <f>IF('Pack BB2020'!$J$24="Español",V105,(IF('Pack BB2020'!$J$24="Deutsch",W105,(IF('Pack BB2020'!$J$24="Français",X105,U105)))))</f>
        <v>Regeneración</v>
      </c>
      <c r="K105" s="1">
        <v>40000</v>
      </c>
      <c r="L105" s="1">
        <f t="shared" si="10"/>
        <v>40</v>
      </c>
      <c r="M105" s="1">
        <v>16</v>
      </c>
      <c r="N105" s="1">
        <v>0</v>
      </c>
      <c r="O105" s="1" t="s">
        <v>170</v>
      </c>
      <c r="P105" s="1" t="s">
        <v>169</v>
      </c>
      <c r="Q105" s="1" t="s">
        <v>169</v>
      </c>
      <c r="R105" s="12">
        <v>0</v>
      </c>
      <c r="S105" s="1">
        <v>0</v>
      </c>
      <c r="T105" s="15" t="str">
        <f t="shared" si="7"/>
        <v>PM</v>
      </c>
      <c r="U105" s="15" t="s">
        <v>480</v>
      </c>
      <c r="V105" s="15" t="s">
        <v>481</v>
      </c>
      <c r="W105" s="15" t="s">
        <v>480</v>
      </c>
      <c r="X105" s="15" t="s">
        <v>482</v>
      </c>
      <c r="Y105" s="15"/>
    </row>
    <row r="106" spans="1:25" ht="12.75" customHeight="1" x14ac:dyDescent="0.2">
      <c r="A106" s="23" t="s">
        <v>96</v>
      </c>
      <c r="B106" s="2" t="str">
        <f>A106&amp;COUNTIF($A$2:$A106,A106)</f>
        <v>Necromantic3</v>
      </c>
      <c r="C106" s="2" t="s">
        <v>483</v>
      </c>
      <c r="D106" s="2" t="str">
        <f t="shared" si="0"/>
        <v>NecromanticGhoul</v>
      </c>
      <c r="E106" s="2">
        <v>7</v>
      </c>
      <c r="F106" s="2">
        <v>3</v>
      </c>
      <c r="G106" s="2">
        <v>3</v>
      </c>
      <c r="H106" s="2">
        <v>4</v>
      </c>
      <c r="I106" s="2">
        <v>8</v>
      </c>
      <c r="J106" s="2" t="str">
        <f>IF('Pack BB2020'!$J$24="Español",V106,(IF('Pack BB2020'!$J$24="Deutsch",W106,(IF('Pack BB2020'!$J$24="Français",X106,U106)))))</f>
        <v>Esquivar</v>
      </c>
      <c r="K106" s="1">
        <v>75000</v>
      </c>
      <c r="L106" s="1">
        <f t="shared" si="10"/>
        <v>75</v>
      </c>
      <c r="M106" s="1">
        <v>2</v>
      </c>
      <c r="N106" s="1">
        <v>0</v>
      </c>
      <c r="O106" s="1" t="s">
        <v>170</v>
      </c>
      <c r="P106" s="1" t="s">
        <v>170</v>
      </c>
      <c r="Q106" s="1" t="s">
        <v>169</v>
      </c>
      <c r="R106" s="1" t="s">
        <v>169</v>
      </c>
      <c r="S106" s="1">
        <v>0</v>
      </c>
      <c r="T106" s="15" t="str">
        <f t="shared" si="7"/>
        <v>M</v>
      </c>
      <c r="U106" s="15" t="s">
        <v>237</v>
      </c>
      <c r="V106" s="15" t="s">
        <v>238</v>
      </c>
      <c r="W106" s="15" t="s">
        <v>239</v>
      </c>
      <c r="X106" s="15" t="s">
        <v>240</v>
      </c>
      <c r="Y106" s="15"/>
    </row>
    <row r="107" spans="1:25" ht="12.75" customHeight="1" x14ac:dyDescent="0.2">
      <c r="A107" s="23" t="s">
        <v>96</v>
      </c>
      <c r="B107" s="2" t="str">
        <f>A107&amp;COUNTIF($A$2:$A107,A107)</f>
        <v>Necromantic4</v>
      </c>
      <c r="C107" s="2" t="s">
        <v>484</v>
      </c>
      <c r="D107" s="2" t="str">
        <f t="shared" si="0"/>
        <v>NecromanticWraiths</v>
      </c>
      <c r="E107" s="2">
        <v>6</v>
      </c>
      <c r="F107" s="2">
        <v>3</v>
      </c>
      <c r="G107" s="2">
        <v>3</v>
      </c>
      <c r="H107" s="2">
        <v>0</v>
      </c>
      <c r="I107" s="2">
        <v>9</v>
      </c>
      <c r="J107" s="2" t="str">
        <f>IF('Pack BB2020'!$J$24="Español",V107,(IF('Pack BB2020'!$J$24="Deutsch",W107,(IF('Pack BB2020'!$J$24="Français",X107,U107)))))</f>
        <v>Placar, Apariencia asquerosa, Sin manos, Regeneración, Echarse a un lado</v>
      </c>
      <c r="K107" s="1">
        <v>95000</v>
      </c>
      <c r="L107" s="1">
        <f t="shared" si="10"/>
        <v>95</v>
      </c>
      <c r="M107" s="1">
        <v>2</v>
      </c>
      <c r="N107" s="1">
        <v>0</v>
      </c>
      <c r="O107" s="1" t="s">
        <v>170</v>
      </c>
      <c r="P107" s="1" t="s">
        <v>169</v>
      </c>
      <c r="Q107" s="1" t="s">
        <v>170</v>
      </c>
      <c r="R107" s="12">
        <v>0</v>
      </c>
      <c r="S107" s="1">
        <v>0</v>
      </c>
      <c r="T107" s="15" t="str">
        <f t="shared" si="7"/>
        <v>PM</v>
      </c>
      <c r="U107" s="15" t="s">
        <v>485</v>
      </c>
      <c r="V107" s="15" t="s">
        <v>486</v>
      </c>
      <c r="W107" s="15" t="s">
        <v>487</v>
      </c>
      <c r="X107" s="15" t="s">
        <v>488</v>
      </c>
      <c r="Y107" s="15"/>
    </row>
    <row r="108" spans="1:25" ht="12.75" customHeight="1" x14ac:dyDescent="0.2">
      <c r="A108" s="23" t="s">
        <v>96</v>
      </c>
      <c r="B108" s="2" t="str">
        <f>A108&amp;COUNTIF($A$2:$A108,A108)</f>
        <v>Necromantic5</v>
      </c>
      <c r="C108" s="2" t="s">
        <v>489</v>
      </c>
      <c r="D108" s="2" t="str">
        <f t="shared" si="0"/>
        <v>NecromanticFlesh Golem</v>
      </c>
      <c r="E108" s="2">
        <v>4</v>
      </c>
      <c r="F108" s="2">
        <v>4</v>
      </c>
      <c r="G108" s="2">
        <v>4</v>
      </c>
      <c r="H108" s="2">
        <v>0</v>
      </c>
      <c r="I108" s="2">
        <v>10</v>
      </c>
      <c r="J108" s="2" t="str">
        <f>IF('Pack BB2020'!$J$24="Español",V108,(IF('Pack BB2020'!$J$24="Deutsch",W108,(IF('Pack BB2020'!$J$24="Français",X108,U108)))))</f>
        <v>Regeneración, Mantenerse firme, Cabeza dura</v>
      </c>
      <c r="K108" s="1">
        <v>115000</v>
      </c>
      <c r="L108" s="1">
        <f t="shared" si="10"/>
        <v>115</v>
      </c>
      <c r="M108" s="1">
        <v>2</v>
      </c>
      <c r="N108" s="1">
        <v>0</v>
      </c>
      <c r="O108" s="1" t="s">
        <v>170</v>
      </c>
      <c r="P108" s="1" t="s">
        <v>169</v>
      </c>
      <c r="Q108" s="1" t="s">
        <v>170</v>
      </c>
      <c r="R108" s="12">
        <v>0</v>
      </c>
      <c r="S108" s="1">
        <v>0</v>
      </c>
      <c r="T108" s="15" t="str">
        <f t="shared" si="7"/>
        <v>PM</v>
      </c>
      <c r="U108" s="15" t="s">
        <v>490</v>
      </c>
      <c r="V108" s="15" t="s">
        <v>491</v>
      </c>
      <c r="W108" s="15" t="s">
        <v>492</v>
      </c>
      <c r="X108" s="15" t="s">
        <v>493</v>
      </c>
      <c r="Y108" s="15"/>
    </row>
    <row r="109" spans="1:25" ht="12.75" customHeight="1" x14ac:dyDescent="0.2">
      <c r="A109" s="23" t="s">
        <v>96</v>
      </c>
      <c r="B109" s="2" t="str">
        <f>A109&amp;COUNTIF($A$2:$A109,A109)</f>
        <v>Necromantic6</v>
      </c>
      <c r="C109" s="2" t="s">
        <v>494</v>
      </c>
      <c r="D109" s="2" t="str">
        <f t="shared" si="0"/>
        <v>NecromanticWerewolf</v>
      </c>
      <c r="E109" s="2">
        <v>8</v>
      </c>
      <c r="F109" s="2">
        <v>3</v>
      </c>
      <c r="G109" s="2">
        <v>3</v>
      </c>
      <c r="H109" s="2">
        <v>4</v>
      </c>
      <c r="I109" s="2">
        <v>9</v>
      </c>
      <c r="J109" s="2" t="str">
        <f>IF('Pack BB2020'!$J$24="Español",V109,(IF('Pack BB2020'!$J$24="Deutsch",W109,(IF('Pack BB2020'!$J$24="Français",X109,U109)))))</f>
        <v>Garras, Furia, Regeneración</v>
      </c>
      <c r="K109" s="1">
        <v>125000</v>
      </c>
      <c r="L109" s="1">
        <f t="shared" si="10"/>
        <v>125</v>
      </c>
      <c r="M109" s="2">
        <v>2</v>
      </c>
      <c r="N109" s="2">
        <v>0</v>
      </c>
      <c r="O109" s="1" t="s">
        <v>170</v>
      </c>
      <c r="P109" s="1" t="s">
        <v>170</v>
      </c>
      <c r="Q109" s="1" t="s">
        <v>169</v>
      </c>
      <c r="R109" s="1" t="s">
        <v>169</v>
      </c>
      <c r="S109" s="1">
        <v>0</v>
      </c>
      <c r="T109" s="15" t="str">
        <f t="shared" si="7"/>
        <v>M</v>
      </c>
      <c r="U109" s="15" t="s">
        <v>495</v>
      </c>
      <c r="V109" s="2" t="s">
        <v>496</v>
      </c>
      <c r="W109" s="15" t="s">
        <v>497</v>
      </c>
      <c r="X109" s="15" t="s">
        <v>498</v>
      </c>
      <c r="Y109" s="15"/>
    </row>
    <row r="110" spans="1:25" ht="12.75" customHeight="1" x14ac:dyDescent="0.2">
      <c r="A110" s="23" t="s">
        <v>103</v>
      </c>
      <c r="B110" s="2" t="str">
        <f>A110&amp;COUNTIF($A$2:$A110,A110)</f>
        <v>Norse1</v>
      </c>
      <c r="C110" s="2"/>
      <c r="D110" s="2" t="str">
        <f t="shared" si="0"/>
        <v>Norse</v>
      </c>
      <c r="E110" s="2">
        <v>0</v>
      </c>
      <c r="F110" s="2">
        <v>0</v>
      </c>
      <c r="G110" s="2">
        <v>0</v>
      </c>
      <c r="H110" s="2">
        <v>0</v>
      </c>
      <c r="I110" s="2">
        <v>0</v>
      </c>
      <c r="J110" s="2">
        <f>IF('Pack BB2020'!$J$24="Español",V110,(IF('Pack BB2020'!$J$24="Deutsch",W110,(IF('Pack BB2020'!$J$24="Français",X110,U110)))))</f>
        <v>0</v>
      </c>
      <c r="K110" s="1">
        <v>0</v>
      </c>
      <c r="L110" s="1">
        <f t="shared" si="10"/>
        <v>0</v>
      </c>
      <c r="M110" s="1">
        <v>0</v>
      </c>
      <c r="N110" s="1">
        <v>0</v>
      </c>
      <c r="O110" s="1"/>
      <c r="P110" s="1"/>
      <c r="Q110" s="1"/>
      <c r="R110" s="1"/>
      <c r="S110" s="1"/>
      <c r="T110" s="15" t="str">
        <f t="shared" si="7"/>
        <v/>
      </c>
      <c r="U110" s="15">
        <v>0</v>
      </c>
      <c r="V110" s="15">
        <v>0</v>
      </c>
      <c r="W110" s="15">
        <v>0</v>
      </c>
      <c r="X110" s="15">
        <v>0</v>
      </c>
      <c r="Y110" s="15">
        <v>0</v>
      </c>
    </row>
    <row r="111" spans="1:25" ht="12.75" customHeight="1" x14ac:dyDescent="0.2">
      <c r="A111" s="23" t="s">
        <v>103</v>
      </c>
      <c r="B111" s="2" t="str">
        <f>A111&amp;COUNTIF($A$2:$A111,A111)</f>
        <v>Norse2</v>
      </c>
      <c r="C111" s="2" t="s">
        <v>1133</v>
      </c>
      <c r="D111" s="2" t="str">
        <f t="shared" si="0"/>
        <v>NorseRaider Lineman</v>
      </c>
      <c r="E111" s="2">
        <v>6</v>
      </c>
      <c r="F111" s="2">
        <v>3</v>
      </c>
      <c r="G111" s="2">
        <v>3</v>
      </c>
      <c r="H111" s="2">
        <v>4</v>
      </c>
      <c r="I111" s="2">
        <v>8</v>
      </c>
      <c r="J111" s="2" t="str">
        <f>IF('Pack BB2020'!$J$24="Español",V111,(IF('Pack BB2020'!$J$24="Deutsch",W111,(IF('Pack BB2020'!$J$24="Français",X111,U111)))))</f>
        <v>Placar, Borracho, Cabeza dura</v>
      </c>
      <c r="K111" s="1">
        <v>50000</v>
      </c>
      <c r="L111" s="1">
        <f t="shared" si="10"/>
        <v>50</v>
      </c>
      <c r="M111" s="1">
        <v>16</v>
      </c>
      <c r="N111" s="1">
        <f>IF(M111&lt;10,1,0)</f>
        <v>0</v>
      </c>
      <c r="O111" s="1" t="s">
        <v>170</v>
      </c>
      <c r="P111" s="1" t="s">
        <v>169</v>
      </c>
      <c r="Q111" s="1" t="s">
        <v>169</v>
      </c>
      <c r="R111" s="1" t="s">
        <v>169</v>
      </c>
      <c r="S111" s="1">
        <v>0</v>
      </c>
      <c r="T111" s="15" t="str">
        <f t="shared" si="7"/>
        <v>M</v>
      </c>
      <c r="U111" s="15" t="s">
        <v>1134</v>
      </c>
      <c r="V111" s="15" t="s">
        <v>1135</v>
      </c>
      <c r="W111" s="15" t="s">
        <v>1136</v>
      </c>
      <c r="X111" s="15" t="s">
        <v>1137</v>
      </c>
      <c r="Y111" s="15"/>
    </row>
    <row r="112" spans="1:25" ht="12.75" customHeight="1" x14ac:dyDescent="0.2">
      <c r="A112" s="23" t="s">
        <v>103</v>
      </c>
      <c r="B112" s="2" t="str">
        <f>A112&amp;COUNTIF($A$2:$A112,A112)</f>
        <v>Norse3</v>
      </c>
      <c r="C112" s="2" t="s">
        <v>1138</v>
      </c>
      <c r="D112" s="2" t="str">
        <f t="shared" si="0"/>
        <v>NorseBeer Boar</v>
      </c>
      <c r="E112" s="2">
        <v>5</v>
      </c>
      <c r="F112" s="2">
        <v>1</v>
      </c>
      <c r="G112" s="2">
        <v>3</v>
      </c>
      <c r="H112" s="2">
        <v>0</v>
      </c>
      <c r="I112" s="2">
        <v>6</v>
      </c>
      <c r="J112" s="2" t="str">
        <f>IF('Pack BB2020'!$J$24="Español",V112,(IF('Pack BB2020'!$J$24="Deutsch",W112,(IF('Pack BB2020'!$J$24="Français",X112,U112)))))</f>
        <v>Esquivar, Sin manos, Recógeme, Escurridizo, Canijo</v>
      </c>
      <c r="K112" s="1">
        <v>20000</v>
      </c>
      <c r="L112" s="1">
        <f t="shared" si="10"/>
        <v>20</v>
      </c>
      <c r="M112" s="1">
        <v>2</v>
      </c>
      <c r="N112" s="1">
        <v>0</v>
      </c>
      <c r="O112" s="1">
        <v>0</v>
      </c>
      <c r="P112" s="1" t="s">
        <v>169</v>
      </c>
      <c r="Q112" s="1">
        <v>0</v>
      </c>
      <c r="R112" s="1">
        <v>0</v>
      </c>
      <c r="S112" s="1">
        <v>0</v>
      </c>
      <c r="T112" s="15" t="str">
        <f t="shared" si="7"/>
        <v>GPSM</v>
      </c>
      <c r="U112" s="15" t="s">
        <v>1139</v>
      </c>
      <c r="V112" s="15" t="s">
        <v>1140</v>
      </c>
      <c r="W112" s="15" t="s">
        <v>1141</v>
      </c>
      <c r="X112" s="15" t="s">
        <v>1142</v>
      </c>
      <c r="Y112" s="15"/>
    </row>
    <row r="113" spans="1:25" ht="12.75" customHeight="1" x14ac:dyDescent="0.2">
      <c r="A113" s="23" t="s">
        <v>103</v>
      </c>
      <c r="B113" s="2" t="str">
        <f>A113&amp;COUNTIF($A$2:$A113,A113)</f>
        <v>Norse4</v>
      </c>
      <c r="C113" s="2" t="s">
        <v>499</v>
      </c>
      <c r="D113" s="2" t="str">
        <f t="shared" si="0"/>
        <v>NorseBerserker</v>
      </c>
      <c r="E113" s="2">
        <v>6</v>
      </c>
      <c r="F113" s="2">
        <v>3</v>
      </c>
      <c r="G113" s="2">
        <v>3</v>
      </c>
      <c r="H113" s="2">
        <v>5</v>
      </c>
      <c r="I113" s="2">
        <v>8</v>
      </c>
      <c r="J113" s="2" t="str">
        <f>IF('Pack BB2020'!$J$24="Español",V113,(IF('Pack BB2020'!$J$24="Deutsch",W113,(IF('Pack BB2020'!$J$24="Français",X113,U113)))))</f>
        <v>Placar, Furia, En pie de un salto</v>
      </c>
      <c r="K113" s="1">
        <v>90000</v>
      </c>
      <c r="L113" s="1">
        <f t="shared" si="10"/>
        <v>90</v>
      </c>
      <c r="M113" s="1">
        <v>2</v>
      </c>
      <c r="N113" s="1">
        <v>0</v>
      </c>
      <c r="O113" s="1" t="s">
        <v>170</v>
      </c>
      <c r="P113" s="1" t="s">
        <v>169</v>
      </c>
      <c r="Q113" s="1" t="s">
        <v>170</v>
      </c>
      <c r="R113" s="1" t="s">
        <v>169</v>
      </c>
      <c r="S113" s="1">
        <v>0</v>
      </c>
      <c r="T113" s="15" t="str">
        <f t="shared" si="7"/>
        <v>M</v>
      </c>
      <c r="U113" s="15" t="s">
        <v>500</v>
      </c>
      <c r="V113" s="15" t="s">
        <v>501</v>
      </c>
      <c r="W113" s="15" t="s">
        <v>502</v>
      </c>
      <c r="X113" s="15" t="s">
        <v>503</v>
      </c>
      <c r="Y113" s="15"/>
    </row>
    <row r="114" spans="1:25" ht="12.75" customHeight="1" x14ac:dyDescent="0.2">
      <c r="A114" s="23" t="s">
        <v>103</v>
      </c>
      <c r="B114" s="2" t="str">
        <f>A114&amp;COUNTIF($A$2:$A114,A114)</f>
        <v>Norse5</v>
      </c>
      <c r="C114" s="2" t="s">
        <v>1148</v>
      </c>
      <c r="D114" s="2" t="str">
        <f t="shared" si="0"/>
        <v>NorseValkyrie</v>
      </c>
      <c r="E114" s="2">
        <v>7</v>
      </c>
      <c r="F114" s="2">
        <v>3</v>
      </c>
      <c r="G114" s="2">
        <v>3</v>
      </c>
      <c r="H114" s="2">
        <v>3</v>
      </c>
      <c r="I114" s="2">
        <v>8</v>
      </c>
      <c r="J114" s="2" t="str">
        <f>IF('Pack BB2020'!$J$24="Español",V114,(IF('Pack BB2020'!$J$24="Deutsch",W114,(IF('Pack BB2020'!$J$24="Français",X114,U114)))))</f>
        <v>Atrapar, Agallas, Pasar, Robar balón</v>
      </c>
      <c r="K114" s="1">
        <v>95000</v>
      </c>
      <c r="L114" s="1">
        <f t="shared" si="10"/>
        <v>95</v>
      </c>
      <c r="M114" s="1">
        <v>2</v>
      </c>
      <c r="N114" s="1">
        <v>0</v>
      </c>
      <c r="O114" s="1" t="s">
        <v>170</v>
      </c>
      <c r="P114" s="1" t="s">
        <v>170</v>
      </c>
      <c r="Q114" s="1" t="s">
        <v>169</v>
      </c>
      <c r="R114" s="1" t="s">
        <v>170</v>
      </c>
      <c r="S114" s="1">
        <v>0</v>
      </c>
      <c r="T114" s="15" t="str">
        <f t="shared" si="7"/>
        <v>M</v>
      </c>
      <c r="U114" s="15" t="s">
        <v>1143</v>
      </c>
      <c r="V114" s="15" t="s">
        <v>1144</v>
      </c>
      <c r="W114" s="15" t="s">
        <v>1145</v>
      </c>
      <c r="X114" s="15" t="s">
        <v>1146</v>
      </c>
      <c r="Y114" s="15"/>
    </row>
    <row r="115" spans="1:25" ht="12.75" customHeight="1" x14ac:dyDescent="0.2">
      <c r="A115" s="23" t="s">
        <v>103</v>
      </c>
      <c r="B115" s="2" t="str">
        <f>A115&amp;COUNTIF($A$2:$A115,A115)</f>
        <v>Norse6</v>
      </c>
      <c r="C115" s="2" t="s">
        <v>504</v>
      </c>
      <c r="D115" s="2" t="str">
        <f t="shared" si="0"/>
        <v>NorseUlfwerener</v>
      </c>
      <c r="E115" s="2">
        <v>6</v>
      </c>
      <c r="F115" s="2">
        <v>4</v>
      </c>
      <c r="G115" s="2">
        <v>4</v>
      </c>
      <c r="H115" s="2">
        <v>0</v>
      </c>
      <c r="I115" s="2">
        <v>9</v>
      </c>
      <c r="J115" s="2" t="str">
        <f>IF('Pack BB2020'!$J$24="Español",V115,(IF('Pack BB2020'!$J$24="Deutsch",W115,(IF('Pack BB2020'!$J$24="Français",X115,U115)))))</f>
        <v>Furia</v>
      </c>
      <c r="K115" s="1">
        <v>105000</v>
      </c>
      <c r="L115" s="1">
        <f t="shared" si="10"/>
        <v>105</v>
      </c>
      <c r="M115" s="1">
        <v>2</v>
      </c>
      <c r="N115" s="1">
        <v>0</v>
      </c>
      <c r="O115" s="1" t="s">
        <v>170</v>
      </c>
      <c r="P115" s="1" t="s">
        <v>169</v>
      </c>
      <c r="Q115" s="1" t="s">
        <v>170</v>
      </c>
      <c r="R115" s="1">
        <v>0</v>
      </c>
      <c r="S115" s="1">
        <v>0</v>
      </c>
      <c r="T115" s="15" t="str">
        <f t="shared" si="7"/>
        <v>PM</v>
      </c>
      <c r="U115" s="15" t="s">
        <v>315</v>
      </c>
      <c r="V115" s="15" t="s">
        <v>316</v>
      </c>
      <c r="W115" s="15" t="s">
        <v>317</v>
      </c>
      <c r="X115" s="15" t="s">
        <v>318</v>
      </c>
      <c r="Y115" s="15"/>
    </row>
    <row r="116" spans="1:25" ht="12.75" customHeight="1" x14ac:dyDescent="0.2">
      <c r="A116" s="23" t="s">
        <v>103</v>
      </c>
      <c r="B116" s="2" t="str">
        <f>A116&amp;COUNTIF($A$2:$A116,A116)</f>
        <v>Norse7</v>
      </c>
      <c r="C116" s="2" t="s">
        <v>1147</v>
      </c>
      <c r="D116" s="2" t="str">
        <f t="shared" si="0"/>
        <v>NorseYhetee</v>
      </c>
      <c r="E116" s="2">
        <v>5</v>
      </c>
      <c r="F116" s="2">
        <v>5</v>
      </c>
      <c r="G116" s="2">
        <v>4</v>
      </c>
      <c r="H116" s="2">
        <v>0</v>
      </c>
      <c r="I116" s="2">
        <v>9</v>
      </c>
      <c r="J116" s="2" t="str">
        <f>IF('Pack BB2020'!$J$24="Español",V116,(IF('Pack BB2020'!$J$24="Deutsch",W116,(IF('Pack BB2020'!$J$24="Français",X116,U116)))))</f>
        <v>Garras, Presencia perturbadora, Furia, Solitario (4+), Ira descontrolada</v>
      </c>
      <c r="K116" s="1">
        <v>140000</v>
      </c>
      <c r="L116" s="1">
        <f t="shared" si="10"/>
        <v>140</v>
      </c>
      <c r="M116" s="1">
        <v>1</v>
      </c>
      <c r="N116" s="1">
        <f>IF(M116&lt;10,1,0)</f>
        <v>1</v>
      </c>
      <c r="O116" s="1" t="s">
        <v>169</v>
      </c>
      <c r="P116" s="1" t="s">
        <v>170</v>
      </c>
      <c r="Q116" s="1" t="s">
        <v>170</v>
      </c>
      <c r="R116" s="1">
        <v>0</v>
      </c>
      <c r="S116" s="1">
        <v>0</v>
      </c>
      <c r="T116" s="15" t="str">
        <f t="shared" si="7"/>
        <v>PM</v>
      </c>
      <c r="U116" s="15" t="s">
        <v>505</v>
      </c>
      <c r="V116" s="15" t="s">
        <v>506</v>
      </c>
      <c r="W116" s="15" t="s">
        <v>507</v>
      </c>
      <c r="X116" s="15" t="s">
        <v>508</v>
      </c>
      <c r="Y116" s="15"/>
    </row>
    <row r="117" spans="1:25" ht="12.75" customHeight="1" x14ac:dyDescent="0.2">
      <c r="A117" s="23" t="s">
        <v>105</v>
      </c>
      <c r="B117" s="2" t="str">
        <f>A117&amp;COUNTIF($A$2:$A117,A117)</f>
        <v>Nurgle1</v>
      </c>
      <c r="C117" s="2" t="str">
        <f>""</f>
        <v/>
      </c>
      <c r="D117" s="2" t="str">
        <f t="shared" si="0"/>
        <v>Nurgle</v>
      </c>
      <c r="E117" s="2">
        <v>0</v>
      </c>
      <c r="F117" s="2">
        <v>0</v>
      </c>
      <c r="G117" s="2">
        <v>0</v>
      </c>
      <c r="H117" s="2">
        <v>0</v>
      </c>
      <c r="I117" s="2">
        <v>0</v>
      </c>
      <c r="J117" s="2">
        <f>IF('Pack BB2020'!$J$24="Español",V117,(IF('Pack BB2020'!$J$24="Deutsch",W117,(IF('Pack BB2020'!$J$24="Français",X117,U117)))))</f>
        <v>0</v>
      </c>
      <c r="K117" s="1">
        <v>0</v>
      </c>
      <c r="L117" s="1">
        <f t="shared" si="10"/>
        <v>0</v>
      </c>
      <c r="M117" s="1">
        <v>0</v>
      </c>
      <c r="N117" s="1">
        <v>0</v>
      </c>
      <c r="O117" s="1"/>
      <c r="P117" s="1"/>
      <c r="Q117" s="1"/>
      <c r="R117" s="1"/>
      <c r="S117" s="1"/>
      <c r="T117" s="15" t="str">
        <f t="shared" si="7"/>
        <v/>
      </c>
      <c r="U117" s="15">
        <v>0</v>
      </c>
      <c r="V117" s="15">
        <v>0</v>
      </c>
      <c r="W117" s="15">
        <v>0</v>
      </c>
      <c r="X117" s="15">
        <v>0</v>
      </c>
      <c r="Y117" s="15">
        <v>0</v>
      </c>
    </row>
    <row r="118" spans="1:25" ht="12.75" customHeight="1" x14ac:dyDescent="0.2">
      <c r="A118" s="23" t="s">
        <v>105</v>
      </c>
      <c r="B118" s="2" t="str">
        <f>A118&amp;COUNTIF($A$2:$A118,A118)</f>
        <v>Nurgle2</v>
      </c>
      <c r="C118" s="2" t="s">
        <v>509</v>
      </c>
      <c r="D118" s="2" t="str">
        <f t="shared" si="0"/>
        <v>NurgleRotter</v>
      </c>
      <c r="E118" s="2">
        <v>5</v>
      </c>
      <c r="F118" s="2">
        <v>3</v>
      </c>
      <c r="G118" s="2">
        <v>4</v>
      </c>
      <c r="H118" s="2">
        <v>6</v>
      </c>
      <c r="I118" s="2">
        <v>9</v>
      </c>
      <c r="J118" s="2" t="str">
        <f>IF('Pack BB2020'!$J$24="Español",V118,(IF('Pack BB2020'!$J$24="Deutsch",W118,(IF('Pack BB2020'!$J$24="Français",X118,U118)))))</f>
        <v>Descomposición, Infectado</v>
      </c>
      <c r="K118" s="1">
        <v>35000</v>
      </c>
      <c r="L118" s="1">
        <f t="shared" si="10"/>
        <v>35</v>
      </c>
      <c r="M118" s="1">
        <v>16</v>
      </c>
      <c r="N118" s="1">
        <v>0</v>
      </c>
      <c r="O118" s="1" t="s">
        <v>170</v>
      </c>
      <c r="P118" s="1" t="s">
        <v>169</v>
      </c>
      <c r="Q118" s="1" t="s">
        <v>169</v>
      </c>
      <c r="R118" s="1">
        <v>0</v>
      </c>
      <c r="S118" s="1" t="s">
        <v>170</v>
      </c>
      <c r="T118" s="15" t="str">
        <f t="shared" si="7"/>
        <v>P</v>
      </c>
      <c r="U118" s="15" t="s">
        <v>510</v>
      </c>
      <c r="V118" s="15" t="s">
        <v>511</v>
      </c>
      <c r="W118" s="15" t="s">
        <v>512</v>
      </c>
      <c r="X118" s="15" t="s">
        <v>513</v>
      </c>
      <c r="Y118" s="15"/>
    </row>
    <row r="119" spans="1:25" ht="12.75" customHeight="1" x14ac:dyDescent="0.2">
      <c r="A119" s="23" t="s">
        <v>105</v>
      </c>
      <c r="B119" s="2" t="str">
        <f>A119&amp;COUNTIF($A$2:$A119,A119)</f>
        <v>Nurgle3</v>
      </c>
      <c r="C119" s="2" t="s">
        <v>514</v>
      </c>
      <c r="D119" s="2" t="str">
        <f t="shared" si="0"/>
        <v>NurglePestigor</v>
      </c>
      <c r="E119" s="2">
        <v>6</v>
      </c>
      <c r="F119" s="2">
        <v>3</v>
      </c>
      <c r="G119" s="2">
        <v>3</v>
      </c>
      <c r="H119" s="2">
        <v>4</v>
      </c>
      <c r="I119" s="2">
        <v>9</v>
      </c>
      <c r="J119" s="2" t="str">
        <f>IF('Pack BB2020'!$J$24="Español",V119,(IF('Pack BB2020'!$J$24="Deutsch",W119,(IF('Pack BB2020'!$J$24="Français",X119,U119)))))</f>
        <v>Cuernos, Infectado, Regeneración</v>
      </c>
      <c r="K119" s="1">
        <v>75000</v>
      </c>
      <c r="L119" s="1">
        <f t="shared" si="10"/>
        <v>75</v>
      </c>
      <c r="M119" s="2">
        <v>4</v>
      </c>
      <c r="N119" s="2">
        <v>0</v>
      </c>
      <c r="O119" s="1" t="s">
        <v>170</v>
      </c>
      <c r="P119" s="1" t="s">
        <v>169</v>
      </c>
      <c r="Q119" s="1" t="s">
        <v>170</v>
      </c>
      <c r="R119" s="1" t="s">
        <v>169</v>
      </c>
      <c r="S119" s="1" t="s">
        <v>170</v>
      </c>
      <c r="T119" s="15" t="str">
        <f t="shared" si="7"/>
        <v>FULL</v>
      </c>
      <c r="U119" s="15" t="s">
        <v>515</v>
      </c>
      <c r="V119" s="15" t="s">
        <v>516</v>
      </c>
      <c r="W119" s="15" t="s">
        <v>517</v>
      </c>
      <c r="X119" s="15" t="s">
        <v>518</v>
      </c>
      <c r="Y119" s="15"/>
    </row>
    <row r="120" spans="1:25" ht="12.75" customHeight="1" x14ac:dyDescent="0.2">
      <c r="A120" s="23" t="s">
        <v>105</v>
      </c>
      <c r="B120" s="2" t="str">
        <f>A120&amp;COUNTIF($A$2:$A120,A120)</f>
        <v>Nurgle4</v>
      </c>
      <c r="C120" s="2" t="s">
        <v>519</v>
      </c>
      <c r="D120" s="2" t="str">
        <f t="shared" si="0"/>
        <v>NurgleBloater</v>
      </c>
      <c r="E120" s="2">
        <v>4</v>
      </c>
      <c r="F120" s="2">
        <v>4</v>
      </c>
      <c r="G120" s="2">
        <v>4</v>
      </c>
      <c r="H120" s="2">
        <v>6</v>
      </c>
      <c r="I120" s="2">
        <v>10</v>
      </c>
      <c r="J120" s="2" t="str">
        <f>IF('Pack BB2020'!$J$24="Español",V120,(IF('Pack BB2020'!$J$24="Deutsch",W120,(IF('Pack BB2020'!$J$24="Français",X120,U120)))))</f>
        <v>Presencia perturbadora, Apariencia asquerosa, Infectado, Regeneración</v>
      </c>
      <c r="K120" s="1">
        <v>115000</v>
      </c>
      <c r="L120" s="1">
        <f t="shared" si="10"/>
        <v>115</v>
      </c>
      <c r="M120" s="2">
        <v>4</v>
      </c>
      <c r="N120" s="2">
        <v>0</v>
      </c>
      <c r="O120" s="1" t="s">
        <v>170</v>
      </c>
      <c r="P120" s="1" t="s">
        <v>169</v>
      </c>
      <c r="Q120" s="1" t="s">
        <v>170</v>
      </c>
      <c r="R120" s="1">
        <v>0</v>
      </c>
      <c r="S120" s="1" t="s">
        <v>170</v>
      </c>
      <c r="T120" s="15" t="str">
        <f t="shared" si="7"/>
        <v>P</v>
      </c>
      <c r="U120" s="15" t="s">
        <v>520</v>
      </c>
      <c r="V120" s="15" t="s">
        <v>521</v>
      </c>
      <c r="W120" s="15" t="s">
        <v>522</v>
      </c>
      <c r="X120" s="15" t="s">
        <v>523</v>
      </c>
      <c r="Y120" s="15"/>
    </row>
    <row r="121" spans="1:25" ht="12.75" customHeight="1" x14ac:dyDescent="0.2">
      <c r="A121" s="23" t="s">
        <v>105</v>
      </c>
      <c r="B121" s="2" t="str">
        <f>A121&amp;COUNTIF($A$2:$A121,A121)</f>
        <v>Nurgle5</v>
      </c>
      <c r="C121" s="2" t="s">
        <v>524</v>
      </c>
      <c r="D121" s="2" t="str">
        <f t="shared" si="0"/>
        <v>NurgleRotspawn</v>
      </c>
      <c r="E121" s="2">
        <v>4</v>
      </c>
      <c r="F121" s="2">
        <v>5</v>
      </c>
      <c r="G121" s="2">
        <v>5</v>
      </c>
      <c r="H121" s="2">
        <v>0</v>
      </c>
      <c r="I121" s="2">
        <v>10</v>
      </c>
      <c r="J121" s="2" t="str">
        <f>IF('Pack BB2020'!$J$24="Español",V121,(IF('Pack BB2020'!$J$24="Deutsch",W121,(IF('Pack BB2020'!$J$24="Français",X121,U121)))))</f>
        <v>Presencia perturbadora, Apariencia asquerosa, Solitario (4+), Golpe mortífero (+1), Infectado, Realmente estúpido, Regeneración, Tentáculos</v>
      </c>
      <c r="K121" s="1">
        <v>140000</v>
      </c>
      <c r="L121" s="1">
        <f t="shared" si="10"/>
        <v>140</v>
      </c>
      <c r="M121" s="2">
        <v>1</v>
      </c>
      <c r="N121" s="2">
        <v>1</v>
      </c>
      <c r="O121" s="1" t="s">
        <v>169</v>
      </c>
      <c r="P121" s="1" t="s">
        <v>169</v>
      </c>
      <c r="Q121" s="1" t="s">
        <v>170</v>
      </c>
      <c r="R121" s="12">
        <v>0</v>
      </c>
      <c r="S121" s="1" t="s">
        <v>169</v>
      </c>
      <c r="T121" s="15" t="str">
        <f t="shared" si="7"/>
        <v>P</v>
      </c>
      <c r="U121" s="15" t="s">
        <v>525</v>
      </c>
      <c r="V121" s="15" t="s">
        <v>1544</v>
      </c>
      <c r="W121" s="15" t="s">
        <v>526</v>
      </c>
      <c r="X121" s="15" t="s">
        <v>527</v>
      </c>
      <c r="Y121" s="15"/>
    </row>
    <row r="122" spans="1:25" ht="12.75" customHeight="1" x14ac:dyDescent="0.2">
      <c r="A122" s="23" t="s">
        <v>110</v>
      </c>
      <c r="B122" s="2" t="str">
        <f>A122&amp;COUNTIF($A$2:$A122,A122)</f>
        <v>Ogre1</v>
      </c>
      <c r="C122" s="2" t="str">
        <f>""</f>
        <v/>
      </c>
      <c r="D122" s="2" t="str">
        <f t="shared" si="0"/>
        <v>Ogre</v>
      </c>
      <c r="E122" s="2">
        <v>0</v>
      </c>
      <c r="F122" s="2">
        <v>0</v>
      </c>
      <c r="G122" s="2">
        <v>0</v>
      </c>
      <c r="H122" s="2">
        <v>0</v>
      </c>
      <c r="I122" s="2">
        <v>0</v>
      </c>
      <c r="J122" s="2">
        <f>IF('Pack BB2020'!$J$24="Español",V122,(IF('Pack BB2020'!$J$24="Deutsch",W122,(IF('Pack BB2020'!$J$24="Français",X122,U122)))))</f>
        <v>0</v>
      </c>
      <c r="K122" s="1">
        <v>0</v>
      </c>
      <c r="L122" s="1">
        <f t="shared" si="10"/>
        <v>0</v>
      </c>
      <c r="M122" s="1">
        <v>0</v>
      </c>
      <c r="N122" s="1">
        <v>0</v>
      </c>
      <c r="O122" s="1"/>
      <c r="P122" s="1"/>
      <c r="Q122" s="1"/>
      <c r="R122" s="1"/>
      <c r="S122" s="1"/>
      <c r="T122" s="15" t="str">
        <f t="shared" si="7"/>
        <v/>
      </c>
      <c r="U122" s="15">
        <v>0</v>
      </c>
      <c r="V122" s="15">
        <v>0</v>
      </c>
      <c r="W122" s="15">
        <v>0</v>
      </c>
      <c r="X122" s="15">
        <v>0</v>
      </c>
      <c r="Y122" s="15">
        <v>0</v>
      </c>
    </row>
    <row r="123" spans="1:25" ht="12.75" customHeight="1" x14ac:dyDescent="0.2">
      <c r="A123" s="23" t="s">
        <v>110</v>
      </c>
      <c r="B123" s="2" t="str">
        <f>A123&amp;COUNTIF($A$2:$A123,A123)</f>
        <v>Ogre2</v>
      </c>
      <c r="C123" s="2" t="s">
        <v>528</v>
      </c>
      <c r="D123" s="2" t="str">
        <f t="shared" si="0"/>
        <v>OgreGnoblar</v>
      </c>
      <c r="E123" s="2">
        <v>5</v>
      </c>
      <c r="F123" s="2">
        <v>1</v>
      </c>
      <c r="G123" s="2">
        <v>3</v>
      </c>
      <c r="H123" s="2">
        <v>5</v>
      </c>
      <c r="I123" s="2">
        <v>6</v>
      </c>
      <c r="J123" s="2" t="str">
        <f>IF('Pack BB2020'!$J$24="Español",V123,(IF('Pack BB2020'!$J$24="Deutsch",W123,(IF('Pack BB2020'!$J$24="Français",X123,U123)))))</f>
        <v>Esquivar, Humanoide bala, Echarse a un lado, Escurridizo, Canijo</v>
      </c>
      <c r="K123" s="1">
        <v>15000</v>
      </c>
      <c r="L123" s="1">
        <v>0</v>
      </c>
      <c r="M123" s="2">
        <v>16</v>
      </c>
      <c r="N123" s="2">
        <v>0</v>
      </c>
      <c r="O123" s="1" t="s">
        <v>169</v>
      </c>
      <c r="P123" s="1" t="s">
        <v>170</v>
      </c>
      <c r="Q123" s="1" t="s">
        <v>169</v>
      </c>
      <c r="R123" s="1">
        <v>0</v>
      </c>
      <c r="S123" s="1">
        <v>0</v>
      </c>
      <c r="T123" s="15" t="str">
        <f t="shared" si="7"/>
        <v>PM</v>
      </c>
      <c r="U123" s="15" t="s">
        <v>529</v>
      </c>
      <c r="V123" s="15" t="s">
        <v>530</v>
      </c>
      <c r="W123" s="15" t="s">
        <v>531</v>
      </c>
      <c r="X123" s="15" t="s">
        <v>532</v>
      </c>
      <c r="Y123" s="15"/>
    </row>
    <row r="124" spans="1:25" ht="12.75" customHeight="1" x14ac:dyDescent="0.2">
      <c r="A124" s="23" t="s">
        <v>110</v>
      </c>
      <c r="B124" s="2" t="str">
        <f>A124&amp;COUNTIF($A$2:$A124,A124)</f>
        <v>Ogre3</v>
      </c>
      <c r="C124" s="2" t="s">
        <v>533</v>
      </c>
      <c r="D124" s="2" t="str">
        <f t="shared" si="0"/>
        <v xml:space="preserve">OgreOgre </v>
      </c>
      <c r="E124" s="2">
        <v>5</v>
      </c>
      <c r="F124" s="2">
        <v>5</v>
      </c>
      <c r="G124" s="2">
        <v>4</v>
      </c>
      <c r="H124" s="2">
        <v>5</v>
      </c>
      <c r="I124" s="2">
        <v>10</v>
      </c>
      <c r="J124" s="2" t="str">
        <f>IF('Pack BB2020'!$J$24="Español",V124,(IF('Pack BB2020'!$J$24="Deutsch",W124,(IF('Pack BB2020'!$J$24="Français",X124,U124)))))</f>
        <v>Estúpido, Golpe mortífero (+1), Cabeza dura, Lanzar Compañero</v>
      </c>
      <c r="K124" s="1">
        <v>140000</v>
      </c>
      <c r="L124" s="1">
        <f t="shared" si="10"/>
        <v>140</v>
      </c>
      <c r="M124" s="2">
        <v>5</v>
      </c>
      <c r="N124" s="2">
        <v>1</v>
      </c>
      <c r="O124" s="1" t="s">
        <v>169</v>
      </c>
      <c r="P124" s="1" t="s">
        <v>169</v>
      </c>
      <c r="Q124" s="1" t="s">
        <v>170</v>
      </c>
      <c r="R124" s="1" t="s">
        <v>169</v>
      </c>
      <c r="S124" s="1">
        <v>0</v>
      </c>
      <c r="T124" s="15" t="str">
        <f t="shared" si="7"/>
        <v>M</v>
      </c>
      <c r="U124" s="15" t="s">
        <v>534</v>
      </c>
      <c r="V124" s="2" t="s">
        <v>535</v>
      </c>
      <c r="W124" s="15" t="s">
        <v>536</v>
      </c>
      <c r="X124" s="15" t="s">
        <v>537</v>
      </c>
      <c r="Y124" s="15"/>
    </row>
    <row r="125" spans="1:25" ht="12.75" customHeight="1" x14ac:dyDescent="0.2">
      <c r="A125" s="23" t="s">
        <v>110</v>
      </c>
      <c r="B125" s="2" t="str">
        <f>A125&amp;COUNTIF($A$2:$A125,A125)</f>
        <v>Ogre4</v>
      </c>
      <c r="C125" s="2" t="s">
        <v>538</v>
      </c>
      <c r="D125" s="2" t="str">
        <f t="shared" si="0"/>
        <v>OgreRunt Punter</v>
      </c>
      <c r="E125" s="2">
        <v>5</v>
      </c>
      <c r="F125" s="2">
        <v>5</v>
      </c>
      <c r="G125" s="2">
        <v>4</v>
      </c>
      <c r="H125" s="2">
        <v>4</v>
      </c>
      <c r="I125" s="2">
        <v>10</v>
      </c>
      <c r="J125" s="2" t="str">
        <f>IF('Pack BB2020'!$J$24="Español",V125,(IF('Pack BB2020'!$J$24="Deutsch",W125,(IF('Pack BB2020'!$J$24="Français",X125,U125)))))</f>
        <v>Estúpido, Patear compañero, Golpe mortífero (+1), Cabeza dura</v>
      </c>
      <c r="K125" s="1">
        <v>145000</v>
      </c>
      <c r="L125" s="1">
        <f t="shared" si="10"/>
        <v>145</v>
      </c>
      <c r="M125" s="2">
        <v>1</v>
      </c>
      <c r="N125" s="2">
        <v>1</v>
      </c>
      <c r="O125" s="1" t="s">
        <v>169</v>
      </c>
      <c r="P125" s="1" t="s">
        <v>169</v>
      </c>
      <c r="Q125" s="1" t="s">
        <v>170</v>
      </c>
      <c r="R125" s="1" t="s">
        <v>170</v>
      </c>
      <c r="S125" s="1">
        <v>0</v>
      </c>
      <c r="T125" s="15" t="str">
        <f t="shared" si="7"/>
        <v>M</v>
      </c>
      <c r="U125" s="15" t="s">
        <v>539</v>
      </c>
      <c r="V125" s="2" t="s">
        <v>540</v>
      </c>
      <c r="W125" s="15" t="s">
        <v>541</v>
      </c>
      <c r="X125" s="15" t="s">
        <v>542</v>
      </c>
      <c r="Y125" s="15"/>
    </row>
    <row r="126" spans="1:25" ht="12.75" customHeight="1" x14ac:dyDescent="0.2">
      <c r="A126" s="23" t="s">
        <v>118</v>
      </c>
      <c r="B126" s="2" t="str">
        <f>A126&amp;COUNTIF($A$2:$A126,A126)</f>
        <v>Old World Alliance1</v>
      </c>
      <c r="C126" s="2" t="str">
        <f>""</f>
        <v/>
      </c>
      <c r="D126" s="2" t="str">
        <f t="shared" si="0"/>
        <v>Old World Alliance</v>
      </c>
      <c r="E126" s="2">
        <v>0</v>
      </c>
      <c r="F126" s="2">
        <v>0</v>
      </c>
      <c r="G126" s="2">
        <v>0</v>
      </c>
      <c r="H126" s="2">
        <v>0</v>
      </c>
      <c r="I126" s="2">
        <v>0</v>
      </c>
      <c r="J126" s="2">
        <f>IF('Pack BB2020'!$J$24="Español",V126,(IF('Pack BB2020'!$J$24="Deutsch",W126,(IF('Pack BB2020'!$J$24="Français",X126,U126)))))</f>
        <v>0</v>
      </c>
      <c r="K126" s="1">
        <v>0</v>
      </c>
      <c r="L126" s="1">
        <f t="shared" si="10"/>
        <v>0</v>
      </c>
      <c r="M126" s="1">
        <v>0</v>
      </c>
      <c r="N126" s="1">
        <v>0</v>
      </c>
      <c r="O126" s="2"/>
      <c r="P126" s="2"/>
      <c r="Q126" s="2"/>
      <c r="R126" s="2"/>
      <c r="S126" s="2"/>
      <c r="T126" s="15" t="str">
        <f t="shared" si="7"/>
        <v/>
      </c>
      <c r="U126" s="15">
        <v>0</v>
      </c>
      <c r="V126" s="15">
        <v>0</v>
      </c>
      <c r="W126" s="15">
        <v>0</v>
      </c>
      <c r="X126" s="15">
        <v>0</v>
      </c>
      <c r="Y126" s="15">
        <v>0</v>
      </c>
    </row>
    <row r="127" spans="1:25" ht="12.75" customHeight="1" x14ac:dyDescent="0.2">
      <c r="A127" s="23" t="s">
        <v>118</v>
      </c>
      <c r="B127" s="2" t="str">
        <f>A127&amp;COUNTIF($A$2:$A127,A127)</f>
        <v>Old World Alliance2</v>
      </c>
      <c r="C127" s="2" t="s">
        <v>319</v>
      </c>
      <c r="D127" s="2" t="str">
        <f t="shared" si="0"/>
        <v>Old World AllianceLineman</v>
      </c>
      <c r="E127" s="2">
        <v>6</v>
      </c>
      <c r="F127" s="2">
        <v>3</v>
      </c>
      <c r="G127" s="2">
        <v>3</v>
      </c>
      <c r="H127" s="2">
        <v>4</v>
      </c>
      <c r="I127" s="2">
        <v>9</v>
      </c>
      <c r="J127" s="2" t="str">
        <f>IF('Pack BB2020'!$J$24="Español",V127,(IF('Pack BB2020'!$J$24="Deutsch",W127,(IF('Pack BB2020'!$J$24="Français",X127,U127)))))</f>
        <v/>
      </c>
      <c r="K127" s="1">
        <v>50000</v>
      </c>
      <c r="L127" s="1">
        <f t="shared" si="10"/>
        <v>50</v>
      </c>
      <c r="M127" s="2">
        <v>12</v>
      </c>
      <c r="N127" s="2">
        <v>0</v>
      </c>
      <c r="O127" s="1" t="s">
        <v>170</v>
      </c>
      <c r="P127" s="1" t="s">
        <v>169</v>
      </c>
      <c r="Q127" s="1" t="s">
        <v>169</v>
      </c>
      <c r="R127" s="1">
        <v>0</v>
      </c>
      <c r="S127" s="1">
        <v>0</v>
      </c>
      <c r="T127" s="15" t="str">
        <f t="shared" si="7"/>
        <v>PM</v>
      </c>
      <c r="U127" s="15" t="str">
        <f t="shared" ref="U127:Y127" si="12">""</f>
        <v/>
      </c>
      <c r="V127" s="15" t="str">
        <f t="shared" si="12"/>
        <v/>
      </c>
      <c r="W127" s="15" t="str">
        <f t="shared" si="12"/>
        <v/>
      </c>
      <c r="X127" s="15" t="str">
        <f t="shared" si="12"/>
        <v/>
      </c>
      <c r="Y127" s="15" t="str">
        <f t="shared" si="12"/>
        <v/>
      </c>
    </row>
    <row r="128" spans="1:25" ht="12.75" customHeight="1" x14ac:dyDescent="0.2">
      <c r="A128" s="23" t="s">
        <v>118</v>
      </c>
      <c r="B128" s="2" t="str">
        <f>A128&amp;COUNTIF($A$2:$A128,A128)</f>
        <v>Old World Alliance3</v>
      </c>
      <c r="C128" s="2" t="s">
        <v>242</v>
      </c>
      <c r="D128" s="2" t="str">
        <f t="shared" si="0"/>
        <v>Old World AllianceCatcher</v>
      </c>
      <c r="E128" s="2">
        <v>8</v>
      </c>
      <c r="F128" s="2">
        <v>2</v>
      </c>
      <c r="G128" s="2">
        <v>3</v>
      </c>
      <c r="H128" s="2">
        <v>5</v>
      </c>
      <c r="I128" s="2">
        <v>8</v>
      </c>
      <c r="J128" s="2" t="str">
        <f>IF('Pack BB2020'!$J$24="Español",V128,(IF('Pack BB2020'!$J$24="Deutsch",W128,(IF('Pack BB2020'!$J$24="Français",X128,U128)))))</f>
        <v>Animosidad (todos los Enanos y Halflings), Atrapar, Esquivar</v>
      </c>
      <c r="K128" s="1">
        <v>65000</v>
      </c>
      <c r="L128" s="1">
        <f t="shared" si="10"/>
        <v>65</v>
      </c>
      <c r="M128" s="2">
        <v>1</v>
      </c>
      <c r="N128" s="2">
        <v>0</v>
      </c>
      <c r="O128" s="1" t="s">
        <v>170</v>
      </c>
      <c r="P128" s="1" t="s">
        <v>170</v>
      </c>
      <c r="Q128" s="1" t="s">
        <v>169</v>
      </c>
      <c r="R128" s="1">
        <v>0</v>
      </c>
      <c r="S128" s="1">
        <v>0</v>
      </c>
      <c r="T128" s="15" t="str">
        <f t="shared" si="7"/>
        <v>PM</v>
      </c>
      <c r="U128" s="15" t="s">
        <v>543</v>
      </c>
      <c r="V128" s="2" t="s">
        <v>544</v>
      </c>
      <c r="W128" s="15" t="s">
        <v>545</v>
      </c>
      <c r="X128" s="15" t="s">
        <v>546</v>
      </c>
      <c r="Y128" s="15"/>
    </row>
    <row r="129" spans="1:25" ht="12.75" customHeight="1" x14ac:dyDescent="0.2">
      <c r="A129" s="23" t="s">
        <v>118</v>
      </c>
      <c r="B129" s="2" t="str">
        <f>A129&amp;COUNTIF($A$2:$A129,A129)</f>
        <v>Old World Alliance4</v>
      </c>
      <c r="C129" s="2" t="s">
        <v>241</v>
      </c>
      <c r="D129" s="2" t="str">
        <f t="shared" si="0"/>
        <v>Old World AllianceThrower</v>
      </c>
      <c r="E129" s="2">
        <v>6</v>
      </c>
      <c r="F129" s="2">
        <v>3</v>
      </c>
      <c r="G129" s="2">
        <v>3</v>
      </c>
      <c r="H129" s="2">
        <v>3</v>
      </c>
      <c r="I129" s="2">
        <v>9</v>
      </c>
      <c r="J129" s="2" t="str">
        <f>IF('Pack BB2020'!$J$24="Español",V129,(IF('Pack BB2020'!$J$24="Deutsch",W129,(IF('Pack BB2020'!$J$24="Français",X129,U129)))))</f>
        <v>Animosidad (todos los Enanos y Halflings), Pasar, Manos seguras</v>
      </c>
      <c r="K129" s="1">
        <v>80000</v>
      </c>
      <c r="L129" s="1">
        <f t="shared" si="10"/>
        <v>80</v>
      </c>
      <c r="M129" s="2">
        <v>1</v>
      </c>
      <c r="N129" s="2">
        <v>0</v>
      </c>
      <c r="O129" s="1" t="s">
        <v>170</v>
      </c>
      <c r="P129" s="1" t="s">
        <v>169</v>
      </c>
      <c r="Q129" s="1" t="s">
        <v>169</v>
      </c>
      <c r="R129" s="1" t="s">
        <v>170</v>
      </c>
      <c r="S129" s="1">
        <v>0</v>
      </c>
      <c r="T129" s="15" t="str">
        <f t="shared" si="7"/>
        <v>M</v>
      </c>
      <c r="U129" s="15" t="s">
        <v>547</v>
      </c>
      <c r="V129" s="2" t="s">
        <v>548</v>
      </c>
      <c r="W129" s="15" t="s">
        <v>549</v>
      </c>
      <c r="X129" s="15" t="s">
        <v>550</v>
      </c>
      <c r="Y129" s="15"/>
    </row>
    <row r="130" spans="1:25" ht="12.75" customHeight="1" x14ac:dyDescent="0.2">
      <c r="A130" s="23" t="s">
        <v>118</v>
      </c>
      <c r="B130" s="2" t="str">
        <f>A130&amp;COUNTIF($A$2:$A130,A130)</f>
        <v>Old World Alliance5</v>
      </c>
      <c r="C130" s="2" t="s">
        <v>243</v>
      </c>
      <c r="D130" s="2" t="str">
        <f t="shared" si="0"/>
        <v>Old World AllianceBlitzer</v>
      </c>
      <c r="E130" s="2">
        <v>7</v>
      </c>
      <c r="F130" s="2">
        <v>3</v>
      </c>
      <c r="G130" s="2">
        <v>3</v>
      </c>
      <c r="H130" s="2">
        <v>4</v>
      </c>
      <c r="I130" s="2">
        <v>9</v>
      </c>
      <c r="J130" s="2" t="str">
        <f>IF('Pack BB2020'!$J$24="Español",V130,(IF('Pack BB2020'!$J$24="Deutsch",W130,(IF('Pack BB2020'!$J$24="Français",X130,U130)))))</f>
        <v>Animosidad (todos los Enanos y Halflings), Placar</v>
      </c>
      <c r="K130" s="1">
        <v>90000</v>
      </c>
      <c r="L130" s="1">
        <f t="shared" si="10"/>
        <v>90</v>
      </c>
      <c r="M130" s="2">
        <v>1</v>
      </c>
      <c r="N130" s="2">
        <v>0</v>
      </c>
      <c r="O130" s="1" t="s">
        <v>170</v>
      </c>
      <c r="P130" s="1" t="s">
        <v>169</v>
      </c>
      <c r="Q130" s="1" t="s">
        <v>170</v>
      </c>
      <c r="R130" s="1">
        <v>0</v>
      </c>
      <c r="S130" s="1">
        <v>0</v>
      </c>
      <c r="T130" s="15" t="str">
        <f t="shared" si="7"/>
        <v>PM</v>
      </c>
      <c r="U130" s="15" t="s">
        <v>551</v>
      </c>
      <c r="V130" s="2" t="s">
        <v>552</v>
      </c>
      <c r="W130" s="15" t="s">
        <v>553</v>
      </c>
      <c r="X130" s="15" t="s">
        <v>554</v>
      </c>
      <c r="Y130" s="15"/>
    </row>
    <row r="131" spans="1:25" ht="12.75" customHeight="1" x14ac:dyDescent="0.2">
      <c r="A131" s="23" t="s">
        <v>118</v>
      </c>
      <c r="B131" s="2" t="str">
        <f>A131&amp;COUNTIF($A$2:$A131,A131)</f>
        <v>Old World Alliance6</v>
      </c>
      <c r="C131" s="2" t="s">
        <v>403</v>
      </c>
      <c r="D131" s="2" t="str">
        <f t="shared" si="0"/>
        <v>Old World AllianceHalfling Hopeful</v>
      </c>
      <c r="E131" s="2">
        <v>5</v>
      </c>
      <c r="F131" s="2">
        <v>2</v>
      </c>
      <c r="G131" s="2">
        <v>3</v>
      </c>
      <c r="H131" s="2">
        <v>4</v>
      </c>
      <c r="I131" s="2">
        <v>7</v>
      </c>
      <c r="J131" s="2" t="str">
        <f>IF('Pack BB2020'!$J$24="Español",V131,(IF('Pack BB2020'!$J$24="Deutsch",W131,(IF('Pack BB2020'!$J$24="Français",X131,U131)))))</f>
        <v>Animosidad (todos los Enanos y Humanos), Esquivar, Humanoide bala, Escurridizo</v>
      </c>
      <c r="K131" s="1">
        <v>30000</v>
      </c>
      <c r="L131" s="1">
        <f t="shared" si="10"/>
        <v>30</v>
      </c>
      <c r="M131" s="2">
        <v>2</v>
      </c>
      <c r="N131" s="2">
        <v>0</v>
      </c>
      <c r="O131" s="1" t="s">
        <v>169</v>
      </c>
      <c r="P131" s="1" t="s">
        <v>170</v>
      </c>
      <c r="Q131" s="1" t="s">
        <v>169</v>
      </c>
      <c r="R131" s="1">
        <v>0</v>
      </c>
      <c r="S131" s="1">
        <v>0</v>
      </c>
      <c r="T131" s="15" t="str">
        <f t="shared" ref="T131:T194" si="13">IF(K131=0,"",(IF(O131=0,"GPSM",(IF(AND(R131=0,S131=0),"PM",(IF(S131=0,"M",(IF(R131=0,"P","FULL")))))))))</f>
        <v>PM</v>
      </c>
      <c r="U131" s="15" t="s">
        <v>555</v>
      </c>
      <c r="V131" s="2" t="s">
        <v>556</v>
      </c>
      <c r="W131" s="15" t="s">
        <v>557</v>
      </c>
      <c r="X131" s="15" t="s">
        <v>558</v>
      </c>
      <c r="Y131" s="15"/>
    </row>
    <row r="132" spans="1:25" ht="12.75" customHeight="1" x14ac:dyDescent="0.2">
      <c r="A132" s="23" t="s">
        <v>118</v>
      </c>
      <c r="B132" s="2" t="str">
        <f>A132&amp;COUNTIF($A$2:$A132,A132)</f>
        <v>Old World Alliance7</v>
      </c>
      <c r="C132" s="2" t="s">
        <v>559</v>
      </c>
      <c r="D132" s="2" t="str">
        <f t="shared" si="0"/>
        <v>Old World AllianceDwarf Blocker</v>
      </c>
      <c r="E132" s="2">
        <v>4</v>
      </c>
      <c r="F132" s="2">
        <v>3</v>
      </c>
      <c r="G132" s="2">
        <v>4</v>
      </c>
      <c r="H132" s="2">
        <v>5</v>
      </c>
      <c r="I132" s="2">
        <v>10</v>
      </c>
      <c r="J132" s="2" t="str">
        <f>IF('Pack BB2020'!$J$24="Español",V132,(IF('Pack BB2020'!$J$24="Deutsch",W132,(IF('Pack BB2020'!$J$24="Français",X132,U132)))))</f>
        <v>Llave de brazo, Luchador, Solitario (3+), Cabeza dura</v>
      </c>
      <c r="K132" s="1">
        <v>75000</v>
      </c>
      <c r="L132" s="1">
        <f t="shared" si="10"/>
        <v>75</v>
      </c>
      <c r="M132" s="7">
        <v>2</v>
      </c>
      <c r="N132" s="7">
        <v>0</v>
      </c>
      <c r="O132" s="1" t="s">
        <v>170</v>
      </c>
      <c r="P132" s="1" t="s">
        <v>169</v>
      </c>
      <c r="Q132" s="1" t="s">
        <v>170</v>
      </c>
      <c r="R132" s="1">
        <v>0</v>
      </c>
      <c r="S132" s="1">
        <v>0</v>
      </c>
      <c r="T132" s="15" t="str">
        <f t="shared" si="13"/>
        <v>PM</v>
      </c>
      <c r="U132" s="15" t="s">
        <v>560</v>
      </c>
      <c r="V132" s="2" t="s">
        <v>561</v>
      </c>
      <c r="W132" s="15" t="s">
        <v>562</v>
      </c>
      <c r="X132" s="15" t="s">
        <v>563</v>
      </c>
      <c r="Y132" s="15"/>
    </row>
    <row r="133" spans="1:25" ht="12.75" customHeight="1" x14ac:dyDescent="0.2">
      <c r="A133" s="23" t="s">
        <v>118</v>
      </c>
      <c r="B133" s="2" t="str">
        <f>A133&amp;COUNTIF($A$2:$A133,A133)</f>
        <v>Old World Alliance8</v>
      </c>
      <c r="C133" s="2" t="s">
        <v>564</v>
      </c>
      <c r="D133" s="2" t="str">
        <f t="shared" si="0"/>
        <v>Old World AllianceDwarf Runner</v>
      </c>
      <c r="E133" s="2">
        <v>6</v>
      </c>
      <c r="F133" s="2">
        <v>3</v>
      </c>
      <c r="G133" s="2">
        <v>3</v>
      </c>
      <c r="H133" s="2">
        <v>4</v>
      </c>
      <c r="I133" s="2">
        <v>9</v>
      </c>
      <c r="J133" s="2" t="str">
        <f>IF('Pack BB2020'!$J$24="Español",V133,(IF('Pack BB2020'!$J$24="Deutsch",W133,(IF('Pack BB2020'!$J$24="Français",X133,U133)))))</f>
        <v>Solitario (3+), Manos seguras, Cabeza dura</v>
      </c>
      <c r="K133" s="1">
        <v>85000</v>
      </c>
      <c r="L133" s="1">
        <f t="shared" si="10"/>
        <v>85</v>
      </c>
      <c r="M133" s="1">
        <v>1</v>
      </c>
      <c r="N133" s="1">
        <v>0</v>
      </c>
      <c r="O133" s="1" t="s">
        <v>170</v>
      </c>
      <c r="P133" s="1" t="s">
        <v>169</v>
      </c>
      <c r="Q133" s="1" t="s">
        <v>169</v>
      </c>
      <c r="R133" s="1" t="s">
        <v>170</v>
      </c>
      <c r="S133" s="1">
        <v>0</v>
      </c>
      <c r="T133" s="15" t="str">
        <f t="shared" si="13"/>
        <v>M</v>
      </c>
      <c r="U133" s="15" t="s">
        <v>565</v>
      </c>
      <c r="V133" s="2" t="s">
        <v>566</v>
      </c>
      <c r="W133" s="15" t="s">
        <v>567</v>
      </c>
      <c r="X133" s="15" t="s">
        <v>568</v>
      </c>
      <c r="Y133" s="15"/>
    </row>
    <row r="134" spans="1:25" ht="12.75" customHeight="1" x14ac:dyDescent="0.2">
      <c r="A134" s="23" t="s">
        <v>118</v>
      </c>
      <c r="B134" s="2" t="str">
        <f>A134&amp;COUNTIF($A$2:$A134,A134)</f>
        <v>Old World Alliance9</v>
      </c>
      <c r="C134" s="2" t="s">
        <v>569</v>
      </c>
      <c r="D134" s="2" t="str">
        <f t="shared" si="0"/>
        <v>Old World AllianceDwarf Blitzer</v>
      </c>
      <c r="E134" s="2">
        <v>5</v>
      </c>
      <c r="F134" s="2">
        <v>3</v>
      </c>
      <c r="G134" s="2">
        <v>3</v>
      </c>
      <c r="H134" s="2">
        <v>4</v>
      </c>
      <c r="I134" s="2">
        <v>10</v>
      </c>
      <c r="J134" s="2" t="str">
        <f>IF('Pack BB2020'!$J$24="Español",V134,(IF('Pack BB2020'!$J$24="Deutsch",W134,(IF('Pack BB2020'!$J$24="Français",X134,U134)))))</f>
        <v>Placar, Solitario (3+), Cabeza dura</v>
      </c>
      <c r="K134" s="1">
        <v>80000</v>
      </c>
      <c r="L134" s="1">
        <f t="shared" si="10"/>
        <v>80</v>
      </c>
      <c r="M134" s="1">
        <v>1</v>
      </c>
      <c r="N134" s="1">
        <v>0</v>
      </c>
      <c r="O134" s="1" t="s">
        <v>170</v>
      </c>
      <c r="P134" s="1" t="s">
        <v>169</v>
      </c>
      <c r="Q134" s="1" t="s">
        <v>170</v>
      </c>
      <c r="R134" s="1">
        <v>0</v>
      </c>
      <c r="S134" s="1">
        <v>0</v>
      </c>
      <c r="T134" s="15" t="str">
        <f t="shared" si="13"/>
        <v>PM</v>
      </c>
      <c r="U134" s="15" t="s">
        <v>570</v>
      </c>
      <c r="V134" s="2" t="s">
        <v>571</v>
      </c>
      <c r="W134" s="15" t="s">
        <v>572</v>
      </c>
      <c r="X134" s="15" t="s">
        <v>573</v>
      </c>
      <c r="Y134" s="15"/>
    </row>
    <row r="135" spans="1:25" ht="12.75" customHeight="1" x14ac:dyDescent="0.2">
      <c r="A135" s="23" t="s">
        <v>118</v>
      </c>
      <c r="B135" s="2" t="str">
        <f>A135&amp;COUNTIF($A$2:$A135,A135)</f>
        <v>Old World Alliance10</v>
      </c>
      <c r="C135" s="2" t="s">
        <v>574</v>
      </c>
      <c r="D135" s="2" t="str">
        <f t="shared" si="0"/>
        <v>Old World AllianceDwarf Troll Slayer</v>
      </c>
      <c r="E135" s="2">
        <v>5</v>
      </c>
      <c r="F135" s="2">
        <v>3</v>
      </c>
      <c r="G135" s="2">
        <v>4</v>
      </c>
      <c r="H135" s="2">
        <v>0</v>
      </c>
      <c r="I135" s="2">
        <v>9</v>
      </c>
      <c r="J135" s="2" t="str">
        <f>IF('Pack BB2020'!$J$24="Español",V135,(IF('Pack BB2020'!$J$24="Deutsch",W135,(IF('Pack BB2020'!$J$24="Français",X135,U135)))))</f>
        <v>Placar, Furia, Agallas, Solitario (3+), Cabeza dura</v>
      </c>
      <c r="K135" s="1">
        <v>95000</v>
      </c>
      <c r="L135" s="1">
        <f t="shared" si="10"/>
        <v>95</v>
      </c>
      <c r="M135" s="1">
        <v>1</v>
      </c>
      <c r="N135" s="1">
        <v>0</v>
      </c>
      <c r="O135" s="1" t="s">
        <v>170</v>
      </c>
      <c r="P135" s="1" t="s">
        <v>169</v>
      </c>
      <c r="Q135" s="1" t="s">
        <v>170</v>
      </c>
      <c r="R135" s="12">
        <v>0</v>
      </c>
      <c r="S135" s="1">
        <v>0</v>
      </c>
      <c r="T135" s="15" t="str">
        <f t="shared" si="13"/>
        <v>PM</v>
      </c>
      <c r="U135" s="15" t="s">
        <v>575</v>
      </c>
      <c r="V135" s="15" t="s">
        <v>576</v>
      </c>
      <c r="W135" s="15" t="s">
        <v>577</v>
      </c>
      <c r="X135" s="15" t="s">
        <v>578</v>
      </c>
      <c r="Y135" s="15"/>
    </row>
    <row r="136" spans="1:25" ht="12.75" customHeight="1" x14ac:dyDescent="0.2">
      <c r="A136" s="23" t="s">
        <v>118</v>
      </c>
      <c r="B136" s="2" t="str">
        <f>A136&amp;COUNTIF($A$2:$A136,A136)</f>
        <v>Old World Alliance11</v>
      </c>
      <c r="C136" s="2" t="s">
        <v>110</v>
      </c>
      <c r="D136" s="2" t="str">
        <f t="shared" si="0"/>
        <v>Old World AllianceOgre</v>
      </c>
      <c r="E136" s="2">
        <v>5</v>
      </c>
      <c r="F136" s="2">
        <v>5</v>
      </c>
      <c r="G136" s="2">
        <v>4</v>
      </c>
      <c r="H136" s="2">
        <v>5</v>
      </c>
      <c r="I136" s="2">
        <v>10</v>
      </c>
      <c r="J136" s="2" t="str">
        <f>IF('Pack BB2020'!$J$24="Español",V136,(IF('Pack BB2020'!$J$24="Deutsch",W136,(IF('Pack BB2020'!$J$24="Français",X136,U136)))))</f>
        <v>Estúpido, Solitario (4+), Golpe mortífero (+1), Cabeza dura, Lanzar Compañero</v>
      </c>
      <c r="K136" s="1">
        <v>140000</v>
      </c>
      <c r="L136" s="1">
        <f t="shared" si="10"/>
        <v>140</v>
      </c>
      <c r="M136" s="2">
        <v>1</v>
      </c>
      <c r="N136" s="2">
        <v>1</v>
      </c>
      <c r="O136" s="1" t="s">
        <v>169</v>
      </c>
      <c r="P136" s="1" t="s">
        <v>169</v>
      </c>
      <c r="Q136" s="1" t="s">
        <v>170</v>
      </c>
      <c r="R136" s="1">
        <v>0</v>
      </c>
      <c r="S136" s="1">
        <v>0</v>
      </c>
      <c r="T136" s="15" t="str">
        <f t="shared" si="13"/>
        <v>PM</v>
      </c>
      <c r="U136" s="15" t="s">
        <v>270</v>
      </c>
      <c r="V136" s="15" t="s">
        <v>271</v>
      </c>
      <c r="W136" s="15" t="s">
        <v>272</v>
      </c>
      <c r="X136" s="15" t="s">
        <v>273</v>
      </c>
      <c r="Y136" s="15"/>
    </row>
    <row r="137" spans="1:25" ht="12.75" customHeight="1" x14ac:dyDescent="0.2">
      <c r="A137" s="23" t="s">
        <v>118</v>
      </c>
      <c r="B137" s="2" t="str">
        <f>A137&amp;COUNTIF($A$2:$A137,A137)</f>
        <v>Old World Alliance12</v>
      </c>
      <c r="C137" s="2" t="s">
        <v>414</v>
      </c>
      <c r="D137" s="2" t="str">
        <f t="shared" si="0"/>
        <v>Old World AllianceForest Treeman</v>
      </c>
      <c r="E137" s="2">
        <v>2</v>
      </c>
      <c r="F137" s="2">
        <v>6</v>
      </c>
      <c r="G137" s="2">
        <v>5</v>
      </c>
      <c r="H137" s="2">
        <v>5</v>
      </c>
      <c r="I137" s="2">
        <v>11</v>
      </c>
      <c r="J137" s="2" t="str">
        <f>IF('Pack BB2020'!$J$24="Español",V137,(IF('Pack BB2020'!$J$24="Deutsch",W137,(IF('Pack BB2020'!$J$24="Français",X137,U137)))))</f>
        <v>Golpe mortífero (+1), Solitario (4+), Mantenerse firme, Brazo fuerte, Echar raíces, Cabeza dura, Lanzar compañero, ¡Tronco va!</v>
      </c>
      <c r="K137" s="1">
        <v>120000</v>
      </c>
      <c r="L137" s="1">
        <f t="shared" si="10"/>
        <v>120</v>
      </c>
      <c r="M137" s="1">
        <v>1</v>
      </c>
      <c r="N137" s="1">
        <v>1</v>
      </c>
      <c r="O137" s="1" t="s">
        <v>169</v>
      </c>
      <c r="P137" s="1" t="s">
        <v>169</v>
      </c>
      <c r="Q137" s="1" t="s">
        <v>170</v>
      </c>
      <c r="R137" s="1" t="s">
        <v>169</v>
      </c>
      <c r="S137" s="1">
        <v>0</v>
      </c>
      <c r="T137" s="15" t="str">
        <f t="shared" si="13"/>
        <v>M</v>
      </c>
      <c r="U137" s="11" t="s">
        <v>579</v>
      </c>
      <c r="V137" s="11" t="s">
        <v>580</v>
      </c>
      <c r="W137" s="11" t="s">
        <v>581</v>
      </c>
      <c r="X137" s="18" t="s">
        <v>582</v>
      </c>
      <c r="Y137" s="15"/>
    </row>
    <row r="138" spans="1:25" ht="12.75" customHeight="1" x14ac:dyDescent="0.2">
      <c r="A138" s="23" t="s">
        <v>123</v>
      </c>
      <c r="B138" s="2" t="str">
        <f>A138&amp;COUNTIF($A$2:$A138,A138)</f>
        <v>Orc1</v>
      </c>
      <c r="C138" s="2" t="str">
        <f>""</f>
        <v/>
      </c>
      <c r="D138" s="2" t="str">
        <f t="shared" si="0"/>
        <v>Orc</v>
      </c>
      <c r="E138" s="2">
        <v>0</v>
      </c>
      <c r="F138" s="2">
        <v>0</v>
      </c>
      <c r="G138" s="2">
        <v>0</v>
      </c>
      <c r="H138" s="2">
        <v>0</v>
      </c>
      <c r="I138" s="2">
        <v>0</v>
      </c>
      <c r="J138" s="2">
        <f>IF('Pack BB2020'!$J$24="Español",V138,(IF('Pack BB2020'!$J$24="Deutsch",W138,(IF('Pack BB2020'!$J$24="Français",X138,U138)))))</f>
        <v>0</v>
      </c>
      <c r="K138" s="1">
        <v>0</v>
      </c>
      <c r="L138" s="1">
        <f t="shared" si="10"/>
        <v>0</v>
      </c>
      <c r="M138" s="1">
        <v>0</v>
      </c>
      <c r="N138" s="1">
        <v>0</v>
      </c>
      <c r="O138" s="1"/>
      <c r="P138" s="1"/>
      <c r="Q138" s="1"/>
      <c r="R138" s="1"/>
      <c r="S138" s="1"/>
      <c r="T138" s="15" t="str">
        <f t="shared" si="13"/>
        <v/>
      </c>
      <c r="U138" s="15">
        <v>0</v>
      </c>
      <c r="V138" s="15">
        <v>0</v>
      </c>
      <c r="W138" s="15">
        <v>0</v>
      </c>
      <c r="X138" s="15">
        <v>0</v>
      </c>
      <c r="Y138" s="15">
        <v>0</v>
      </c>
    </row>
    <row r="139" spans="1:25" ht="12.75" customHeight="1" x14ac:dyDescent="0.2">
      <c r="A139" s="23" t="s">
        <v>123</v>
      </c>
      <c r="B139" s="2" t="str">
        <f>A139&amp;COUNTIF($A$2:$A139,A139)</f>
        <v>Orc2</v>
      </c>
      <c r="C139" s="2" t="s">
        <v>319</v>
      </c>
      <c r="D139" s="2" t="str">
        <f t="shared" si="0"/>
        <v>OrcLineman</v>
      </c>
      <c r="E139" s="2">
        <v>5</v>
      </c>
      <c r="F139" s="2">
        <v>3</v>
      </c>
      <c r="G139" s="2">
        <v>3</v>
      </c>
      <c r="H139" s="2">
        <v>4</v>
      </c>
      <c r="I139" s="2">
        <v>10</v>
      </c>
      <c r="J139" s="2" t="str">
        <f>IF('Pack BB2020'!$J$24="Español",V139,(IF('Pack BB2020'!$J$24="Deutsch",W139,(IF('Pack BB2020'!$J$24="Français",X139,U139)))))</f>
        <v>Animosidad (Orc Linemen)</v>
      </c>
      <c r="K139" s="1">
        <v>50000</v>
      </c>
      <c r="L139" s="1">
        <f t="shared" si="10"/>
        <v>50</v>
      </c>
      <c r="M139" s="2">
        <v>16</v>
      </c>
      <c r="N139" s="2">
        <v>0</v>
      </c>
      <c r="O139" s="1" t="s">
        <v>170</v>
      </c>
      <c r="P139" s="1" t="s">
        <v>169</v>
      </c>
      <c r="Q139" s="1" t="s">
        <v>169</v>
      </c>
      <c r="R139" s="1">
        <v>0</v>
      </c>
      <c r="S139" s="1">
        <v>0</v>
      </c>
      <c r="T139" s="15" t="str">
        <f t="shared" si="13"/>
        <v>PM</v>
      </c>
      <c r="U139" s="15" t="s">
        <v>583</v>
      </c>
      <c r="V139" s="15" t="s">
        <v>584</v>
      </c>
      <c r="W139" s="15" t="s">
        <v>585</v>
      </c>
      <c r="X139" s="15" t="s">
        <v>586</v>
      </c>
      <c r="Y139" s="15"/>
    </row>
    <row r="140" spans="1:25" ht="12.75" customHeight="1" x14ac:dyDescent="0.2">
      <c r="A140" s="23" t="s">
        <v>123</v>
      </c>
      <c r="B140" s="2" t="str">
        <f>A140&amp;COUNTIF($A$2:$A140,A140)</f>
        <v>Orc3</v>
      </c>
      <c r="C140" s="2" t="s">
        <v>587</v>
      </c>
      <c r="D140" s="2" t="str">
        <f t="shared" si="0"/>
        <v xml:space="preserve">OrcGoblin </v>
      </c>
      <c r="E140" s="2">
        <v>6</v>
      </c>
      <c r="F140" s="2">
        <v>2</v>
      </c>
      <c r="G140" s="2">
        <v>3</v>
      </c>
      <c r="H140" s="2">
        <v>4</v>
      </c>
      <c r="I140" s="2">
        <v>8</v>
      </c>
      <c r="J140" s="2" t="str">
        <f>IF('Pack BB2020'!$J$24="Español",V140,(IF('Pack BB2020'!$J$24="Deutsch",W140,(IF('Pack BB2020'!$J$24="Français",X140,U140)))))</f>
        <v>Esquivar, Humanoide bala, Escurridizo</v>
      </c>
      <c r="K140" s="1">
        <v>40000</v>
      </c>
      <c r="L140" s="1">
        <f t="shared" si="10"/>
        <v>40</v>
      </c>
      <c r="M140" s="2">
        <v>4</v>
      </c>
      <c r="N140" s="2">
        <v>0</v>
      </c>
      <c r="O140" s="1" t="s">
        <v>169</v>
      </c>
      <c r="P140" s="1" t="s">
        <v>170</v>
      </c>
      <c r="Q140" s="1" t="s">
        <v>169</v>
      </c>
      <c r="R140" s="1">
        <v>0</v>
      </c>
      <c r="S140" s="1">
        <v>0</v>
      </c>
      <c r="T140" s="15" t="str">
        <f t="shared" si="13"/>
        <v>PM</v>
      </c>
      <c r="U140" s="15" t="s">
        <v>368</v>
      </c>
      <c r="V140" s="15" t="s">
        <v>369</v>
      </c>
      <c r="W140" s="15" t="s">
        <v>370</v>
      </c>
      <c r="X140" s="15" t="s">
        <v>371</v>
      </c>
      <c r="Y140" s="15"/>
    </row>
    <row r="141" spans="1:25" ht="12.75" customHeight="1" x14ac:dyDescent="0.2">
      <c r="A141" s="23" t="s">
        <v>123</v>
      </c>
      <c r="B141" s="2" t="str">
        <f>A141&amp;COUNTIF($A$2:$A141,A141)</f>
        <v>Orc4</v>
      </c>
      <c r="C141" s="2" t="s">
        <v>241</v>
      </c>
      <c r="D141" s="2" t="str">
        <f t="shared" si="0"/>
        <v>OrcThrower</v>
      </c>
      <c r="E141" s="2">
        <v>5</v>
      </c>
      <c r="F141" s="2">
        <v>3</v>
      </c>
      <c r="G141" s="2">
        <v>3</v>
      </c>
      <c r="H141" s="2">
        <v>3</v>
      </c>
      <c r="I141" s="2">
        <v>9</v>
      </c>
      <c r="J141" s="2" t="str">
        <f>IF('Pack BB2020'!$J$24="Español",V141,(IF('Pack BB2020'!$J$24="Deutsch",W141,(IF('Pack BB2020'!$J$24="Français",X141,U141)))))</f>
        <v>Animosidad (todo el equipo), Pasar, Manos seguras</v>
      </c>
      <c r="K141" s="1">
        <v>65000</v>
      </c>
      <c r="L141" s="1">
        <f t="shared" si="10"/>
        <v>65</v>
      </c>
      <c r="M141" s="2">
        <v>2</v>
      </c>
      <c r="N141" s="2">
        <v>0</v>
      </c>
      <c r="O141" s="1" t="s">
        <v>170</v>
      </c>
      <c r="P141" s="1" t="s">
        <v>169</v>
      </c>
      <c r="Q141" s="1" t="s">
        <v>170</v>
      </c>
      <c r="R141" s="1" t="s">
        <v>170</v>
      </c>
      <c r="S141" s="1">
        <v>0</v>
      </c>
      <c r="T141" s="15" t="str">
        <f t="shared" si="13"/>
        <v>M</v>
      </c>
      <c r="U141" s="15" t="s">
        <v>1131</v>
      </c>
      <c r="V141" s="15" t="s">
        <v>588</v>
      </c>
      <c r="W141" s="15" t="s">
        <v>589</v>
      </c>
      <c r="X141" s="15" t="s">
        <v>590</v>
      </c>
      <c r="Y141" s="15"/>
    </row>
    <row r="142" spans="1:25" ht="12.75" customHeight="1" x14ac:dyDescent="0.2">
      <c r="A142" s="23" t="s">
        <v>123</v>
      </c>
      <c r="B142" s="2" t="str">
        <f>A142&amp;COUNTIF($A$2:$A142,A142)</f>
        <v>Orc5</v>
      </c>
      <c r="C142" s="2" t="s">
        <v>591</v>
      </c>
      <c r="D142" s="2" t="str">
        <f t="shared" si="0"/>
        <v>OrcBig Un</v>
      </c>
      <c r="E142" s="2">
        <v>5</v>
      </c>
      <c r="F142" s="2">
        <v>4</v>
      </c>
      <c r="G142" s="2">
        <v>4</v>
      </c>
      <c r="H142" s="2">
        <v>0</v>
      </c>
      <c r="I142" s="2">
        <v>10</v>
      </c>
      <c r="J142" s="2" t="str">
        <f>IF('Pack BB2020'!$J$24="Español",V142,(IF('Pack BB2020'!$J$24="Deutsch",W142,(IF('Pack BB2020'!$J$24="Français",X142,U142)))))</f>
        <v>Animosidad (Big Un Blockers)</v>
      </c>
      <c r="K142" s="1">
        <v>90000</v>
      </c>
      <c r="L142" s="1">
        <f t="shared" si="10"/>
        <v>90</v>
      </c>
      <c r="M142" s="2">
        <v>4</v>
      </c>
      <c r="N142" s="2">
        <v>0</v>
      </c>
      <c r="O142" s="1" t="s">
        <v>170</v>
      </c>
      <c r="P142" s="1" t="s">
        <v>169</v>
      </c>
      <c r="Q142" s="1" t="s">
        <v>170</v>
      </c>
      <c r="R142" s="12">
        <v>0</v>
      </c>
      <c r="S142" s="1">
        <v>0</v>
      </c>
      <c r="T142" s="15" t="str">
        <f t="shared" si="13"/>
        <v>PM</v>
      </c>
      <c r="U142" s="15" t="s">
        <v>592</v>
      </c>
      <c r="V142" s="15" t="s">
        <v>593</v>
      </c>
      <c r="W142" s="15" t="s">
        <v>594</v>
      </c>
      <c r="X142" s="15" t="s">
        <v>595</v>
      </c>
      <c r="Y142" s="15"/>
    </row>
    <row r="143" spans="1:25" ht="12.75" customHeight="1" x14ac:dyDescent="0.2">
      <c r="A143" s="23" t="s">
        <v>123</v>
      </c>
      <c r="B143" s="2" t="str">
        <f>A143&amp;COUNTIF($A$2:$A143,A143)</f>
        <v>Orc6</v>
      </c>
      <c r="C143" s="2" t="s">
        <v>243</v>
      </c>
      <c r="D143" s="2" t="str">
        <f t="shared" si="0"/>
        <v>OrcBlitzer</v>
      </c>
      <c r="E143" s="2">
        <v>6</v>
      </c>
      <c r="F143" s="2">
        <v>3</v>
      </c>
      <c r="G143" s="2">
        <v>3</v>
      </c>
      <c r="H143" s="2">
        <v>4</v>
      </c>
      <c r="I143" s="2">
        <v>10</v>
      </c>
      <c r="J143" s="2" t="str">
        <f>IF('Pack BB2020'!$J$24="Español",V143,(IF('Pack BB2020'!$J$24="Deutsch",W143,(IF('Pack BB2020'!$J$24="Français",X143,U143)))))</f>
        <v>Animosidad (todo el equipo), Placar</v>
      </c>
      <c r="K143" s="1">
        <v>80000</v>
      </c>
      <c r="L143" s="1">
        <f t="shared" ref="L143:L193" si="14">K143/1000</f>
        <v>80</v>
      </c>
      <c r="M143" s="2">
        <v>4</v>
      </c>
      <c r="N143" s="2">
        <v>0</v>
      </c>
      <c r="O143" s="1" t="s">
        <v>170</v>
      </c>
      <c r="P143" s="1" t="s">
        <v>169</v>
      </c>
      <c r="Q143" s="1" t="s">
        <v>170</v>
      </c>
      <c r="R143" s="1" t="s">
        <v>169</v>
      </c>
      <c r="S143" s="1">
        <v>0</v>
      </c>
      <c r="T143" s="15" t="str">
        <f t="shared" si="13"/>
        <v>M</v>
      </c>
      <c r="U143" s="15" t="s">
        <v>1132</v>
      </c>
      <c r="V143" s="2" t="s">
        <v>596</v>
      </c>
      <c r="W143" s="15" t="s">
        <v>597</v>
      </c>
      <c r="X143" s="15" t="s">
        <v>598</v>
      </c>
      <c r="Y143" s="15"/>
    </row>
    <row r="144" spans="1:25" ht="12.75" customHeight="1" x14ac:dyDescent="0.2">
      <c r="A144" s="23" t="s">
        <v>123</v>
      </c>
      <c r="B144" s="2" t="str">
        <f>A144&amp;COUNTIF($A$2:$A144,A144)</f>
        <v>Orc7</v>
      </c>
      <c r="C144" s="2" t="s">
        <v>599</v>
      </c>
      <c r="D144" s="2" t="str">
        <f t="shared" si="0"/>
        <v>OrcUntrained Troll</v>
      </c>
      <c r="E144" s="2">
        <v>4</v>
      </c>
      <c r="F144" s="2">
        <v>5</v>
      </c>
      <c r="G144" s="2">
        <v>5</v>
      </c>
      <c r="H144" s="2">
        <v>5</v>
      </c>
      <c r="I144" s="2">
        <v>10</v>
      </c>
      <c r="J144" s="2" t="str">
        <f>IF('Pack BB2020'!$J$24="Español",V144,(IF('Pack BB2020'!$J$24="Deutsch",W144,(IF('Pack BB2020'!$J$24="Français",X144,U144)))))</f>
        <v>Siempre hambriento, Solitario (4+), Golpe mortífero (+1), Proyectil de vómito, Realmente estúpido, Regeneración, Lanzar compañero</v>
      </c>
      <c r="K144" s="1">
        <v>115000</v>
      </c>
      <c r="L144" s="1">
        <f t="shared" si="14"/>
        <v>115</v>
      </c>
      <c r="M144" s="2">
        <v>1</v>
      </c>
      <c r="N144" s="2">
        <v>1</v>
      </c>
      <c r="O144" s="1" t="s">
        <v>169</v>
      </c>
      <c r="P144" s="1" t="s">
        <v>169</v>
      </c>
      <c r="Q144" s="1" t="s">
        <v>170</v>
      </c>
      <c r="R144" s="1" t="s">
        <v>169</v>
      </c>
      <c r="S144" s="1">
        <v>0</v>
      </c>
      <c r="T144" s="15" t="str">
        <f t="shared" si="13"/>
        <v>M</v>
      </c>
      <c r="U144" s="15" t="s">
        <v>265</v>
      </c>
      <c r="V144" s="2" t="s">
        <v>266</v>
      </c>
      <c r="W144" s="15" t="s">
        <v>267</v>
      </c>
      <c r="X144" s="15" t="s">
        <v>268</v>
      </c>
      <c r="Y144" s="15"/>
    </row>
    <row r="145" spans="1:25" ht="12.75" customHeight="1" x14ac:dyDescent="0.2">
      <c r="A145" s="23" t="s">
        <v>128</v>
      </c>
      <c r="B145" s="2" t="str">
        <f>A145&amp;COUNTIF($A$2:$A145,A145)</f>
        <v>Shambling Undead1</v>
      </c>
      <c r="C145" s="2" t="str">
        <f>""</f>
        <v/>
      </c>
      <c r="D145" s="2" t="str">
        <f t="shared" si="0"/>
        <v>Shambling Undead</v>
      </c>
      <c r="E145" s="2">
        <v>0</v>
      </c>
      <c r="F145" s="2">
        <v>0</v>
      </c>
      <c r="G145" s="2">
        <v>0</v>
      </c>
      <c r="H145" s="2">
        <v>0</v>
      </c>
      <c r="I145" s="2">
        <v>0</v>
      </c>
      <c r="J145" s="2">
        <f>IF('Pack BB2020'!$J$24="Español",V145,(IF('Pack BB2020'!$J$24="Deutsch",W145,(IF('Pack BB2020'!$J$24="Français",X145,U145)))))</f>
        <v>0</v>
      </c>
      <c r="K145" s="1">
        <v>0</v>
      </c>
      <c r="L145" s="1">
        <f t="shared" si="14"/>
        <v>0</v>
      </c>
      <c r="M145" s="1">
        <v>0</v>
      </c>
      <c r="N145" s="1">
        <v>0</v>
      </c>
      <c r="O145" s="1"/>
      <c r="P145" s="1"/>
      <c r="Q145" s="1"/>
      <c r="R145" s="1"/>
      <c r="S145" s="1"/>
      <c r="T145" s="15" t="str">
        <f t="shared" si="13"/>
        <v/>
      </c>
      <c r="U145" s="15">
        <v>0</v>
      </c>
      <c r="V145" s="15">
        <v>0</v>
      </c>
      <c r="W145" s="15">
        <v>0</v>
      </c>
      <c r="X145" s="15">
        <v>0</v>
      </c>
      <c r="Y145" s="15">
        <v>0</v>
      </c>
    </row>
    <row r="146" spans="1:25" ht="12.75" customHeight="1" x14ac:dyDescent="0.2">
      <c r="A146" s="23" t="s">
        <v>128</v>
      </c>
      <c r="B146" s="2" t="str">
        <f>A146&amp;COUNTIF($A$2:$A146,A146)</f>
        <v>Shambling Undead2</v>
      </c>
      <c r="C146" s="2" t="s">
        <v>600</v>
      </c>
      <c r="D146" s="2" t="str">
        <f t="shared" si="0"/>
        <v>Shambling UndeadSkeleton</v>
      </c>
      <c r="E146" s="2">
        <v>5</v>
      </c>
      <c r="F146" s="2">
        <v>3</v>
      </c>
      <c r="G146" s="2">
        <v>4</v>
      </c>
      <c r="H146" s="2">
        <v>6</v>
      </c>
      <c r="I146" s="2">
        <v>8</v>
      </c>
      <c r="J146" s="2" t="str">
        <f>IF('Pack BB2020'!$J$24="Español",V146,(IF('Pack BB2020'!$J$24="Deutsch",W146,(IF('Pack BB2020'!$J$24="Français",X146,U146)))))</f>
        <v>Regeneración, Cabeza dura</v>
      </c>
      <c r="K146" s="1">
        <v>40000</v>
      </c>
      <c r="L146" s="1">
        <f t="shared" si="14"/>
        <v>40</v>
      </c>
      <c r="M146" s="2">
        <v>16</v>
      </c>
      <c r="N146" s="2">
        <v>0</v>
      </c>
      <c r="O146" s="1" t="s">
        <v>170</v>
      </c>
      <c r="P146" s="1" t="s">
        <v>169</v>
      </c>
      <c r="Q146" s="1" t="s">
        <v>169</v>
      </c>
      <c r="R146" s="1">
        <v>0</v>
      </c>
      <c r="S146" s="1">
        <v>0</v>
      </c>
      <c r="T146" s="15" t="str">
        <f t="shared" si="13"/>
        <v>PM</v>
      </c>
      <c r="U146" s="15" t="s">
        <v>601</v>
      </c>
      <c r="V146" s="2" t="s">
        <v>602</v>
      </c>
      <c r="W146" s="15" t="s">
        <v>603</v>
      </c>
      <c r="X146" s="15" t="s">
        <v>604</v>
      </c>
      <c r="Y146" s="15"/>
    </row>
    <row r="147" spans="1:25" ht="12.75" customHeight="1" x14ac:dyDescent="0.2">
      <c r="A147" s="23" t="s">
        <v>128</v>
      </c>
      <c r="B147" s="2" t="str">
        <f>A147&amp;COUNTIF($A$2:$A147,A147)</f>
        <v>Shambling Undead3</v>
      </c>
      <c r="C147" s="2" t="s">
        <v>479</v>
      </c>
      <c r="D147" s="2" t="str">
        <f t="shared" si="0"/>
        <v>Shambling UndeadZombie</v>
      </c>
      <c r="E147" s="2">
        <v>4</v>
      </c>
      <c r="F147" s="2">
        <v>3</v>
      </c>
      <c r="G147" s="2">
        <v>4</v>
      </c>
      <c r="H147" s="2">
        <v>0</v>
      </c>
      <c r="I147" s="2">
        <v>9</v>
      </c>
      <c r="J147" s="2" t="str">
        <f>IF('Pack BB2020'!$J$24="Español",V147,(IF('Pack BB2020'!$J$24="Deutsch",W147,(IF('Pack BB2020'!$J$24="Français",X147,U147)))))</f>
        <v>Regeneración</v>
      </c>
      <c r="K147" s="1">
        <v>40000</v>
      </c>
      <c r="L147" s="1">
        <f t="shared" si="14"/>
        <v>40</v>
      </c>
      <c r="M147" s="2">
        <v>16</v>
      </c>
      <c r="N147" s="2">
        <v>0</v>
      </c>
      <c r="O147" s="1" t="s">
        <v>170</v>
      </c>
      <c r="P147" s="1" t="s">
        <v>169</v>
      </c>
      <c r="Q147" s="1" t="s">
        <v>169</v>
      </c>
      <c r="R147" s="12">
        <v>0</v>
      </c>
      <c r="S147" s="1">
        <v>0</v>
      </c>
      <c r="T147" s="15" t="str">
        <f t="shared" si="13"/>
        <v>PM</v>
      </c>
      <c r="U147" s="15" t="s">
        <v>480</v>
      </c>
      <c r="V147" s="2" t="s">
        <v>481</v>
      </c>
      <c r="W147" s="15" t="s">
        <v>480</v>
      </c>
      <c r="X147" s="15" t="s">
        <v>482</v>
      </c>
      <c r="Y147" s="15"/>
    </row>
    <row r="148" spans="1:25" ht="12.75" customHeight="1" x14ac:dyDescent="0.2">
      <c r="A148" s="23" t="s">
        <v>128</v>
      </c>
      <c r="B148" s="2" t="str">
        <f>A148&amp;COUNTIF($A$2:$A148,A148)</f>
        <v>Shambling Undead4</v>
      </c>
      <c r="C148" s="2" t="s">
        <v>483</v>
      </c>
      <c r="D148" s="2" t="str">
        <f t="shared" si="0"/>
        <v>Shambling UndeadGhoul</v>
      </c>
      <c r="E148" s="2">
        <v>7</v>
      </c>
      <c r="F148" s="2">
        <v>3</v>
      </c>
      <c r="G148" s="2">
        <v>3</v>
      </c>
      <c r="H148" s="2">
        <v>4</v>
      </c>
      <c r="I148" s="2">
        <v>8</v>
      </c>
      <c r="J148" s="2" t="str">
        <f>IF('Pack BB2020'!$J$24="Español",V148,(IF('Pack BB2020'!$J$24="Deutsch",W148,(IF('Pack BB2020'!$J$24="Français",X148,U148)))))</f>
        <v>Esquivar</v>
      </c>
      <c r="K148" s="1">
        <v>75000</v>
      </c>
      <c r="L148" s="1">
        <f t="shared" si="14"/>
        <v>75</v>
      </c>
      <c r="M148" s="2">
        <v>4</v>
      </c>
      <c r="N148" s="2">
        <v>0</v>
      </c>
      <c r="O148" s="1" t="s">
        <v>170</v>
      </c>
      <c r="P148" s="1" t="s">
        <v>170</v>
      </c>
      <c r="Q148" s="1" t="s">
        <v>169</v>
      </c>
      <c r="R148" s="1" t="s">
        <v>169</v>
      </c>
      <c r="S148" s="1">
        <v>0</v>
      </c>
      <c r="T148" s="15" t="str">
        <f t="shared" si="13"/>
        <v>M</v>
      </c>
      <c r="U148" s="15" t="s">
        <v>237</v>
      </c>
      <c r="V148" s="15" t="s">
        <v>238</v>
      </c>
      <c r="W148" s="15" t="s">
        <v>239</v>
      </c>
      <c r="X148" s="15" t="s">
        <v>240</v>
      </c>
      <c r="Y148" s="15"/>
    </row>
    <row r="149" spans="1:25" ht="12.75" customHeight="1" x14ac:dyDescent="0.2">
      <c r="A149" s="23" t="s">
        <v>128</v>
      </c>
      <c r="B149" s="2" t="str">
        <f>A149&amp;COUNTIF($A$2:$A149,A149)</f>
        <v>Shambling Undead5</v>
      </c>
      <c r="C149" s="2" t="s">
        <v>605</v>
      </c>
      <c r="D149" s="2" t="str">
        <f t="shared" si="0"/>
        <v>Shambling UndeadWight</v>
      </c>
      <c r="E149" s="2">
        <v>6</v>
      </c>
      <c r="F149" s="2">
        <v>3</v>
      </c>
      <c r="G149" s="2">
        <v>3</v>
      </c>
      <c r="H149" s="2">
        <v>5</v>
      </c>
      <c r="I149" s="2">
        <v>9</v>
      </c>
      <c r="J149" s="2" t="str">
        <f>IF('Pack BB2020'!$J$24="Español",V149,(IF('Pack BB2020'!$J$24="Deutsch",W149,(IF('Pack BB2020'!$J$24="Français",X149,U149)))))</f>
        <v>Placar, Regeneración</v>
      </c>
      <c r="K149" s="1">
        <v>90000</v>
      </c>
      <c r="L149" s="1">
        <f t="shared" si="14"/>
        <v>90</v>
      </c>
      <c r="M149" s="2">
        <v>2</v>
      </c>
      <c r="N149" s="2">
        <v>0</v>
      </c>
      <c r="O149" s="1" t="s">
        <v>170</v>
      </c>
      <c r="P149" s="1" t="s">
        <v>169</v>
      </c>
      <c r="Q149" s="1" t="s">
        <v>170</v>
      </c>
      <c r="R149" s="1" t="s">
        <v>169</v>
      </c>
      <c r="S149" s="1">
        <v>0</v>
      </c>
      <c r="T149" s="15" t="str">
        <f t="shared" si="13"/>
        <v>M</v>
      </c>
      <c r="U149" s="15" t="s">
        <v>606</v>
      </c>
      <c r="V149" s="15" t="s">
        <v>607</v>
      </c>
      <c r="W149" s="15" t="s">
        <v>606</v>
      </c>
      <c r="X149" s="15" t="s">
        <v>608</v>
      </c>
      <c r="Y149" s="15"/>
    </row>
    <row r="150" spans="1:25" ht="12.75" customHeight="1" x14ac:dyDescent="0.2">
      <c r="A150" s="23" t="s">
        <v>128</v>
      </c>
      <c r="B150" s="2" t="str">
        <f>A150&amp;COUNTIF($A$2:$A150,A150)</f>
        <v>Shambling Undead6</v>
      </c>
      <c r="C150" s="2" t="s">
        <v>609</v>
      </c>
      <c r="D150" s="2" t="str">
        <f t="shared" si="0"/>
        <v>Shambling UndeadMummy</v>
      </c>
      <c r="E150" s="2">
        <v>3</v>
      </c>
      <c r="F150" s="2">
        <v>5</v>
      </c>
      <c r="G150" s="2">
        <v>5</v>
      </c>
      <c r="H150" s="2">
        <v>0</v>
      </c>
      <c r="I150" s="2">
        <v>10</v>
      </c>
      <c r="J150" s="2" t="str">
        <f>IF('Pack BB2020'!$J$24="Español",V150,(IF('Pack BB2020'!$J$24="Deutsch",W150,(IF('Pack BB2020'!$J$24="Français",X150,U150)))))</f>
        <v>Golpe mortífero (+1), Regeneración</v>
      </c>
      <c r="K150" s="1">
        <v>125000</v>
      </c>
      <c r="L150" s="1">
        <f t="shared" si="14"/>
        <v>125</v>
      </c>
      <c r="M150" s="1">
        <v>2</v>
      </c>
      <c r="N150" s="1">
        <v>0</v>
      </c>
      <c r="O150" s="1" t="s">
        <v>169</v>
      </c>
      <c r="P150" s="1" t="s">
        <v>169</v>
      </c>
      <c r="Q150" s="1" t="s">
        <v>170</v>
      </c>
      <c r="R150" s="12">
        <v>0</v>
      </c>
      <c r="S150" s="1">
        <v>0</v>
      </c>
      <c r="T150" s="15" t="str">
        <f t="shared" si="13"/>
        <v>PM</v>
      </c>
      <c r="U150" s="15" t="s">
        <v>610</v>
      </c>
      <c r="V150" s="2" t="s">
        <v>611</v>
      </c>
      <c r="W150" s="15" t="s">
        <v>612</v>
      </c>
      <c r="X150" s="15" t="s">
        <v>613</v>
      </c>
      <c r="Y150" s="15"/>
    </row>
    <row r="151" spans="1:25" ht="12.75" customHeight="1" x14ac:dyDescent="0.2">
      <c r="A151" s="23" t="s">
        <v>134</v>
      </c>
      <c r="B151" s="2" t="str">
        <f>A151&amp;COUNTIF($A$2:$A151,A151)</f>
        <v>Slann1</v>
      </c>
      <c r="C151" s="2" t="str">
        <f>""</f>
        <v/>
      </c>
      <c r="D151" s="2" t="str">
        <f t="shared" si="0"/>
        <v>Slann</v>
      </c>
      <c r="E151" s="2">
        <v>0</v>
      </c>
      <c r="F151" s="2">
        <v>0</v>
      </c>
      <c r="G151" s="2">
        <v>0</v>
      </c>
      <c r="H151" s="2">
        <v>0</v>
      </c>
      <c r="I151" s="2">
        <v>0</v>
      </c>
      <c r="J151" s="2" t="str">
        <f>IF('Pack BB2020'!$J$24="Español",V151,(IF('Pack BB2020'!$J$24="Deutsch",W151,(IF('Pack BB2020'!$J$24="Français",X151,U151)))))</f>
        <v>Regeneración</v>
      </c>
      <c r="K151" s="1">
        <v>0</v>
      </c>
      <c r="L151" s="1">
        <f t="shared" si="14"/>
        <v>0</v>
      </c>
      <c r="M151" s="1">
        <v>0</v>
      </c>
      <c r="N151" s="1">
        <v>0</v>
      </c>
      <c r="O151" s="1"/>
      <c r="P151" s="1"/>
      <c r="Q151" s="1"/>
      <c r="R151" s="12"/>
      <c r="S151" s="1"/>
      <c r="T151" s="15" t="str">
        <f t="shared" si="13"/>
        <v/>
      </c>
      <c r="U151" s="15" t="s">
        <v>480</v>
      </c>
      <c r="V151" s="2" t="s">
        <v>481</v>
      </c>
      <c r="W151" s="15" t="s">
        <v>480</v>
      </c>
      <c r="X151" s="15" t="s">
        <v>482</v>
      </c>
      <c r="Y151" s="15">
        <v>0</v>
      </c>
    </row>
    <row r="152" spans="1:25" ht="12.75" customHeight="1" x14ac:dyDescent="0.2">
      <c r="A152" s="23" t="s">
        <v>134</v>
      </c>
      <c r="B152" s="2" t="str">
        <f>A152&amp;COUNTIF($A$2:$A152,A152)</f>
        <v>Slann2</v>
      </c>
      <c r="C152" s="2" t="s">
        <v>319</v>
      </c>
      <c r="D152" s="2" t="str">
        <f t="shared" si="0"/>
        <v>SlannLineman</v>
      </c>
      <c r="E152" s="2">
        <v>6</v>
      </c>
      <c r="F152" s="2">
        <v>3</v>
      </c>
      <c r="G152" s="2">
        <v>3</v>
      </c>
      <c r="H152" s="2">
        <v>4</v>
      </c>
      <c r="I152" s="2">
        <v>9</v>
      </c>
      <c r="J152" s="2" t="str">
        <f>IF('Pack BB2020'!$J$24="Español",V152,(IF('Pack BB2020'!$J$24="Deutsch",W152,(IF('Pack BB2020'!$J$24="Français",X152,U152)))))</f>
        <v>Pogo saltarín, Piernas muy largas</v>
      </c>
      <c r="K152" s="1">
        <v>60000</v>
      </c>
      <c r="L152" s="1">
        <f t="shared" si="14"/>
        <v>60</v>
      </c>
      <c r="M152" s="2">
        <v>16</v>
      </c>
      <c r="N152" s="2">
        <v>0</v>
      </c>
      <c r="O152" s="1" t="s">
        <v>170</v>
      </c>
      <c r="P152" s="1" t="s">
        <v>169</v>
      </c>
      <c r="Q152" s="1" t="s">
        <v>169</v>
      </c>
      <c r="R152" s="1">
        <v>0</v>
      </c>
      <c r="S152" s="1">
        <v>0</v>
      </c>
      <c r="T152" s="15" t="str">
        <f t="shared" si="13"/>
        <v>PM</v>
      </c>
      <c r="U152" s="15" t="s">
        <v>614</v>
      </c>
      <c r="V152" s="2" t="s">
        <v>615</v>
      </c>
      <c r="W152" s="15" t="s">
        <v>616</v>
      </c>
      <c r="X152" s="15" t="s">
        <v>617</v>
      </c>
      <c r="Y152" s="15"/>
    </row>
    <row r="153" spans="1:25" ht="12.75" customHeight="1" x14ac:dyDescent="0.2">
      <c r="A153" s="23" t="s">
        <v>134</v>
      </c>
      <c r="B153" s="2" t="str">
        <f>A153&amp;COUNTIF($A$2:$A153,A153)</f>
        <v>Slann3</v>
      </c>
      <c r="C153" s="2" t="s">
        <v>242</v>
      </c>
      <c r="D153" s="2" t="str">
        <f t="shared" si="0"/>
        <v>SlannCatcher</v>
      </c>
      <c r="E153" s="2">
        <v>7</v>
      </c>
      <c r="F153" s="2">
        <v>2</v>
      </c>
      <c r="G153" s="2">
        <v>2</v>
      </c>
      <c r="H153" s="2">
        <v>4</v>
      </c>
      <c r="I153" s="2">
        <v>8</v>
      </c>
      <c r="J153" s="2" t="str">
        <f>IF('Pack BB2020'!$J$24="Español",V153,(IF('Pack BB2020'!$J$24="Deutsch",W153,(IF('Pack BB2020'!$J$24="Français",X153,U153)))))</f>
        <v>Recepción heroica, Pogo saltarín, Piernas muy largas</v>
      </c>
      <c r="K153" s="1">
        <v>80000</v>
      </c>
      <c r="L153" s="1">
        <f t="shared" si="14"/>
        <v>80</v>
      </c>
      <c r="M153" s="2">
        <v>4</v>
      </c>
      <c r="N153" s="2">
        <v>0</v>
      </c>
      <c r="O153" s="1" t="s">
        <v>170</v>
      </c>
      <c r="P153" s="1" t="s">
        <v>170</v>
      </c>
      <c r="Q153" s="1" t="s">
        <v>169</v>
      </c>
      <c r="R153" s="1" t="s">
        <v>169</v>
      </c>
      <c r="S153" s="1">
        <v>0</v>
      </c>
      <c r="T153" s="15" t="str">
        <f t="shared" si="13"/>
        <v>M</v>
      </c>
      <c r="U153" s="15" t="s">
        <v>618</v>
      </c>
      <c r="V153" s="15" t="s">
        <v>619</v>
      </c>
      <c r="W153" s="15" t="s">
        <v>620</v>
      </c>
      <c r="X153" s="15" t="s">
        <v>621</v>
      </c>
      <c r="Y153" s="15"/>
    </row>
    <row r="154" spans="1:25" ht="12.75" customHeight="1" x14ac:dyDescent="0.2">
      <c r="A154" s="23" t="s">
        <v>134</v>
      </c>
      <c r="B154" s="2" t="str">
        <f>A154&amp;COUNTIF($A$2:$A154,A154)</f>
        <v>Slann4</v>
      </c>
      <c r="C154" s="2" t="s">
        <v>243</v>
      </c>
      <c r="D154" s="2" t="str">
        <f t="shared" si="0"/>
        <v>SlannBlitzer</v>
      </c>
      <c r="E154" s="2">
        <v>7</v>
      </c>
      <c r="F154" s="2">
        <v>3</v>
      </c>
      <c r="G154" s="2">
        <v>3</v>
      </c>
      <c r="H154" s="2">
        <v>4</v>
      </c>
      <c r="I154" s="2">
        <v>9</v>
      </c>
      <c r="J154" s="2" t="str">
        <f>IF('Pack BB2020'!$J$24="Español",V154,(IF('Pack BB2020'!$J$24="Deutsch",W154,(IF('Pack BB2020'!$J$24="Français",X154,U154)))))</f>
        <v>Placaje heroico, En pie de un salto, Pogo saltarín, Piernas muy largas</v>
      </c>
      <c r="K154" s="1">
        <v>110000</v>
      </c>
      <c r="L154" s="1">
        <f t="shared" si="14"/>
        <v>110</v>
      </c>
      <c r="M154" s="2">
        <v>4</v>
      </c>
      <c r="N154" s="2">
        <v>0</v>
      </c>
      <c r="O154" s="1" t="s">
        <v>170</v>
      </c>
      <c r="P154" s="1" t="s">
        <v>170</v>
      </c>
      <c r="Q154" s="1" t="s">
        <v>170</v>
      </c>
      <c r="R154" s="1" t="s">
        <v>169</v>
      </c>
      <c r="S154" s="1">
        <v>0</v>
      </c>
      <c r="T154" s="15" t="str">
        <f t="shared" si="13"/>
        <v>M</v>
      </c>
      <c r="U154" s="15" t="s">
        <v>622</v>
      </c>
      <c r="V154" s="15" t="s">
        <v>623</v>
      </c>
      <c r="W154" s="15" t="s">
        <v>624</v>
      </c>
      <c r="X154" s="15" t="s">
        <v>625</v>
      </c>
      <c r="Y154" s="15"/>
    </row>
    <row r="155" spans="1:25" ht="12.75" customHeight="1" x14ac:dyDescent="0.2">
      <c r="A155" s="23" t="s">
        <v>134</v>
      </c>
      <c r="B155" s="2" t="str">
        <f>A155&amp;COUNTIF($A$2:$A155,A155)</f>
        <v>Slann5</v>
      </c>
      <c r="C155" s="2" t="s">
        <v>474</v>
      </c>
      <c r="D155" s="2" t="str">
        <f t="shared" si="0"/>
        <v>SlannKroxigor</v>
      </c>
      <c r="E155" s="2">
        <v>6</v>
      </c>
      <c r="F155" s="2">
        <v>5</v>
      </c>
      <c r="G155" s="2">
        <v>5</v>
      </c>
      <c r="H155" s="2">
        <v>0</v>
      </c>
      <c r="I155" s="2">
        <v>10</v>
      </c>
      <c r="J155" s="2" t="str">
        <f>IF('Pack BB2020'!$J$24="Español",V155,(IF('Pack BB2020'!$J$24="Deutsch",W155,(IF('Pack BB2020'!$J$24="Français",X155,U155)))))</f>
        <v>Estúpido, Solitario (4+), Golpe mortífero (+1), Cola prensil, Cabeza dura</v>
      </c>
      <c r="K155" s="1">
        <v>140000</v>
      </c>
      <c r="L155" s="1">
        <f t="shared" si="14"/>
        <v>140</v>
      </c>
      <c r="M155" s="2">
        <v>1</v>
      </c>
      <c r="N155" s="2">
        <v>1</v>
      </c>
      <c r="O155" s="1" t="s">
        <v>169</v>
      </c>
      <c r="P155" s="1" t="s">
        <v>169</v>
      </c>
      <c r="Q155" s="1" t="s">
        <v>170</v>
      </c>
      <c r="R155" s="12">
        <v>0</v>
      </c>
      <c r="S155" s="1">
        <v>0</v>
      </c>
      <c r="T155" s="15" t="str">
        <f t="shared" si="13"/>
        <v>PM</v>
      </c>
      <c r="U155" s="15" t="s">
        <v>626</v>
      </c>
      <c r="V155" s="15" t="s">
        <v>476</v>
      </c>
      <c r="W155" s="15" t="s">
        <v>627</v>
      </c>
      <c r="X155" s="15" t="s">
        <v>628</v>
      </c>
      <c r="Y155" s="15"/>
    </row>
    <row r="156" spans="1:25" ht="12.75" customHeight="1" x14ac:dyDescent="0.2">
      <c r="A156" s="23" t="s">
        <v>138</v>
      </c>
      <c r="B156" s="2" t="str">
        <f>A156&amp;COUNTIF($A$2:$A156,A156)</f>
        <v>Skaven1</v>
      </c>
      <c r="C156" s="2" t="str">
        <f>""</f>
        <v/>
      </c>
      <c r="D156" s="2" t="str">
        <f t="shared" si="0"/>
        <v>Skaven</v>
      </c>
      <c r="E156" s="2">
        <v>0</v>
      </c>
      <c r="F156" s="2">
        <v>0</v>
      </c>
      <c r="G156" s="2">
        <v>0</v>
      </c>
      <c r="H156" s="2">
        <v>0</v>
      </c>
      <c r="I156" s="2">
        <v>0</v>
      </c>
      <c r="J156" s="2">
        <f>IF('Pack BB2020'!$J$24="Español",V156,(IF('Pack BB2020'!$J$24="Deutsch",W156,(IF('Pack BB2020'!$J$24="Français",X156,U156)))))</f>
        <v>0</v>
      </c>
      <c r="K156" s="1">
        <v>0</v>
      </c>
      <c r="L156" s="1">
        <f t="shared" si="14"/>
        <v>0</v>
      </c>
      <c r="M156" s="1">
        <v>0</v>
      </c>
      <c r="N156" s="1">
        <v>0</v>
      </c>
      <c r="O156" s="1"/>
      <c r="P156" s="1"/>
      <c r="Q156" s="1"/>
      <c r="R156" s="1"/>
      <c r="S156" s="1"/>
      <c r="T156" s="15" t="str">
        <f t="shared" si="13"/>
        <v/>
      </c>
      <c r="U156" s="15">
        <v>0</v>
      </c>
      <c r="V156" s="15">
        <v>0</v>
      </c>
      <c r="W156" s="15">
        <v>0</v>
      </c>
      <c r="X156" s="15">
        <v>0</v>
      </c>
      <c r="Y156" s="15">
        <v>0</v>
      </c>
    </row>
    <row r="157" spans="1:25" ht="12.75" customHeight="1" x14ac:dyDescent="0.2">
      <c r="A157" s="23" t="s">
        <v>138</v>
      </c>
      <c r="B157" s="2" t="str">
        <f>A157&amp;COUNTIF($A$2:$A157,A157)</f>
        <v>Skaven2</v>
      </c>
      <c r="C157" s="2" t="s">
        <v>319</v>
      </c>
      <c r="D157" s="2" t="str">
        <f t="shared" si="0"/>
        <v>SkavenLineman</v>
      </c>
      <c r="E157" s="2">
        <v>7</v>
      </c>
      <c r="F157" s="2">
        <v>3</v>
      </c>
      <c r="G157" s="2">
        <v>3</v>
      </c>
      <c r="H157" s="2">
        <v>4</v>
      </c>
      <c r="I157" s="2">
        <v>8</v>
      </c>
      <c r="J157" s="2" t="str">
        <f>IF('Pack BB2020'!$J$24="Español",V157,(IF('Pack BB2020'!$J$24="Deutsch",W157,(IF('Pack BB2020'!$J$24="Français",X157,U157)))))</f>
        <v/>
      </c>
      <c r="K157" s="1">
        <v>50000</v>
      </c>
      <c r="L157" s="1">
        <f t="shared" si="14"/>
        <v>50</v>
      </c>
      <c r="M157" s="2">
        <v>16</v>
      </c>
      <c r="N157" s="2">
        <v>0</v>
      </c>
      <c r="O157" s="1" t="s">
        <v>170</v>
      </c>
      <c r="P157" s="1" t="s">
        <v>169</v>
      </c>
      <c r="Q157" s="1" t="s">
        <v>169</v>
      </c>
      <c r="R157" s="1">
        <v>0</v>
      </c>
      <c r="S157" s="1" t="s">
        <v>169</v>
      </c>
      <c r="T157" s="15" t="str">
        <f t="shared" si="13"/>
        <v>P</v>
      </c>
      <c r="U157" s="15" t="str">
        <f t="shared" ref="U157:Y157" si="15">""</f>
        <v/>
      </c>
      <c r="V157" s="15" t="str">
        <f t="shared" si="15"/>
        <v/>
      </c>
      <c r="W157" s="15" t="str">
        <f t="shared" si="15"/>
        <v/>
      </c>
      <c r="X157" s="15" t="str">
        <f t="shared" si="15"/>
        <v/>
      </c>
      <c r="Y157" s="15" t="str">
        <f t="shared" si="15"/>
        <v/>
      </c>
    </row>
    <row r="158" spans="1:25" ht="12.75" customHeight="1" x14ac:dyDescent="0.2">
      <c r="A158" s="23" t="s">
        <v>138</v>
      </c>
      <c r="B158" s="2" t="str">
        <f>A158&amp;COUNTIF($A$2:$A158,A158)</f>
        <v>Skaven3</v>
      </c>
      <c r="C158" s="2" t="s">
        <v>241</v>
      </c>
      <c r="D158" s="2" t="str">
        <f t="shared" si="0"/>
        <v>SkavenThrower</v>
      </c>
      <c r="E158" s="2">
        <v>7</v>
      </c>
      <c r="F158" s="2">
        <v>3</v>
      </c>
      <c r="G158" s="2">
        <v>3</v>
      </c>
      <c r="H158" s="2">
        <v>2</v>
      </c>
      <c r="I158" s="2">
        <v>8</v>
      </c>
      <c r="J158" s="2" t="str">
        <f>IF('Pack BB2020'!$J$24="Español",V158,(IF('Pack BB2020'!$J$24="Deutsch",W158,(IF('Pack BB2020'!$J$24="Français",X158,U158)))))</f>
        <v>Pasar, Manos seguras</v>
      </c>
      <c r="K158" s="1">
        <v>85000</v>
      </c>
      <c r="L158" s="1">
        <f t="shared" si="14"/>
        <v>85</v>
      </c>
      <c r="M158" s="2">
        <v>2</v>
      </c>
      <c r="N158" s="2">
        <v>0</v>
      </c>
      <c r="O158" s="1" t="s">
        <v>170</v>
      </c>
      <c r="P158" s="1" t="s">
        <v>169</v>
      </c>
      <c r="Q158" s="1" t="s">
        <v>169</v>
      </c>
      <c r="R158" s="1" t="s">
        <v>170</v>
      </c>
      <c r="S158" s="1" t="s">
        <v>169</v>
      </c>
      <c r="T158" s="15" t="str">
        <f t="shared" si="13"/>
        <v>FULL</v>
      </c>
      <c r="U158" s="15" t="s">
        <v>430</v>
      </c>
      <c r="V158" s="2" t="s">
        <v>431</v>
      </c>
      <c r="W158" s="15" t="s">
        <v>432</v>
      </c>
      <c r="X158" s="15" t="s">
        <v>433</v>
      </c>
      <c r="Y158" s="15"/>
    </row>
    <row r="159" spans="1:25" ht="12.75" customHeight="1" x14ac:dyDescent="0.2">
      <c r="A159" s="23" t="s">
        <v>138</v>
      </c>
      <c r="B159" s="2" t="str">
        <f>A159&amp;COUNTIF($A$2:$A159,A159)</f>
        <v>Skaven4</v>
      </c>
      <c r="C159" s="2" t="s">
        <v>629</v>
      </c>
      <c r="D159" s="2" t="str">
        <f t="shared" si="0"/>
        <v>SkavenGutter Runner</v>
      </c>
      <c r="E159" s="2">
        <v>9</v>
      </c>
      <c r="F159" s="2">
        <v>2</v>
      </c>
      <c r="G159" s="2">
        <v>2</v>
      </c>
      <c r="H159" s="2">
        <v>4</v>
      </c>
      <c r="I159" s="2">
        <v>8</v>
      </c>
      <c r="J159" s="2" t="str">
        <f>IF('Pack BB2020'!$J$24="Español",V159,(IF('Pack BB2020'!$J$24="Deutsch",W159,(IF('Pack BB2020'!$J$24="Français",X159,U159)))))</f>
        <v>Esquivar</v>
      </c>
      <c r="K159" s="1">
        <v>85000</v>
      </c>
      <c r="L159" s="1">
        <f t="shared" si="14"/>
        <v>85</v>
      </c>
      <c r="M159" s="2">
        <v>4</v>
      </c>
      <c r="N159" s="2">
        <v>0</v>
      </c>
      <c r="O159" s="1" t="s">
        <v>170</v>
      </c>
      <c r="P159" s="1" t="s">
        <v>170</v>
      </c>
      <c r="Q159" s="1" t="s">
        <v>169</v>
      </c>
      <c r="R159" s="1" t="s">
        <v>169</v>
      </c>
      <c r="S159" s="1" t="s">
        <v>169</v>
      </c>
      <c r="T159" s="15" t="str">
        <f t="shared" si="13"/>
        <v>FULL</v>
      </c>
      <c r="U159" s="15" t="s">
        <v>237</v>
      </c>
      <c r="V159" s="15" t="s">
        <v>238</v>
      </c>
      <c r="W159" s="15" t="s">
        <v>239</v>
      </c>
      <c r="X159" s="15" t="s">
        <v>240</v>
      </c>
      <c r="Y159" s="15"/>
    </row>
    <row r="160" spans="1:25" ht="12.75" customHeight="1" x14ac:dyDescent="0.2">
      <c r="A160" s="23" t="s">
        <v>138</v>
      </c>
      <c r="B160" s="2" t="str">
        <f>A160&amp;COUNTIF($A$2:$A160,A160)</f>
        <v>Skaven5</v>
      </c>
      <c r="C160" s="2" t="s">
        <v>243</v>
      </c>
      <c r="D160" s="2" t="str">
        <f t="shared" si="0"/>
        <v>SkavenBlitzer</v>
      </c>
      <c r="E160" s="2">
        <v>7</v>
      </c>
      <c r="F160" s="2">
        <v>3</v>
      </c>
      <c r="G160" s="2">
        <v>3</v>
      </c>
      <c r="H160" s="2">
        <v>5</v>
      </c>
      <c r="I160" s="2">
        <v>9</v>
      </c>
      <c r="J160" s="2" t="str">
        <f>IF('Pack BB2020'!$J$24="Español",V160,(IF('Pack BB2020'!$J$24="Deutsch",W160,(IF('Pack BB2020'!$J$24="Français",X160,U160)))))</f>
        <v>Placar</v>
      </c>
      <c r="K160" s="1">
        <v>90000</v>
      </c>
      <c r="L160" s="1">
        <f t="shared" si="14"/>
        <v>90</v>
      </c>
      <c r="M160" s="2">
        <v>2</v>
      </c>
      <c r="N160" s="2">
        <v>0</v>
      </c>
      <c r="O160" s="1" t="s">
        <v>170</v>
      </c>
      <c r="P160" s="1" t="s">
        <v>169</v>
      </c>
      <c r="Q160" s="1" t="s">
        <v>170</v>
      </c>
      <c r="R160" s="1" t="s">
        <v>169</v>
      </c>
      <c r="S160" s="1" t="s">
        <v>169</v>
      </c>
      <c r="T160" s="15" t="str">
        <f t="shared" si="13"/>
        <v>FULL</v>
      </c>
      <c r="U160" s="15" t="s">
        <v>330</v>
      </c>
      <c r="V160" s="2" t="s">
        <v>331</v>
      </c>
      <c r="W160" s="15" t="s">
        <v>330</v>
      </c>
      <c r="X160" s="15" t="s">
        <v>332</v>
      </c>
      <c r="Y160" s="15"/>
    </row>
    <row r="161" spans="1:25" ht="12.75" customHeight="1" x14ac:dyDescent="0.2">
      <c r="A161" s="23" t="s">
        <v>138</v>
      </c>
      <c r="B161" s="2" t="str">
        <f>A161&amp;COUNTIF($A$2:$A161,A161)</f>
        <v>Skaven6</v>
      </c>
      <c r="C161" s="2" t="s">
        <v>630</v>
      </c>
      <c r="D161" s="2" t="str">
        <f t="shared" si="0"/>
        <v>SkavenRat Ogre</v>
      </c>
      <c r="E161" s="2">
        <v>6</v>
      </c>
      <c r="F161" s="2">
        <v>5</v>
      </c>
      <c r="G161" s="2">
        <v>4</v>
      </c>
      <c r="H161" s="2">
        <v>0</v>
      </c>
      <c r="I161" s="2">
        <v>9</v>
      </c>
      <c r="J161" s="2" t="str">
        <f>IF('Pack BB2020'!$J$24="Español",V161,(IF('Pack BB2020'!$J$24="Deutsch",W161,(IF('Pack BB2020'!$J$24="Français",X161,U161)))))</f>
        <v>Ferocidad animal, Furia, Solitario (4+), Golpe mortífero (+1), Cola prensil</v>
      </c>
      <c r="K161" s="1">
        <v>150000</v>
      </c>
      <c r="L161" s="1">
        <f t="shared" si="14"/>
        <v>150</v>
      </c>
      <c r="M161" s="2">
        <v>1</v>
      </c>
      <c r="N161" s="2">
        <v>1</v>
      </c>
      <c r="O161" s="1" t="s">
        <v>169</v>
      </c>
      <c r="P161" s="1" t="s">
        <v>169</v>
      </c>
      <c r="Q161" s="1" t="s">
        <v>170</v>
      </c>
      <c r="R161" s="12">
        <v>0</v>
      </c>
      <c r="S161" s="1" t="s">
        <v>169</v>
      </c>
      <c r="T161" s="15" t="str">
        <f t="shared" si="13"/>
        <v>P</v>
      </c>
      <c r="U161" s="15" t="s">
        <v>311</v>
      </c>
      <c r="V161" s="2" t="s">
        <v>312</v>
      </c>
      <c r="W161" s="15" t="s">
        <v>313</v>
      </c>
      <c r="X161" s="15" t="s">
        <v>314</v>
      </c>
      <c r="Y161" s="15"/>
    </row>
    <row r="162" spans="1:25" ht="12.75" customHeight="1" x14ac:dyDescent="0.2">
      <c r="A162" s="23" t="s">
        <v>149</v>
      </c>
      <c r="B162" s="2" t="str">
        <f>A162&amp;COUNTIF($A$2:$A162,A162)</f>
        <v>Tomb King1</v>
      </c>
      <c r="C162" s="2" t="str">
        <f>""</f>
        <v/>
      </c>
      <c r="D162" s="2" t="str">
        <f t="shared" si="0"/>
        <v>Tomb King</v>
      </c>
      <c r="E162" s="2">
        <v>0</v>
      </c>
      <c r="F162" s="2">
        <v>0</v>
      </c>
      <c r="G162" s="2">
        <v>0</v>
      </c>
      <c r="H162" s="2">
        <v>0</v>
      </c>
      <c r="I162" s="2">
        <v>0</v>
      </c>
      <c r="J162" s="2">
        <f>IF('Pack BB2020'!$J$24="Español",V162,(IF('Pack BB2020'!$J$24="Deutsch",W162,(IF('Pack BB2020'!$J$24="Français",X162,U162)))))</f>
        <v>0</v>
      </c>
      <c r="K162" s="1">
        <v>0</v>
      </c>
      <c r="L162" s="1">
        <f t="shared" si="14"/>
        <v>0</v>
      </c>
      <c r="M162" s="1">
        <v>0</v>
      </c>
      <c r="N162" s="1">
        <v>0</v>
      </c>
      <c r="O162" s="1"/>
      <c r="P162" s="1"/>
      <c r="Q162" s="1"/>
      <c r="R162" s="1"/>
      <c r="S162" s="1"/>
      <c r="T162" s="15" t="str">
        <f t="shared" si="13"/>
        <v/>
      </c>
      <c r="U162" s="15">
        <v>0</v>
      </c>
      <c r="V162" s="15">
        <v>0</v>
      </c>
      <c r="W162" s="15">
        <v>0</v>
      </c>
      <c r="X162" s="15">
        <v>0</v>
      </c>
      <c r="Y162" s="15">
        <v>0</v>
      </c>
    </row>
    <row r="163" spans="1:25" ht="12.75" customHeight="1" x14ac:dyDescent="0.2">
      <c r="A163" s="23" t="s">
        <v>149</v>
      </c>
      <c r="B163" s="2" t="str">
        <f>A163&amp;COUNTIF($A$2:$A163,A163)</f>
        <v>Tomb King2</v>
      </c>
      <c r="C163" s="2" t="s">
        <v>600</v>
      </c>
      <c r="D163" s="2" t="str">
        <f t="shared" si="0"/>
        <v>Tomb KingSkeleton</v>
      </c>
      <c r="E163" s="2">
        <v>5</v>
      </c>
      <c r="F163" s="2">
        <v>3</v>
      </c>
      <c r="G163" s="2">
        <v>4</v>
      </c>
      <c r="H163" s="2">
        <v>6</v>
      </c>
      <c r="I163" s="2">
        <v>8</v>
      </c>
      <c r="J163" s="2" t="str">
        <f>IF('Pack BB2020'!$J$24="Español",V163,(IF('Pack BB2020'!$J$24="Deutsch",W163,(IF('Pack BB2020'!$J$24="Français",X163,U163)))))</f>
        <v>Regeneración, Cabeza dura</v>
      </c>
      <c r="K163" s="1">
        <v>40000</v>
      </c>
      <c r="L163" s="1">
        <f t="shared" si="14"/>
        <v>40</v>
      </c>
      <c r="M163" s="2">
        <v>16</v>
      </c>
      <c r="N163" s="2">
        <v>0</v>
      </c>
      <c r="O163" s="1" t="s">
        <v>170</v>
      </c>
      <c r="P163" s="1" t="s">
        <v>169</v>
      </c>
      <c r="Q163" s="1" t="s">
        <v>169</v>
      </c>
      <c r="R163" s="1">
        <v>0</v>
      </c>
      <c r="S163" s="1">
        <v>0</v>
      </c>
      <c r="T163" s="15" t="str">
        <f t="shared" si="13"/>
        <v>PM</v>
      </c>
      <c r="U163" s="15" t="s">
        <v>601</v>
      </c>
      <c r="V163" s="2" t="s">
        <v>602</v>
      </c>
      <c r="W163" s="15" t="s">
        <v>603</v>
      </c>
      <c r="X163" s="15" t="s">
        <v>604</v>
      </c>
      <c r="Y163" s="15"/>
    </row>
    <row r="164" spans="1:25" ht="12.75" customHeight="1" x14ac:dyDescent="0.2">
      <c r="A164" s="23" t="s">
        <v>149</v>
      </c>
      <c r="B164" s="2" t="str">
        <f>A164&amp;COUNTIF($A$2:$A164,A164)</f>
        <v>Tomb King3</v>
      </c>
      <c r="C164" s="2" t="s">
        <v>631</v>
      </c>
      <c r="D164" s="2" t="str">
        <f t="shared" si="0"/>
        <v>Tomb KingAnointed Throwers</v>
      </c>
      <c r="E164" s="2">
        <v>6</v>
      </c>
      <c r="F164" s="2">
        <v>3</v>
      </c>
      <c r="G164" s="2">
        <v>4</v>
      </c>
      <c r="H164" s="2">
        <v>3</v>
      </c>
      <c r="I164" s="2">
        <v>8</v>
      </c>
      <c r="J164" s="2" t="str">
        <f>IF('Pack BB2020'!$J$24="Español",V164,(IF('Pack BB2020'!$J$24="Deutsch",W164,(IF('Pack BB2020'!$J$24="Français",X164,U164)))))</f>
        <v>Pasar, Regeneración, Manos seguras, Cabeza dura</v>
      </c>
      <c r="K164" s="1">
        <v>70000</v>
      </c>
      <c r="L164" s="1">
        <f t="shared" si="14"/>
        <v>70</v>
      </c>
      <c r="M164" s="2">
        <v>2</v>
      </c>
      <c r="N164" s="2">
        <v>0</v>
      </c>
      <c r="O164" s="1" t="s">
        <v>170</v>
      </c>
      <c r="P164" s="1" t="s">
        <v>169</v>
      </c>
      <c r="Q164" s="1" t="s">
        <v>169</v>
      </c>
      <c r="R164" s="1" t="s">
        <v>170</v>
      </c>
      <c r="S164" s="1">
        <v>0</v>
      </c>
      <c r="T164" s="15" t="str">
        <f t="shared" si="13"/>
        <v>M</v>
      </c>
      <c r="U164" s="15" t="s">
        <v>632</v>
      </c>
      <c r="V164" s="15" t="s">
        <v>633</v>
      </c>
      <c r="W164" s="15" t="s">
        <v>634</v>
      </c>
      <c r="X164" s="15" t="s">
        <v>635</v>
      </c>
      <c r="Y164" s="15"/>
    </row>
    <row r="165" spans="1:25" ht="12.75" customHeight="1" x14ac:dyDescent="0.2">
      <c r="A165" s="23" t="s">
        <v>149</v>
      </c>
      <c r="B165" s="2" t="str">
        <f>A165&amp;COUNTIF($A$2:$A165,A165)</f>
        <v>Tomb King4</v>
      </c>
      <c r="C165" s="2" t="s">
        <v>636</v>
      </c>
      <c r="D165" s="2" t="str">
        <f t="shared" si="0"/>
        <v>Tomb KingAnointed Blitzers</v>
      </c>
      <c r="E165" s="2">
        <v>6</v>
      </c>
      <c r="F165" s="2">
        <v>3</v>
      </c>
      <c r="G165" s="2">
        <v>4</v>
      </c>
      <c r="H165" s="2">
        <v>6</v>
      </c>
      <c r="I165" s="2">
        <v>9</v>
      </c>
      <c r="J165" s="2" t="str">
        <f>IF('Pack BB2020'!$J$24="Español",V165,(IF('Pack BB2020'!$J$24="Deutsch",W165,(IF('Pack BB2020'!$J$24="Français",X165,U165)))))</f>
        <v>Placar, Regeneración, Cabeza dura</v>
      </c>
      <c r="K165" s="1">
        <v>90000</v>
      </c>
      <c r="L165" s="1">
        <f t="shared" si="14"/>
        <v>90</v>
      </c>
      <c r="M165" s="1">
        <v>2</v>
      </c>
      <c r="N165" s="1">
        <v>0</v>
      </c>
      <c r="O165" s="1" t="s">
        <v>170</v>
      </c>
      <c r="P165" s="1" t="s">
        <v>169</v>
      </c>
      <c r="Q165" s="1" t="s">
        <v>170</v>
      </c>
      <c r="R165" s="1" t="s">
        <v>169</v>
      </c>
      <c r="S165" s="1">
        <v>0</v>
      </c>
      <c r="T165" s="15" t="str">
        <f t="shared" si="13"/>
        <v>M</v>
      </c>
      <c r="U165" s="15" t="s">
        <v>637</v>
      </c>
      <c r="V165" s="2" t="s">
        <v>638</v>
      </c>
      <c r="W165" s="15" t="s">
        <v>639</v>
      </c>
      <c r="X165" s="15" t="s">
        <v>640</v>
      </c>
      <c r="Y165" s="15"/>
    </row>
    <row r="166" spans="1:25" ht="12.75" customHeight="1" x14ac:dyDescent="0.2">
      <c r="A166" s="23" t="s">
        <v>149</v>
      </c>
      <c r="B166" s="2" t="str">
        <f>A166&amp;COUNTIF($A$2:$A166,A166)</f>
        <v>Tomb King5</v>
      </c>
      <c r="C166" s="2" t="s">
        <v>641</v>
      </c>
      <c r="D166" s="2" t="str">
        <f t="shared" si="0"/>
        <v>Tomb KingTomb Guardian</v>
      </c>
      <c r="E166" s="2">
        <v>4</v>
      </c>
      <c r="F166" s="2">
        <v>5</v>
      </c>
      <c r="G166" s="2">
        <v>5</v>
      </c>
      <c r="H166" s="2">
        <v>0</v>
      </c>
      <c r="I166" s="2">
        <v>10</v>
      </c>
      <c r="J166" s="2" t="str">
        <f>IF('Pack BB2020'!$J$24="Español",V166,(IF('Pack BB2020'!$J$24="Deutsch",W166,(IF('Pack BB2020'!$J$24="Français",X166,U166)))))</f>
        <v>Descomposición, Regeneración</v>
      </c>
      <c r="K166" s="1">
        <v>100000</v>
      </c>
      <c r="L166" s="1">
        <f t="shared" si="14"/>
        <v>100</v>
      </c>
      <c r="M166" s="1">
        <v>4</v>
      </c>
      <c r="N166" s="1">
        <v>0</v>
      </c>
      <c r="O166" s="1" t="s">
        <v>169</v>
      </c>
      <c r="P166" s="1" t="s">
        <v>169</v>
      </c>
      <c r="Q166" s="1" t="s">
        <v>170</v>
      </c>
      <c r="R166" s="12">
        <v>0</v>
      </c>
      <c r="S166" s="1">
        <v>0</v>
      </c>
      <c r="T166" s="15" t="str">
        <f t="shared" si="13"/>
        <v>PM</v>
      </c>
      <c r="U166" s="15" t="s">
        <v>642</v>
      </c>
      <c r="V166" s="2" t="s">
        <v>643</v>
      </c>
      <c r="W166" s="15" t="s">
        <v>644</v>
      </c>
      <c r="X166" s="15" t="s">
        <v>645</v>
      </c>
      <c r="Y166" s="15"/>
    </row>
    <row r="167" spans="1:25" ht="12.75" customHeight="1" x14ac:dyDescent="0.2">
      <c r="A167" s="23" t="s">
        <v>144</v>
      </c>
      <c r="B167" s="2" t="str">
        <f>A167&amp;COUNTIF($A$2:$A167,A167)</f>
        <v>Snotling1</v>
      </c>
      <c r="C167" s="2" t="str">
        <f>""</f>
        <v/>
      </c>
      <c r="D167" s="2" t="str">
        <f t="shared" si="0"/>
        <v>Snotling</v>
      </c>
      <c r="E167" s="2">
        <v>0</v>
      </c>
      <c r="F167" s="2">
        <v>0</v>
      </c>
      <c r="G167" s="2">
        <v>0</v>
      </c>
      <c r="H167" s="2">
        <v>0</v>
      </c>
      <c r="I167" s="2">
        <v>0</v>
      </c>
      <c r="J167" s="2">
        <f>IF('Pack BB2020'!$J$24="Español",V167,(IF('Pack BB2020'!$J$24="Deutsch",W167,(IF('Pack BB2020'!$J$24="Français",X167,U167)))))</f>
        <v>0</v>
      </c>
      <c r="K167" s="1">
        <v>0</v>
      </c>
      <c r="L167" s="1">
        <f t="shared" si="14"/>
        <v>0</v>
      </c>
      <c r="M167" s="1">
        <v>0</v>
      </c>
      <c r="N167" s="1">
        <v>0</v>
      </c>
      <c r="O167" s="1"/>
      <c r="P167" s="1"/>
      <c r="Q167" s="1"/>
      <c r="R167" s="1"/>
      <c r="S167" s="1"/>
      <c r="T167" s="15" t="str">
        <f t="shared" si="13"/>
        <v/>
      </c>
      <c r="U167" s="15">
        <v>0</v>
      </c>
      <c r="V167" s="15">
        <v>0</v>
      </c>
      <c r="W167" s="15">
        <v>0</v>
      </c>
      <c r="X167" s="15">
        <v>0</v>
      </c>
      <c r="Y167" s="15">
        <v>0</v>
      </c>
    </row>
    <row r="168" spans="1:25" ht="12.75" customHeight="1" x14ac:dyDescent="0.2">
      <c r="A168" s="23" t="s">
        <v>144</v>
      </c>
      <c r="B168" s="2" t="str">
        <f>A168&amp;COUNTIF($A$2:$A168,A168)</f>
        <v>Snotling2</v>
      </c>
      <c r="C168" s="2" t="s">
        <v>144</v>
      </c>
      <c r="D168" s="2" t="str">
        <f t="shared" si="0"/>
        <v>SnotlingSnotling</v>
      </c>
      <c r="E168" s="2">
        <v>5</v>
      </c>
      <c r="F168" s="2">
        <v>1</v>
      </c>
      <c r="G168" s="2">
        <v>3</v>
      </c>
      <c r="H168" s="2">
        <v>5</v>
      </c>
      <c r="I168" s="2">
        <v>6</v>
      </c>
      <c r="J168" s="2" t="str">
        <f>IF('Pack BB2020'!$J$24="Español",V168,(IF('Pack BB2020'!$J$24="Deutsch",W168,(IF('Pack BB2020'!$J$24="Français",X168,U168)))))</f>
        <v>Esquivar, Humanoide bala, Echarse a un lado, Escurridizo, Colocarse, Canijo</v>
      </c>
      <c r="K168" s="1">
        <v>15000</v>
      </c>
      <c r="L168" s="1">
        <f t="shared" si="14"/>
        <v>15</v>
      </c>
      <c r="M168" s="1">
        <v>16</v>
      </c>
      <c r="N168" s="1">
        <v>0</v>
      </c>
      <c r="O168" s="1" t="s">
        <v>169</v>
      </c>
      <c r="P168" s="1" t="s">
        <v>170</v>
      </c>
      <c r="Q168" s="1" t="s">
        <v>169</v>
      </c>
      <c r="R168" s="1">
        <v>0</v>
      </c>
      <c r="S168" s="1">
        <v>0</v>
      </c>
      <c r="T168" s="15" t="str">
        <f t="shared" si="13"/>
        <v>PM</v>
      </c>
      <c r="U168" s="15" t="s">
        <v>646</v>
      </c>
      <c r="V168" s="2" t="s">
        <v>647</v>
      </c>
      <c r="W168" s="15" t="s">
        <v>648</v>
      </c>
      <c r="X168" s="15" t="s">
        <v>649</v>
      </c>
      <c r="Y168" s="15"/>
    </row>
    <row r="169" spans="1:25" ht="12.75" customHeight="1" x14ac:dyDescent="0.2">
      <c r="A169" s="23" t="s">
        <v>144</v>
      </c>
      <c r="B169" s="2" t="str">
        <f>A169&amp;COUNTIF($A$2:$A169,A169)</f>
        <v>Snotling3</v>
      </c>
      <c r="C169" s="2" t="s">
        <v>650</v>
      </c>
      <c r="D169" s="2" t="str">
        <f t="shared" si="0"/>
        <v>SnotlingFungus Flinga</v>
      </c>
      <c r="E169" s="2">
        <v>5</v>
      </c>
      <c r="F169" s="2">
        <v>1</v>
      </c>
      <c r="G169" s="2">
        <v>3</v>
      </c>
      <c r="H169" s="2">
        <v>4</v>
      </c>
      <c r="I169" s="2">
        <v>6</v>
      </c>
      <c r="J169" s="2" t="str">
        <f>IF('Pack BB2020'!$J$24="Español",V169,(IF('Pack BB2020'!$J$24="Deutsch",W169,(IF('Pack BB2020'!$J$24="Français",X169,U169)))))</f>
        <v>Bombardero, Esquivar, Humanoide bala, Arma secreta, Echarse a un lado, Escurridizo</v>
      </c>
      <c r="K169" s="1">
        <v>30000</v>
      </c>
      <c r="L169" s="1">
        <f t="shared" si="14"/>
        <v>30</v>
      </c>
      <c r="M169" s="1">
        <v>2</v>
      </c>
      <c r="N169" s="1">
        <v>0</v>
      </c>
      <c r="O169" s="1" t="s">
        <v>169</v>
      </c>
      <c r="P169" s="1" t="s">
        <v>170</v>
      </c>
      <c r="Q169" s="1" t="s">
        <v>169</v>
      </c>
      <c r="R169" s="1" t="s">
        <v>170</v>
      </c>
      <c r="S169" s="1">
        <v>0</v>
      </c>
      <c r="T169" s="15" t="str">
        <f t="shared" si="13"/>
        <v>M</v>
      </c>
      <c r="U169" s="15" t="s">
        <v>651</v>
      </c>
      <c r="V169" s="2" t="s">
        <v>652</v>
      </c>
      <c r="W169" s="15" t="s">
        <v>653</v>
      </c>
      <c r="X169" s="15" t="s">
        <v>654</v>
      </c>
      <c r="Y169" s="15"/>
    </row>
    <row r="170" spans="1:25" ht="12.75" customHeight="1" x14ac:dyDescent="0.2">
      <c r="A170" s="23" t="s">
        <v>144</v>
      </c>
      <c r="B170" s="2" t="str">
        <f>A170&amp;COUNTIF($A$2:$A170,A170)</f>
        <v>Snotling4</v>
      </c>
      <c r="C170" s="2" t="s">
        <v>655</v>
      </c>
      <c r="D170" s="2" t="str">
        <f t="shared" si="0"/>
        <v>SnotlingFun-hoppa</v>
      </c>
      <c r="E170" s="2">
        <v>6</v>
      </c>
      <c r="F170" s="2">
        <v>1</v>
      </c>
      <c r="G170" s="2">
        <v>3</v>
      </c>
      <c r="H170" s="2">
        <v>5</v>
      </c>
      <c r="I170" s="2">
        <v>6</v>
      </c>
      <c r="J170" s="2" t="str">
        <f>IF('Pack BB2020'!$J$24="Español",V170,(IF('Pack BB2020'!$J$24="Deutsch",W170,(IF('Pack BB2020'!$J$24="Français",X170,U170)))))</f>
        <v>Esquivar, Pogo saltarín, Humanoide bala, Echarse a un lado, Escurridizo</v>
      </c>
      <c r="K170" s="1">
        <v>20000</v>
      </c>
      <c r="L170" s="1">
        <f t="shared" si="14"/>
        <v>20</v>
      </c>
      <c r="M170" s="1">
        <v>2</v>
      </c>
      <c r="N170" s="1">
        <v>0</v>
      </c>
      <c r="O170" s="1" t="s">
        <v>169</v>
      </c>
      <c r="P170" s="1" t="s">
        <v>170</v>
      </c>
      <c r="Q170" s="1" t="s">
        <v>169</v>
      </c>
      <c r="R170" s="1">
        <v>0</v>
      </c>
      <c r="S170" s="1">
        <v>0</v>
      </c>
      <c r="T170" s="15" t="str">
        <f t="shared" si="13"/>
        <v>PM</v>
      </c>
      <c r="U170" s="15" t="s">
        <v>656</v>
      </c>
      <c r="V170" s="2" t="s">
        <v>657</v>
      </c>
      <c r="W170" s="15" t="s">
        <v>658</v>
      </c>
      <c r="X170" s="15" t="s">
        <v>659</v>
      </c>
      <c r="Y170" s="15"/>
    </row>
    <row r="171" spans="1:25" ht="12.75" customHeight="1" x14ac:dyDescent="0.2">
      <c r="A171" s="23" t="s">
        <v>144</v>
      </c>
      <c r="B171" s="2" t="str">
        <f>A171&amp;COUNTIF($A$2:$A171,A171)</f>
        <v>Snotling5</v>
      </c>
      <c r="C171" s="2" t="s">
        <v>660</v>
      </c>
      <c r="D171" s="2" t="str">
        <f t="shared" si="0"/>
        <v>SnotlingStilty Runna</v>
      </c>
      <c r="E171" s="2">
        <v>6</v>
      </c>
      <c r="F171" s="2">
        <v>1</v>
      </c>
      <c r="G171" s="2">
        <v>3</v>
      </c>
      <c r="H171" s="2">
        <v>5</v>
      </c>
      <c r="I171" s="2">
        <v>6</v>
      </c>
      <c r="J171" s="2" t="str">
        <f>IF('Pack BB2020'!$J$24="Español",V171,(IF('Pack BB2020'!$J$24="Deutsch",W171,(IF('Pack BB2020'!$J$24="Français",X171,U171)))))</f>
        <v>Esquivar, Humanoide bala, Echarse a un lado, Carrera, Escurridizo</v>
      </c>
      <c r="K171" s="1">
        <v>20000</v>
      </c>
      <c r="L171" s="1">
        <f t="shared" si="14"/>
        <v>20</v>
      </c>
      <c r="M171" s="1">
        <v>2</v>
      </c>
      <c r="N171" s="1">
        <v>0</v>
      </c>
      <c r="O171" s="1" t="s">
        <v>169</v>
      </c>
      <c r="P171" s="1" t="s">
        <v>170</v>
      </c>
      <c r="Q171" s="1" t="s">
        <v>169</v>
      </c>
      <c r="R171" s="1">
        <v>0</v>
      </c>
      <c r="S171" s="1">
        <v>0</v>
      </c>
      <c r="T171" s="15" t="str">
        <f t="shared" si="13"/>
        <v>PM</v>
      </c>
      <c r="U171" s="15" t="s">
        <v>661</v>
      </c>
      <c r="V171" s="15" t="s">
        <v>662</v>
      </c>
      <c r="W171" s="15" t="s">
        <v>663</v>
      </c>
      <c r="X171" s="15" t="s">
        <v>664</v>
      </c>
      <c r="Y171" s="15"/>
    </row>
    <row r="172" spans="1:25" ht="12.75" customHeight="1" x14ac:dyDescent="0.2">
      <c r="A172" s="23" t="s">
        <v>144</v>
      </c>
      <c r="B172" s="2" t="str">
        <f>A172&amp;COUNTIF($A$2:$A172,A172)</f>
        <v>Snotling6</v>
      </c>
      <c r="C172" s="2" t="s">
        <v>665</v>
      </c>
      <c r="D172" s="2" t="str">
        <f t="shared" si="0"/>
        <v>SnotlingPump Wagon</v>
      </c>
      <c r="E172" s="2">
        <v>4</v>
      </c>
      <c r="F172" s="2">
        <v>5</v>
      </c>
      <c r="G172" s="2">
        <v>5</v>
      </c>
      <c r="H172" s="2">
        <v>0</v>
      </c>
      <c r="I172" s="2">
        <v>9</v>
      </c>
      <c r="J172" s="2" t="str">
        <f>IF('Pack BB2020'!$J$24="Español",V172,(IF('Pack BB2020'!$J$24="Deutsch",W172,(IF('Pack BB2020'!$J$24="Français",X172,U172)))))</f>
        <v>Juego sucio (+1), Imparable, Golpe mortífero (+1), Realmente estúpido, Arma secreta, Mantenerse firme</v>
      </c>
      <c r="K172" s="1">
        <v>105000</v>
      </c>
      <c r="L172" s="1">
        <f t="shared" si="14"/>
        <v>105</v>
      </c>
      <c r="M172" s="1">
        <v>2</v>
      </c>
      <c r="N172" s="1">
        <v>1</v>
      </c>
      <c r="O172" s="1" t="s">
        <v>169</v>
      </c>
      <c r="P172" s="1" t="s">
        <v>169</v>
      </c>
      <c r="Q172" s="1" t="s">
        <v>170</v>
      </c>
      <c r="R172" s="12">
        <v>0</v>
      </c>
      <c r="S172" s="1">
        <v>0</v>
      </c>
      <c r="T172" s="15" t="str">
        <f t="shared" si="13"/>
        <v>PM</v>
      </c>
      <c r="U172" s="15" t="s">
        <v>666</v>
      </c>
      <c r="V172" s="2" t="s">
        <v>667</v>
      </c>
      <c r="W172" s="15" t="s">
        <v>668</v>
      </c>
      <c r="X172" s="15" t="s">
        <v>669</v>
      </c>
      <c r="Y172" s="15"/>
    </row>
    <row r="173" spans="1:25" ht="12.75" customHeight="1" x14ac:dyDescent="0.2">
      <c r="A173" s="23" t="s">
        <v>144</v>
      </c>
      <c r="B173" s="2" t="str">
        <f>A173&amp;COUNTIF($A$2:$A173,A173)</f>
        <v>Snotling7</v>
      </c>
      <c r="C173" s="2" t="s">
        <v>253</v>
      </c>
      <c r="D173" s="2" t="str">
        <f t="shared" si="0"/>
        <v>SnotlingTrained Troll</v>
      </c>
      <c r="E173" s="2">
        <v>4</v>
      </c>
      <c r="F173" s="2">
        <v>5</v>
      </c>
      <c r="G173" s="2">
        <v>5</v>
      </c>
      <c r="H173" s="2">
        <v>5</v>
      </c>
      <c r="I173" s="2">
        <v>10</v>
      </c>
      <c r="J173" s="2" t="str">
        <f>IF('Pack BB2020'!$J$24="Español",V173,(IF('Pack BB2020'!$J$24="Deutsch",W173,(IF('Pack BB2020'!$J$24="Français",X173,U173)))))</f>
        <v>Siempre hambriento, Solitario (3+), Golpe mortífero (+1), Proyectil de vómito, Realmente estúpido, Regeneración, Lanzar compañero</v>
      </c>
      <c r="K173" s="1">
        <v>115000</v>
      </c>
      <c r="L173" s="1">
        <f t="shared" si="14"/>
        <v>115</v>
      </c>
      <c r="M173" s="1">
        <v>2</v>
      </c>
      <c r="N173" s="1">
        <v>1</v>
      </c>
      <c r="O173" s="1" t="s">
        <v>169</v>
      </c>
      <c r="P173" s="1" t="s">
        <v>169</v>
      </c>
      <c r="Q173" s="1" t="s">
        <v>170</v>
      </c>
      <c r="R173" s="1" t="s">
        <v>169</v>
      </c>
      <c r="S173" s="1">
        <v>0</v>
      </c>
      <c r="T173" s="15" t="str">
        <f t="shared" si="13"/>
        <v>M</v>
      </c>
      <c r="U173" s="15" t="s">
        <v>254</v>
      </c>
      <c r="V173" s="2" t="s">
        <v>255</v>
      </c>
      <c r="W173" s="15" t="s">
        <v>256</v>
      </c>
      <c r="X173" s="15" t="s">
        <v>257</v>
      </c>
      <c r="Y173" s="15"/>
    </row>
    <row r="174" spans="1:25" ht="12.75" customHeight="1" x14ac:dyDescent="0.2">
      <c r="A174" s="23" t="s">
        <v>154</v>
      </c>
      <c r="B174" s="2" t="str">
        <f>A174&amp;COUNTIF($A$2:$A174,A174)</f>
        <v>Underworld Denizens1</v>
      </c>
      <c r="C174" s="2" t="str">
        <f>""</f>
        <v/>
      </c>
      <c r="D174" s="2" t="str">
        <f t="shared" si="0"/>
        <v>Underworld Denizens</v>
      </c>
      <c r="E174" s="2">
        <v>0</v>
      </c>
      <c r="F174" s="2">
        <v>0</v>
      </c>
      <c r="G174" s="2">
        <v>0</v>
      </c>
      <c r="H174" s="2">
        <v>0</v>
      </c>
      <c r="I174" s="2">
        <v>0</v>
      </c>
      <c r="J174" s="2">
        <f>IF('Pack BB2020'!$J$24="Español",V174,(IF('Pack BB2020'!$J$24="Deutsch",W174,(IF('Pack BB2020'!$J$24="Français",X174,U174)))))</f>
        <v>0</v>
      </c>
      <c r="K174" s="1">
        <v>0</v>
      </c>
      <c r="L174" s="1">
        <f t="shared" si="14"/>
        <v>0</v>
      </c>
      <c r="M174" s="1">
        <v>0</v>
      </c>
      <c r="N174" s="1">
        <v>0</v>
      </c>
      <c r="O174" s="1"/>
      <c r="P174" s="1"/>
      <c r="Q174" s="1"/>
      <c r="R174" s="1"/>
      <c r="S174" s="1"/>
      <c r="T174" s="15" t="str">
        <f t="shared" si="13"/>
        <v/>
      </c>
      <c r="U174" s="15">
        <v>0</v>
      </c>
      <c r="V174" s="15">
        <v>0</v>
      </c>
      <c r="W174" s="15">
        <v>0</v>
      </c>
      <c r="X174" s="15">
        <v>0</v>
      </c>
      <c r="Y174" s="15">
        <v>0</v>
      </c>
    </row>
    <row r="175" spans="1:25" ht="12.75" customHeight="1" x14ac:dyDescent="0.2">
      <c r="A175" s="23" t="s">
        <v>154</v>
      </c>
      <c r="B175" s="2" t="str">
        <f>A175&amp;COUNTIF($A$2:$A175,A175)</f>
        <v>Underworld Denizens2</v>
      </c>
      <c r="C175" s="2" t="s">
        <v>62</v>
      </c>
      <c r="D175" s="2" t="str">
        <f t="shared" si="0"/>
        <v>Underworld DenizensGoblin</v>
      </c>
      <c r="E175" s="2">
        <v>6</v>
      </c>
      <c r="F175" s="2">
        <v>2</v>
      </c>
      <c r="G175" s="2">
        <v>3</v>
      </c>
      <c r="H175" s="2">
        <v>4</v>
      </c>
      <c r="I175" s="2">
        <v>8</v>
      </c>
      <c r="J175" s="2" t="str">
        <f>IF('Pack BB2020'!$J$24="Español",V175,(IF('Pack BB2020'!$J$24="Deutsch",W175,(IF('Pack BB2020'!$J$24="Français",X175,U175)))))</f>
        <v>Esquivar, Humanoide bala, Escurridizo</v>
      </c>
      <c r="K175" s="1">
        <v>40000</v>
      </c>
      <c r="L175" s="1">
        <f t="shared" si="14"/>
        <v>40</v>
      </c>
      <c r="M175" s="2">
        <v>12</v>
      </c>
      <c r="N175" s="2">
        <v>0</v>
      </c>
      <c r="O175" s="1" t="s">
        <v>169</v>
      </c>
      <c r="P175" s="1" t="s">
        <v>170</v>
      </c>
      <c r="Q175" s="1" t="s">
        <v>169</v>
      </c>
      <c r="R175" s="1">
        <v>0</v>
      </c>
      <c r="S175" s="1" t="s">
        <v>170</v>
      </c>
      <c r="T175" s="15" t="str">
        <f t="shared" si="13"/>
        <v>P</v>
      </c>
      <c r="U175" s="15" t="s">
        <v>368</v>
      </c>
      <c r="V175" s="2" t="s">
        <v>369</v>
      </c>
      <c r="W175" s="15" t="s">
        <v>370</v>
      </c>
      <c r="X175" s="15" t="s">
        <v>371</v>
      </c>
      <c r="Y175" s="15"/>
    </row>
    <row r="176" spans="1:25" ht="12.75" customHeight="1" x14ac:dyDescent="0.2">
      <c r="A176" s="23" t="s">
        <v>154</v>
      </c>
      <c r="B176" s="2" t="str">
        <f>A176&amp;COUNTIF($A$2:$A176,A176)</f>
        <v>Underworld Denizens3</v>
      </c>
      <c r="C176" s="2" t="s">
        <v>144</v>
      </c>
      <c r="D176" s="2" t="str">
        <f t="shared" si="0"/>
        <v>Underworld DenizensSnotling</v>
      </c>
      <c r="E176" s="2">
        <v>5</v>
      </c>
      <c r="F176" s="2">
        <v>1</v>
      </c>
      <c r="G176" s="2">
        <v>3</v>
      </c>
      <c r="H176" s="2">
        <v>5</v>
      </c>
      <c r="I176" s="2">
        <v>6</v>
      </c>
      <c r="J176" s="2" t="str">
        <f>IF('Pack BB2020'!$J$24="Español",V176,(IF('Pack BB2020'!$J$24="Deutsch",W176,(IF('Pack BB2020'!$J$24="Français",X176,U176)))))</f>
        <v>Esquivar, Humanoide bala, Echarse a un lado, Escurridizo, Colocarse, Canijo</v>
      </c>
      <c r="K176" s="1">
        <v>15000</v>
      </c>
      <c r="L176" s="1">
        <f t="shared" si="14"/>
        <v>15</v>
      </c>
      <c r="M176" s="1">
        <v>6</v>
      </c>
      <c r="N176" s="1">
        <v>0</v>
      </c>
      <c r="O176" s="1" t="s">
        <v>169</v>
      </c>
      <c r="P176" s="1" t="s">
        <v>170</v>
      </c>
      <c r="Q176" s="1" t="s">
        <v>169</v>
      </c>
      <c r="R176" s="1">
        <v>0</v>
      </c>
      <c r="S176" s="1" t="s">
        <v>170</v>
      </c>
      <c r="T176" s="15" t="str">
        <f t="shared" si="13"/>
        <v>P</v>
      </c>
      <c r="U176" s="15" t="s">
        <v>646</v>
      </c>
      <c r="V176" s="15" t="s">
        <v>647</v>
      </c>
      <c r="W176" s="15" t="s">
        <v>648</v>
      </c>
      <c r="X176" s="15" t="s">
        <v>649</v>
      </c>
      <c r="Y176" s="15"/>
    </row>
    <row r="177" spans="1:25" ht="12.75" customHeight="1" x14ac:dyDescent="0.2">
      <c r="A177" s="23" t="s">
        <v>154</v>
      </c>
      <c r="B177" s="2" t="str">
        <f>A177&amp;COUNTIF($A$2:$A177,A177)</f>
        <v>Underworld Denizens4</v>
      </c>
      <c r="C177" s="2" t="s">
        <v>670</v>
      </c>
      <c r="D177" s="2" t="str">
        <f t="shared" si="0"/>
        <v>Underworld DenizensSkaven Clanrat</v>
      </c>
      <c r="E177" s="2">
        <v>7</v>
      </c>
      <c r="F177" s="2">
        <v>3</v>
      </c>
      <c r="G177" s="2">
        <v>3</v>
      </c>
      <c r="H177" s="2">
        <v>4</v>
      </c>
      <c r="I177" s="2">
        <v>8</v>
      </c>
      <c r="J177" s="2" t="str">
        <f>IF('Pack BB2020'!$J$24="Español",V177,(IF('Pack BB2020'!$J$24="Deutsch",W177,(IF('Pack BB2020'!$J$24="Français",X177,U177)))))</f>
        <v>Animosidad (Underworld Goblin Linemen)</v>
      </c>
      <c r="K177" s="1">
        <v>50000</v>
      </c>
      <c r="L177" s="1">
        <f t="shared" si="14"/>
        <v>50</v>
      </c>
      <c r="M177" s="2">
        <v>3</v>
      </c>
      <c r="N177" s="2">
        <v>0</v>
      </c>
      <c r="O177" s="1" t="s">
        <v>170</v>
      </c>
      <c r="P177" s="1" t="s">
        <v>169</v>
      </c>
      <c r="Q177" s="1" t="s">
        <v>169</v>
      </c>
      <c r="R177" s="1">
        <v>0</v>
      </c>
      <c r="S177" s="1" t="s">
        <v>170</v>
      </c>
      <c r="T177" s="15" t="str">
        <f t="shared" si="13"/>
        <v>P</v>
      </c>
      <c r="U177" s="15" t="s">
        <v>671</v>
      </c>
      <c r="V177" s="15" t="s">
        <v>672</v>
      </c>
      <c r="W177" s="15" t="s">
        <v>673</v>
      </c>
      <c r="X177" s="15" t="s">
        <v>674</v>
      </c>
      <c r="Y177" s="15"/>
    </row>
    <row r="178" spans="1:25" ht="12.75" customHeight="1" x14ac:dyDescent="0.2">
      <c r="A178" s="23" t="s">
        <v>154</v>
      </c>
      <c r="B178" s="2" t="str">
        <f>A178&amp;COUNTIF($A$2:$A178,A178)</f>
        <v>Underworld Denizens5</v>
      </c>
      <c r="C178" s="2" t="s">
        <v>675</v>
      </c>
      <c r="D178" s="2" t="str">
        <f t="shared" si="0"/>
        <v>Underworld DenizensSkaven Thrower</v>
      </c>
      <c r="E178" s="2">
        <v>7</v>
      </c>
      <c r="F178" s="2">
        <v>3</v>
      </c>
      <c r="G178" s="2">
        <v>3</v>
      </c>
      <c r="H178" s="2">
        <v>2</v>
      </c>
      <c r="I178" s="2">
        <v>8</v>
      </c>
      <c r="J178" s="2" t="str">
        <f>IF('Pack BB2020'!$J$24="Español",V178,(IF('Pack BB2020'!$J$24="Deutsch",W178,(IF('Pack BB2020'!$J$24="Français",X178,U178)))))</f>
        <v>Animosidad (Underworld Goblin Linemen), Pasar, Manos seguras</v>
      </c>
      <c r="K178" s="1">
        <v>85000</v>
      </c>
      <c r="L178" s="1">
        <f t="shared" si="14"/>
        <v>85</v>
      </c>
      <c r="M178" s="2">
        <v>1</v>
      </c>
      <c r="N178" s="2">
        <v>0</v>
      </c>
      <c r="O178" s="1" t="s">
        <v>170</v>
      </c>
      <c r="P178" s="1" t="s">
        <v>169</v>
      </c>
      <c r="Q178" s="1" t="s">
        <v>169</v>
      </c>
      <c r="R178" s="1" t="s">
        <v>170</v>
      </c>
      <c r="S178" s="1" t="s">
        <v>170</v>
      </c>
      <c r="T178" s="15" t="str">
        <f t="shared" si="13"/>
        <v>FULL</v>
      </c>
      <c r="U178" s="15" t="s">
        <v>676</v>
      </c>
      <c r="V178" s="2" t="s">
        <v>677</v>
      </c>
      <c r="W178" s="15" t="s">
        <v>678</v>
      </c>
      <c r="X178" s="15" t="s">
        <v>679</v>
      </c>
      <c r="Y178" s="15"/>
    </row>
    <row r="179" spans="1:25" ht="12.75" customHeight="1" x14ac:dyDescent="0.2">
      <c r="A179" s="23" t="s">
        <v>154</v>
      </c>
      <c r="B179" s="2" t="str">
        <f>A179&amp;COUNTIF($A$2:$A179,A179)</f>
        <v>Underworld Denizens6</v>
      </c>
      <c r="C179" s="2" t="s">
        <v>629</v>
      </c>
      <c r="D179" s="2" t="str">
        <f t="shared" si="0"/>
        <v>Underworld DenizensGutter Runner</v>
      </c>
      <c r="E179" s="2">
        <v>9</v>
      </c>
      <c r="F179" s="2">
        <v>2</v>
      </c>
      <c r="G179" s="2">
        <v>2</v>
      </c>
      <c r="H179" s="2">
        <v>4</v>
      </c>
      <c r="I179" s="2">
        <v>8</v>
      </c>
      <c r="J179" s="2" t="str">
        <f>IF('Pack BB2020'!$J$24="Español",V179,(IF('Pack BB2020'!$J$24="Deutsch",W179,(IF('Pack BB2020'!$J$24="Français",X179,U179)))))</f>
        <v>Animosidad (Underworld Goblin Linemen), Esquivar</v>
      </c>
      <c r="K179" s="1">
        <v>85000</v>
      </c>
      <c r="L179" s="1">
        <f t="shared" si="14"/>
        <v>85</v>
      </c>
      <c r="M179" s="2">
        <v>1</v>
      </c>
      <c r="N179" s="2">
        <v>0</v>
      </c>
      <c r="O179" s="1" t="s">
        <v>170</v>
      </c>
      <c r="P179" s="1" t="s">
        <v>170</v>
      </c>
      <c r="Q179" s="1" t="s">
        <v>169</v>
      </c>
      <c r="R179" s="1" t="s">
        <v>169</v>
      </c>
      <c r="S179" s="1" t="s">
        <v>170</v>
      </c>
      <c r="T179" s="15" t="str">
        <f t="shared" si="13"/>
        <v>FULL</v>
      </c>
      <c r="U179" s="15" t="s">
        <v>680</v>
      </c>
      <c r="V179" s="2" t="s">
        <v>681</v>
      </c>
      <c r="W179" s="15" t="s">
        <v>682</v>
      </c>
      <c r="X179" s="15" t="s">
        <v>683</v>
      </c>
      <c r="Y179" s="15"/>
    </row>
    <row r="180" spans="1:25" ht="12.75" customHeight="1" x14ac:dyDescent="0.2">
      <c r="A180" s="23" t="s">
        <v>154</v>
      </c>
      <c r="B180" s="2" t="str">
        <f>A180&amp;COUNTIF($A$2:$A180,A180)</f>
        <v>Underworld Denizens7</v>
      </c>
      <c r="C180" s="2" t="s">
        <v>684</v>
      </c>
      <c r="D180" s="2" t="str">
        <f t="shared" si="0"/>
        <v>Underworld DenizensSkaven Blitzer</v>
      </c>
      <c r="E180" s="2">
        <v>7</v>
      </c>
      <c r="F180" s="2">
        <v>3</v>
      </c>
      <c r="G180" s="2">
        <v>3</v>
      </c>
      <c r="H180" s="2">
        <v>5</v>
      </c>
      <c r="I180" s="2">
        <v>9</v>
      </c>
      <c r="J180" s="2" t="str">
        <f>IF('Pack BB2020'!$J$24="Español",V180,(IF('Pack BB2020'!$J$24="Deutsch",W180,(IF('Pack BB2020'!$J$24="Français",X180,U180)))))</f>
        <v>Animosidad (Underworld Goblin Linemen), Placar</v>
      </c>
      <c r="K180" s="1">
        <v>90000</v>
      </c>
      <c r="L180" s="1">
        <f t="shared" si="14"/>
        <v>90</v>
      </c>
      <c r="M180" s="2">
        <v>1</v>
      </c>
      <c r="N180" s="2">
        <v>0</v>
      </c>
      <c r="O180" s="1" t="s">
        <v>170</v>
      </c>
      <c r="P180" s="1" t="s">
        <v>169</v>
      </c>
      <c r="Q180" s="1" t="s">
        <v>170</v>
      </c>
      <c r="R180" s="1" t="s">
        <v>169</v>
      </c>
      <c r="S180" s="1" t="s">
        <v>170</v>
      </c>
      <c r="T180" s="15" t="str">
        <f t="shared" si="13"/>
        <v>FULL</v>
      </c>
      <c r="U180" s="15" t="s">
        <v>685</v>
      </c>
      <c r="V180" s="15" t="s">
        <v>686</v>
      </c>
      <c r="W180" s="15" t="s">
        <v>687</v>
      </c>
      <c r="X180" s="15" t="s">
        <v>688</v>
      </c>
      <c r="Y180" s="15"/>
    </row>
    <row r="181" spans="1:25" ht="12.75" customHeight="1" x14ac:dyDescent="0.2">
      <c r="A181" s="23" t="s">
        <v>154</v>
      </c>
      <c r="B181" s="2" t="str">
        <f>A181&amp;COUNTIF($A$2:$A181,A181)</f>
        <v>Underworld Denizens8</v>
      </c>
      <c r="C181" s="2" t="s">
        <v>689</v>
      </c>
      <c r="D181" s="2" t="str">
        <f t="shared" si="0"/>
        <v>Underworld DenizensUnderworld Troll</v>
      </c>
      <c r="E181" s="2">
        <v>4</v>
      </c>
      <c r="F181" s="2">
        <v>5</v>
      </c>
      <c r="G181" s="2">
        <v>5</v>
      </c>
      <c r="H181" s="2">
        <v>5</v>
      </c>
      <c r="I181" s="2">
        <v>10</v>
      </c>
      <c r="J181" s="2" t="str">
        <f>IF('Pack BB2020'!$J$24="Español",V181,(IF('Pack BB2020'!$J$24="Deutsch",W181,(IF('Pack BB2020'!$J$24="Français",X181,U181)))))</f>
        <v>Siempre hambriento, Solitario (4+), Golpe mortífero (+1), Proyectil de vómito, Realmente estúpido, Regeneración, Lanzar compañero</v>
      </c>
      <c r="K181" s="1">
        <v>115000</v>
      </c>
      <c r="L181" s="1">
        <f t="shared" si="14"/>
        <v>115</v>
      </c>
      <c r="M181" s="2">
        <v>1</v>
      </c>
      <c r="N181" s="2">
        <v>1</v>
      </c>
      <c r="O181" s="1" t="s">
        <v>169</v>
      </c>
      <c r="P181" s="1" t="s">
        <v>169</v>
      </c>
      <c r="Q181" s="1" t="s">
        <v>170</v>
      </c>
      <c r="R181" s="1" t="s">
        <v>169</v>
      </c>
      <c r="S181" s="1" t="s">
        <v>170</v>
      </c>
      <c r="T181" s="15" t="str">
        <f t="shared" si="13"/>
        <v>FULL</v>
      </c>
      <c r="U181" s="15" t="s">
        <v>265</v>
      </c>
      <c r="V181" s="2" t="s">
        <v>266</v>
      </c>
      <c r="W181" s="15" t="s">
        <v>267</v>
      </c>
      <c r="X181" s="15" t="s">
        <v>268</v>
      </c>
      <c r="Y181" s="15"/>
    </row>
    <row r="182" spans="1:25" ht="12.75" customHeight="1" x14ac:dyDescent="0.2">
      <c r="A182" s="23" t="s">
        <v>154</v>
      </c>
      <c r="B182" s="2" t="str">
        <f>A182&amp;COUNTIF($A$2:$A182,A182)</f>
        <v>Underworld Denizens9</v>
      </c>
      <c r="C182" s="2" t="s">
        <v>690</v>
      </c>
      <c r="D182" s="2" t="str">
        <f t="shared" si="0"/>
        <v>Underworld DenizensMutant Rat Ogre</v>
      </c>
      <c r="E182" s="2">
        <v>6</v>
      </c>
      <c r="F182" s="2">
        <v>5</v>
      </c>
      <c r="G182" s="2">
        <v>4</v>
      </c>
      <c r="H182" s="2">
        <v>0</v>
      </c>
      <c r="I182" s="2">
        <v>9</v>
      </c>
      <c r="J182" s="2" t="str">
        <f>IF('Pack BB2020'!$J$24="Español",V182,(IF('Pack BB2020'!$J$24="Deutsch",W182,(IF('Pack BB2020'!$J$24="Français",X182,U182)))))</f>
        <v>Ferocidad animal, Furia, Solitario (4+), Golpe mortífero (+1), Cola prensil</v>
      </c>
      <c r="K182" s="1">
        <v>150000</v>
      </c>
      <c r="L182" s="1">
        <f t="shared" si="14"/>
        <v>150</v>
      </c>
      <c r="M182" s="2">
        <v>1</v>
      </c>
      <c r="N182" s="2">
        <v>1</v>
      </c>
      <c r="O182" s="1" t="s">
        <v>169</v>
      </c>
      <c r="P182" s="1" t="s">
        <v>169</v>
      </c>
      <c r="Q182" s="1" t="s">
        <v>170</v>
      </c>
      <c r="R182" s="12">
        <v>0</v>
      </c>
      <c r="S182" s="1" t="s">
        <v>170</v>
      </c>
      <c r="T182" s="15" t="str">
        <f t="shared" si="13"/>
        <v>P</v>
      </c>
      <c r="U182" s="15" t="s">
        <v>311</v>
      </c>
      <c r="V182" s="2" t="s">
        <v>312</v>
      </c>
      <c r="W182" s="15" t="s">
        <v>313</v>
      </c>
      <c r="X182" s="15" t="s">
        <v>314</v>
      </c>
      <c r="Y182" s="15"/>
    </row>
    <row r="183" spans="1:25" ht="12.75" customHeight="1" x14ac:dyDescent="0.2">
      <c r="A183" s="23" t="s">
        <v>159</v>
      </c>
      <c r="B183" s="2" t="str">
        <f>A183&amp;COUNTIF($A$2:$A183,A183)</f>
        <v>Vampire1</v>
      </c>
      <c r="C183" s="2"/>
      <c r="D183" s="2" t="str">
        <f t="shared" si="0"/>
        <v>Vampire</v>
      </c>
      <c r="E183" s="2">
        <v>0</v>
      </c>
      <c r="F183" s="2">
        <v>0</v>
      </c>
      <c r="G183" s="2">
        <v>0</v>
      </c>
      <c r="H183" s="2">
        <v>0</v>
      </c>
      <c r="I183" s="2">
        <v>0</v>
      </c>
      <c r="J183" s="2">
        <f>IF('Pack BB2020'!$J$24="Español",V183,(IF('Pack BB2020'!$J$24="Deutsch",W183,(IF('Pack BB2020'!$J$24="Français",X183,U183)))))</f>
        <v>0</v>
      </c>
      <c r="K183" s="1">
        <v>0</v>
      </c>
      <c r="L183" s="1">
        <f t="shared" si="14"/>
        <v>0</v>
      </c>
      <c r="M183" s="2">
        <v>0</v>
      </c>
      <c r="N183" s="2">
        <v>0</v>
      </c>
      <c r="O183" s="1"/>
      <c r="P183" s="1"/>
      <c r="Q183" s="1"/>
      <c r="R183" s="1"/>
      <c r="S183" s="1"/>
      <c r="T183" s="15" t="str">
        <f t="shared" si="13"/>
        <v/>
      </c>
      <c r="U183" s="15"/>
      <c r="V183" s="15"/>
      <c r="W183" s="15"/>
      <c r="X183" s="15"/>
      <c r="Y183" s="15"/>
    </row>
    <row r="184" spans="1:25" ht="12.75" customHeight="1" x14ac:dyDescent="0.2">
      <c r="A184" s="23" t="s">
        <v>159</v>
      </c>
      <c r="B184" s="2" t="str">
        <f>A184&amp;COUNTIF($A$2:$A184,A184)</f>
        <v>Vampire2</v>
      </c>
      <c r="C184" s="2" t="s">
        <v>691</v>
      </c>
      <c r="D184" s="2" t="str">
        <f t="shared" si="0"/>
        <v>VampireThrall</v>
      </c>
      <c r="E184" s="2">
        <v>6</v>
      </c>
      <c r="F184" s="2">
        <v>3</v>
      </c>
      <c r="G184" s="2">
        <v>3</v>
      </c>
      <c r="H184" s="2">
        <v>4</v>
      </c>
      <c r="I184" s="2">
        <v>8</v>
      </c>
      <c r="J184" s="2" t="str">
        <f>IF('Pack BB2020'!$J$24="Español",V184,(IF('Pack BB2020'!$J$24="Deutsch",W184,(IF('Pack BB2020'!$J$24="Français",X184,U184)))))</f>
        <v/>
      </c>
      <c r="K184" s="1">
        <v>40000</v>
      </c>
      <c r="L184" s="1">
        <f t="shared" si="14"/>
        <v>40</v>
      </c>
      <c r="M184" s="2">
        <v>16</v>
      </c>
      <c r="N184" s="2">
        <v>0</v>
      </c>
      <c r="O184" s="1" t="s">
        <v>170</v>
      </c>
      <c r="P184" s="1" t="s">
        <v>169</v>
      </c>
      <c r="Q184" s="1" t="s">
        <v>169</v>
      </c>
      <c r="R184" s="1" t="s">
        <v>169</v>
      </c>
      <c r="S184" s="1">
        <v>0</v>
      </c>
      <c r="T184" s="15" t="str">
        <f t="shared" si="13"/>
        <v>M</v>
      </c>
      <c r="U184" s="15" t="str">
        <f t="shared" ref="U184:Y184" si="16">""</f>
        <v/>
      </c>
      <c r="V184" s="15" t="str">
        <f t="shared" si="16"/>
        <v/>
      </c>
      <c r="W184" s="15" t="str">
        <f t="shared" si="16"/>
        <v/>
      </c>
      <c r="X184" s="15" t="str">
        <f t="shared" si="16"/>
        <v/>
      </c>
      <c r="Y184" s="15" t="str">
        <f t="shared" si="16"/>
        <v/>
      </c>
    </row>
    <row r="185" spans="1:25" ht="12.75" customHeight="1" x14ac:dyDescent="0.2">
      <c r="A185" s="23" t="s">
        <v>159</v>
      </c>
      <c r="B185" s="2" t="str">
        <f>A185&amp;COUNTIF($A$2:$A185,A185)</f>
        <v>Vampire3</v>
      </c>
      <c r="C185" s="2" t="s">
        <v>1330</v>
      </c>
      <c r="D185" s="2" t="str">
        <f t="shared" si="0"/>
        <v>VampireVampire Runner</v>
      </c>
      <c r="E185" s="2">
        <v>8</v>
      </c>
      <c r="F185" s="2">
        <v>3</v>
      </c>
      <c r="G185" s="2">
        <v>2</v>
      </c>
      <c r="H185" s="2">
        <v>4</v>
      </c>
      <c r="I185" s="2">
        <v>8</v>
      </c>
      <c r="J185" s="2" t="str">
        <f>IF('Pack BB2020'!$J$24="Español",V185,(IF('Pack BB2020'!$J$24="Deutsch",W185,(IF('Pack BB2020'!$J$24="Français",X185,U185)))))</f>
        <v>Mirada hipnótica, Regeneración, Sed de sangre (2+)</v>
      </c>
      <c r="K185" s="1">
        <v>100000</v>
      </c>
      <c r="L185" s="1">
        <f t="shared" si="14"/>
        <v>100</v>
      </c>
      <c r="M185" s="2">
        <v>2</v>
      </c>
      <c r="N185" s="2">
        <v>0</v>
      </c>
      <c r="O185" s="1" t="s">
        <v>170</v>
      </c>
      <c r="P185" s="1" t="s">
        <v>170</v>
      </c>
      <c r="Q185" s="1" t="s">
        <v>169</v>
      </c>
      <c r="R185" s="1" t="s">
        <v>169</v>
      </c>
      <c r="S185" s="1">
        <v>0</v>
      </c>
      <c r="T185" s="15" t="str">
        <f t="shared" si="13"/>
        <v>M</v>
      </c>
      <c r="U185" s="15" t="s">
        <v>1336</v>
      </c>
      <c r="V185" s="15" t="s">
        <v>1334</v>
      </c>
      <c r="W185" s="15" t="s">
        <v>1344</v>
      </c>
      <c r="X185" s="15" t="s">
        <v>1346</v>
      </c>
      <c r="Y185" s="15"/>
    </row>
    <row r="186" spans="1:25" ht="12.75" customHeight="1" x14ac:dyDescent="0.2">
      <c r="A186" s="23" t="s">
        <v>159</v>
      </c>
      <c r="B186" s="2" t="str">
        <f>A186&amp;COUNTIF($A$2:$A186,A186)</f>
        <v>Vampire4</v>
      </c>
      <c r="C186" s="2" t="s">
        <v>1331</v>
      </c>
      <c r="D186" s="2" t="str">
        <f t="shared" si="0"/>
        <v>VampireVampire Thrower</v>
      </c>
      <c r="E186" s="2">
        <v>6</v>
      </c>
      <c r="F186" s="2">
        <v>4</v>
      </c>
      <c r="G186" s="2">
        <v>2</v>
      </c>
      <c r="H186" s="2">
        <v>2</v>
      </c>
      <c r="I186" s="2">
        <v>9</v>
      </c>
      <c r="J186" s="2" t="str">
        <f>IF('Pack BB2020'!$J$24="Español",V186,(IF('Pack BB2020'!$J$24="Deutsch",W186,(IF('Pack BB2020'!$J$24="Français",X186,U186)))))</f>
        <v>Pasar, Mirada hipnótica, Regeneración, Sed de sangre (2+)</v>
      </c>
      <c r="K186" s="1">
        <v>110000</v>
      </c>
      <c r="L186" s="1">
        <f t="shared" si="14"/>
        <v>110</v>
      </c>
      <c r="M186" s="2">
        <v>2</v>
      </c>
      <c r="N186" s="2">
        <v>0</v>
      </c>
      <c r="O186" s="1" t="s">
        <v>170</v>
      </c>
      <c r="P186" s="1" t="s">
        <v>170</v>
      </c>
      <c r="Q186" s="1" t="s">
        <v>169</v>
      </c>
      <c r="R186" s="1" t="s">
        <v>170</v>
      </c>
      <c r="S186" s="1">
        <v>0</v>
      </c>
      <c r="T186" s="15" t="str">
        <f t="shared" si="13"/>
        <v>M</v>
      </c>
      <c r="U186" s="15" t="s">
        <v>1337</v>
      </c>
      <c r="V186" s="15" t="s">
        <v>1335</v>
      </c>
      <c r="W186" s="15" t="s">
        <v>1343</v>
      </c>
      <c r="X186" s="15" t="s">
        <v>1347</v>
      </c>
      <c r="Y186" s="15"/>
    </row>
    <row r="187" spans="1:25" ht="12.75" customHeight="1" x14ac:dyDescent="0.2">
      <c r="A187" s="23" t="s">
        <v>159</v>
      </c>
      <c r="B187" s="2" t="str">
        <f>A187&amp;COUNTIF($A$2:$A187,A187)</f>
        <v>Vampire5</v>
      </c>
      <c r="C187" s="2" t="s">
        <v>1332</v>
      </c>
      <c r="D187" s="2" t="str">
        <f t="shared" si="0"/>
        <v>VampireVampire Blitzer</v>
      </c>
      <c r="E187" s="2">
        <v>6</v>
      </c>
      <c r="F187" s="2">
        <v>4</v>
      </c>
      <c r="G187" s="2">
        <v>2</v>
      </c>
      <c r="H187" s="2">
        <v>5</v>
      </c>
      <c r="I187" s="2">
        <v>9</v>
      </c>
      <c r="J187" s="2" t="str">
        <f>IF('Pack BB2020'!$J$24="Español",V187,(IF('Pack BB2020'!$J$24="Deutsch",W187,(IF('Pack BB2020'!$J$24="Français",X187,U187)))))</f>
        <v>Imparable, Mirada hipnótica, Regeneración, Sed de sangre (3+)</v>
      </c>
      <c r="K187" s="1">
        <v>110000</v>
      </c>
      <c r="L187" s="1">
        <f t="shared" si="14"/>
        <v>110</v>
      </c>
      <c r="M187" s="2">
        <v>2</v>
      </c>
      <c r="N187" s="2">
        <v>0</v>
      </c>
      <c r="O187" s="1" t="s">
        <v>170</v>
      </c>
      <c r="P187" s="1" t="s">
        <v>170</v>
      </c>
      <c r="Q187" s="1" t="s">
        <v>170</v>
      </c>
      <c r="R187" s="1" t="s">
        <v>169</v>
      </c>
      <c r="S187" s="1">
        <v>0</v>
      </c>
      <c r="T187" s="15" t="str">
        <f t="shared" si="13"/>
        <v>M</v>
      </c>
      <c r="U187" s="15" t="s">
        <v>1339</v>
      </c>
      <c r="V187" s="15" t="s">
        <v>1340</v>
      </c>
      <c r="W187" s="15" t="s">
        <v>1342</v>
      </c>
      <c r="X187" s="15" t="s">
        <v>1345</v>
      </c>
      <c r="Y187" s="15"/>
    </row>
    <row r="188" spans="1:25" ht="12.75" customHeight="1" x14ac:dyDescent="0.2">
      <c r="A188" s="23" t="s">
        <v>159</v>
      </c>
      <c r="B188" s="2" t="str">
        <f>A188&amp;COUNTIF($A$2:$A188,A188)</f>
        <v>Vampire6</v>
      </c>
      <c r="C188" s="2" t="s">
        <v>1333</v>
      </c>
      <c r="D188" s="2" t="str">
        <f t="shared" si="0"/>
        <v>VampireVargheist</v>
      </c>
      <c r="E188" s="2">
        <v>5</v>
      </c>
      <c r="F188" s="2">
        <v>5</v>
      </c>
      <c r="G188" s="2">
        <v>4</v>
      </c>
      <c r="H188" s="2">
        <v>0</v>
      </c>
      <c r="I188" s="2">
        <v>10</v>
      </c>
      <c r="J188" s="2" t="str">
        <f>IF('Pack BB2020'!$J$24="Español",V188,(IF('Pack BB2020'!$J$24="Deutsch",W188,(IF('Pack BB2020'!$J$24="Français",X188,U188)))))</f>
        <v>Garras, Furia, Sed de sangre (3+), Regeneración, Solitario (4+)</v>
      </c>
      <c r="K188" s="1">
        <v>150000</v>
      </c>
      <c r="L188" s="1">
        <f t="shared" si="14"/>
        <v>150</v>
      </c>
      <c r="M188" s="2">
        <v>1</v>
      </c>
      <c r="N188" s="2">
        <v>1</v>
      </c>
      <c r="O188" s="1" t="s">
        <v>169</v>
      </c>
      <c r="P188" s="1" t="s">
        <v>169</v>
      </c>
      <c r="Q188" s="1" t="s">
        <v>170</v>
      </c>
      <c r="R188" s="1" t="s">
        <v>169</v>
      </c>
      <c r="S188" s="1">
        <v>0</v>
      </c>
      <c r="T188" s="15" t="str">
        <f t="shared" si="13"/>
        <v>M</v>
      </c>
      <c r="U188" s="15" t="s">
        <v>1338</v>
      </c>
      <c r="V188" s="15" t="s">
        <v>1341</v>
      </c>
      <c r="W188" s="15" t="s">
        <v>1348</v>
      </c>
      <c r="X188" s="15" t="s">
        <v>1349</v>
      </c>
      <c r="Y188" s="15"/>
    </row>
    <row r="189" spans="1:25" ht="12.75" customHeight="1" x14ac:dyDescent="0.2">
      <c r="A189" s="23" t="s">
        <v>160</v>
      </c>
      <c r="B189" s="2" t="str">
        <f>A189&amp;COUNTIF($A$2:$A189,A189)</f>
        <v>Wood Elf1</v>
      </c>
      <c r="C189" s="2" t="str">
        <f>""</f>
        <v/>
      </c>
      <c r="D189" s="2" t="str">
        <f t="shared" si="0"/>
        <v>Wood Elf</v>
      </c>
      <c r="E189" s="2">
        <v>0</v>
      </c>
      <c r="F189" s="2">
        <v>0</v>
      </c>
      <c r="G189" s="2">
        <v>0</v>
      </c>
      <c r="H189" s="2">
        <v>0</v>
      </c>
      <c r="I189" s="2">
        <v>0</v>
      </c>
      <c r="J189" s="2">
        <f>IF('Pack BB2020'!$J$24="Español",V189,(IF('Pack BB2020'!$J$24="Deutsch",W189,(IF('Pack BB2020'!$J$24="Français",X189,U189)))))</f>
        <v>0</v>
      </c>
      <c r="K189" s="1">
        <v>0</v>
      </c>
      <c r="L189" s="1">
        <f t="shared" si="14"/>
        <v>0</v>
      </c>
      <c r="M189" s="1">
        <v>0</v>
      </c>
      <c r="N189" s="1">
        <v>0</v>
      </c>
      <c r="O189" s="1"/>
      <c r="P189" s="1"/>
      <c r="Q189" s="1"/>
      <c r="R189" s="1"/>
      <c r="S189" s="1"/>
      <c r="T189" s="15" t="str">
        <f t="shared" si="13"/>
        <v/>
      </c>
      <c r="U189" s="15">
        <v>0</v>
      </c>
      <c r="V189" s="15">
        <v>0</v>
      </c>
      <c r="W189" s="15">
        <v>0</v>
      </c>
      <c r="X189" s="15">
        <v>0</v>
      </c>
      <c r="Y189" s="15">
        <v>0</v>
      </c>
    </row>
    <row r="190" spans="1:25" ht="12.75" customHeight="1" x14ac:dyDescent="0.2">
      <c r="A190" s="23" t="s">
        <v>160</v>
      </c>
      <c r="B190" s="2" t="str">
        <f>A190&amp;COUNTIF($A$2:$A190,A190)</f>
        <v>Wood Elf2</v>
      </c>
      <c r="C190" s="2" t="s">
        <v>319</v>
      </c>
      <c r="D190" s="2" t="str">
        <f t="shared" si="0"/>
        <v>Wood ElfLineman</v>
      </c>
      <c r="E190" s="2">
        <v>7</v>
      </c>
      <c r="F190" s="2">
        <v>3</v>
      </c>
      <c r="G190" s="2">
        <v>2</v>
      </c>
      <c r="H190" s="2">
        <v>4</v>
      </c>
      <c r="I190" s="2">
        <v>8</v>
      </c>
      <c r="J190" s="2" t="str">
        <f>IF('Pack BB2020'!$J$24="Español",V190,(IF('Pack BB2020'!$J$24="Deutsch",W190,(IF('Pack BB2020'!$J$24="Français",X190,U190)))))</f>
        <v/>
      </c>
      <c r="K190" s="1">
        <v>70000</v>
      </c>
      <c r="L190" s="1">
        <f t="shared" si="14"/>
        <v>70</v>
      </c>
      <c r="M190" s="2">
        <v>16</v>
      </c>
      <c r="N190" s="2">
        <v>0</v>
      </c>
      <c r="O190" s="1" t="s">
        <v>170</v>
      </c>
      <c r="P190" s="1" t="s">
        <v>170</v>
      </c>
      <c r="Q190" s="1" t="s">
        <v>169</v>
      </c>
      <c r="R190" s="1">
        <v>0</v>
      </c>
      <c r="S190" s="1">
        <v>0</v>
      </c>
      <c r="T190" s="15" t="str">
        <f t="shared" si="13"/>
        <v>PM</v>
      </c>
      <c r="U190" s="15" t="str">
        <f>""</f>
        <v/>
      </c>
      <c r="V190" s="15" t="str">
        <f t="shared" ref="V190:Y190" si="17">""</f>
        <v/>
      </c>
      <c r="W190" s="15" t="str">
        <f t="shared" si="17"/>
        <v/>
      </c>
      <c r="X190" s="15" t="str">
        <f t="shared" si="17"/>
        <v/>
      </c>
      <c r="Y190" s="15" t="str">
        <f t="shared" si="17"/>
        <v/>
      </c>
    </row>
    <row r="191" spans="1:25" ht="12.75" customHeight="1" x14ac:dyDescent="0.2">
      <c r="A191" s="23" t="s">
        <v>160</v>
      </c>
      <c r="B191" s="2" t="str">
        <f>A191&amp;COUNTIF($A$2:$A191,A191)</f>
        <v>Wood Elf3</v>
      </c>
      <c r="C191" s="2" t="s">
        <v>242</v>
      </c>
      <c r="D191" s="2" t="str">
        <f t="shared" si="0"/>
        <v>Wood ElfCatcher</v>
      </c>
      <c r="E191" s="2">
        <v>8</v>
      </c>
      <c r="F191" s="2">
        <v>2</v>
      </c>
      <c r="G191" s="2">
        <v>2</v>
      </c>
      <c r="H191" s="2">
        <v>4</v>
      </c>
      <c r="I191" s="2">
        <v>8</v>
      </c>
      <c r="J191" s="2" t="str">
        <f>IF('Pack BB2020'!$J$24="Español",V191,(IF('Pack BB2020'!$J$24="Deutsch",W191,(IF('Pack BB2020'!$J$24="Français",X191,U191)))))</f>
        <v>Atrapar, Esquivar</v>
      </c>
      <c r="K191" s="1">
        <v>90000</v>
      </c>
      <c r="L191" s="1">
        <f t="shared" si="14"/>
        <v>90</v>
      </c>
      <c r="M191" s="1">
        <v>4</v>
      </c>
      <c r="N191" s="1">
        <v>0</v>
      </c>
      <c r="O191" s="1" t="s">
        <v>170</v>
      </c>
      <c r="P191" s="1" t="s">
        <v>170</v>
      </c>
      <c r="Q191" s="1" t="s">
        <v>169</v>
      </c>
      <c r="R191" s="1" t="s">
        <v>169</v>
      </c>
      <c r="S191" s="1">
        <v>0</v>
      </c>
      <c r="T191" s="15" t="str">
        <f t="shared" si="13"/>
        <v>M</v>
      </c>
      <c r="U191" s="15" t="s">
        <v>426</v>
      </c>
      <c r="V191" s="2" t="s">
        <v>427</v>
      </c>
      <c r="W191" s="15" t="s">
        <v>428</v>
      </c>
      <c r="X191" s="15" t="s">
        <v>429</v>
      </c>
      <c r="Y191" s="15"/>
    </row>
    <row r="192" spans="1:25" ht="12.75" customHeight="1" x14ac:dyDescent="0.2">
      <c r="A192" s="23" t="s">
        <v>160</v>
      </c>
      <c r="B192" s="2" t="str">
        <f>A192&amp;COUNTIF($A$2:$A192,A192)</f>
        <v>Wood Elf4</v>
      </c>
      <c r="C192" s="2" t="s">
        <v>241</v>
      </c>
      <c r="D192" s="2" t="str">
        <f t="shared" si="0"/>
        <v>Wood ElfThrower</v>
      </c>
      <c r="E192" s="2">
        <v>7</v>
      </c>
      <c r="F192" s="2">
        <v>3</v>
      </c>
      <c r="G192" s="2">
        <v>2</v>
      </c>
      <c r="H192" s="2">
        <v>2</v>
      </c>
      <c r="I192" s="2">
        <v>8</v>
      </c>
      <c r="J192" s="2" t="str">
        <f>IF('Pack BB2020'!$J$24="Español",V192,(IF('Pack BB2020'!$J$24="Deutsch",W192,(IF('Pack BB2020'!$J$24="Français",X192,U192)))))</f>
        <v>Pasar</v>
      </c>
      <c r="K192" s="1">
        <v>95000</v>
      </c>
      <c r="L192" s="1">
        <f t="shared" si="14"/>
        <v>95</v>
      </c>
      <c r="M192" s="2">
        <v>2</v>
      </c>
      <c r="N192" s="2">
        <v>0</v>
      </c>
      <c r="O192" s="1" t="s">
        <v>170</v>
      </c>
      <c r="P192" s="1" t="s">
        <v>170</v>
      </c>
      <c r="Q192" s="1" t="s">
        <v>169</v>
      </c>
      <c r="R192" s="1" t="s">
        <v>170</v>
      </c>
      <c r="S192" s="1">
        <v>0</v>
      </c>
      <c r="T192" s="15" t="str">
        <f t="shared" si="13"/>
        <v>M</v>
      </c>
      <c r="U192" s="15" t="s">
        <v>356</v>
      </c>
      <c r="V192" s="15" t="s">
        <v>357</v>
      </c>
      <c r="W192" s="15" t="s">
        <v>358</v>
      </c>
      <c r="X192" s="15" t="s">
        <v>359</v>
      </c>
      <c r="Y192" s="15"/>
    </row>
    <row r="193" spans="1:25" ht="12.75" customHeight="1" x14ac:dyDescent="0.2">
      <c r="A193" s="23" t="s">
        <v>160</v>
      </c>
      <c r="B193" s="2" t="str">
        <f>A193&amp;COUNTIF($A$2:$A193,A193)</f>
        <v>Wood Elf5</v>
      </c>
      <c r="C193" s="2" t="s">
        <v>692</v>
      </c>
      <c r="D193" s="2" t="str">
        <f t="shared" si="0"/>
        <v>Wood ElfWardancer</v>
      </c>
      <c r="E193" s="2">
        <v>8</v>
      </c>
      <c r="F193" s="2">
        <v>3</v>
      </c>
      <c r="G193" s="2">
        <v>2</v>
      </c>
      <c r="H193" s="2">
        <v>4</v>
      </c>
      <c r="I193" s="2">
        <v>8</v>
      </c>
      <c r="J193" s="2" t="str">
        <f>IF('Pack BB2020'!$J$24="Español",V193,(IF('Pack BB2020'!$J$24="Deutsch",W193,(IF('Pack BB2020'!$J$24="Français",X193,U193)))))</f>
        <v>Placar, Esquivar, Saltar</v>
      </c>
      <c r="K193" s="1">
        <v>125000</v>
      </c>
      <c r="L193" s="1">
        <f t="shared" si="14"/>
        <v>125</v>
      </c>
      <c r="M193" s="2">
        <v>2</v>
      </c>
      <c r="N193" s="2">
        <v>0</v>
      </c>
      <c r="O193" s="1" t="s">
        <v>170</v>
      </c>
      <c r="P193" s="1" t="s">
        <v>170</v>
      </c>
      <c r="Q193" s="1" t="s">
        <v>169</v>
      </c>
      <c r="R193" s="1" t="s">
        <v>169</v>
      </c>
      <c r="S193" s="1">
        <v>0</v>
      </c>
      <c r="T193" s="15" t="str">
        <f t="shared" si="13"/>
        <v>M</v>
      </c>
      <c r="U193" s="15" t="s">
        <v>693</v>
      </c>
      <c r="V193" s="15" t="s">
        <v>694</v>
      </c>
      <c r="W193" s="15" t="s">
        <v>695</v>
      </c>
      <c r="X193" s="15" t="s">
        <v>696</v>
      </c>
      <c r="Y193" s="15"/>
    </row>
    <row r="194" spans="1:25" ht="12.75" customHeight="1" x14ac:dyDescent="0.2">
      <c r="A194" s="23" t="s">
        <v>160</v>
      </c>
      <c r="B194" s="2" t="str">
        <f>A194&amp;COUNTIF($A$2:$A194,A194)</f>
        <v>Wood Elf6</v>
      </c>
      <c r="C194" s="2" t="s">
        <v>697</v>
      </c>
      <c r="D194" s="2" t="str">
        <f t="shared" si="0"/>
        <v>Wood ElfTreeman</v>
      </c>
      <c r="E194" s="2">
        <v>2</v>
      </c>
      <c r="F194" s="2">
        <v>6</v>
      </c>
      <c r="G194" s="2">
        <v>5</v>
      </c>
      <c r="H194" s="2">
        <v>5</v>
      </c>
      <c r="I194" s="2">
        <v>11</v>
      </c>
      <c r="J194" s="2" t="str">
        <f>IF('Pack BB2020'!$J$24="Español",V194,(IF('Pack BB2020'!$J$24="Deutsch",W194,(IF('Pack BB2020'!$J$24="Français",X194,U194)))))</f>
        <v>Solitario (4+), Golpe mortífero (+1), Mantenerse firme, Brazo fuerte, Echar raíces, Cabeza dura, Lanzar compañero</v>
      </c>
      <c r="K194" s="1">
        <v>120000</v>
      </c>
      <c r="L194" s="1">
        <f t="shared" ref="L194" si="18">K194/1000</f>
        <v>120</v>
      </c>
      <c r="M194" s="2">
        <v>1</v>
      </c>
      <c r="N194" s="2">
        <v>1</v>
      </c>
      <c r="O194" s="1" t="s">
        <v>169</v>
      </c>
      <c r="P194" s="1" t="s">
        <v>169</v>
      </c>
      <c r="Q194" s="1" t="s">
        <v>170</v>
      </c>
      <c r="R194" s="1">
        <v>0</v>
      </c>
      <c r="S194" s="1">
        <v>0</v>
      </c>
      <c r="T194" s="15" t="str">
        <f t="shared" si="13"/>
        <v>PM</v>
      </c>
      <c r="U194" s="15" t="s">
        <v>698</v>
      </c>
      <c r="V194" s="15" t="s">
        <v>699</v>
      </c>
      <c r="W194" s="15" t="s">
        <v>1091</v>
      </c>
      <c r="X194" s="15" t="s">
        <v>700</v>
      </c>
      <c r="Y194" s="15"/>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0CC71-18BD-4C61-A602-52B4A07FE16B}">
  <dimension ref="A1:Y194"/>
  <sheetViews>
    <sheetView zoomScale="80" zoomScaleNormal="80" workbookViewId="0">
      <pane ySplit="1" topLeftCell="A51" activePane="bottomLeft" state="frozen"/>
      <selection activeCell="R75" sqref="R75"/>
      <selection pane="bottomLeft" activeCell="R75" sqref="R75"/>
    </sheetView>
  </sheetViews>
  <sheetFormatPr baseColWidth="10"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14.7109375" customWidth="1"/>
    <col min="21" max="24" width="41.5703125" customWidth="1"/>
    <col min="25" max="25" width="9.42578125" customWidth="1"/>
    <col min="26" max="26" width="9.140625" customWidth="1"/>
  </cols>
  <sheetData>
    <row r="1" spans="1:25" ht="12.75" customHeight="1" x14ac:dyDescent="0.2">
      <c r="A1" s="27" t="s">
        <v>224</v>
      </c>
      <c r="B1" s="5" t="s">
        <v>225</v>
      </c>
      <c r="C1" s="5" t="s">
        <v>226</v>
      </c>
      <c r="D1" s="5" t="s">
        <v>227</v>
      </c>
      <c r="E1" s="5" t="s">
        <v>172</v>
      </c>
      <c r="F1" s="5" t="s">
        <v>176</v>
      </c>
      <c r="G1" s="5" t="s">
        <v>174</v>
      </c>
      <c r="H1" s="5" t="s">
        <v>175</v>
      </c>
      <c r="I1" s="5" t="s">
        <v>173</v>
      </c>
      <c r="J1" s="5" t="s">
        <v>228</v>
      </c>
      <c r="K1" s="5" t="s">
        <v>229</v>
      </c>
      <c r="L1" s="5" t="s">
        <v>10</v>
      </c>
      <c r="M1" s="5" t="s">
        <v>230</v>
      </c>
      <c r="N1" s="5" t="s">
        <v>231</v>
      </c>
      <c r="O1" s="5" t="s">
        <v>167</v>
      </c>
      <c r="P1" s="5" t="s">
        <v>168</v>
      </c>
      <c r="Q1" s="5" t="s">
        <v>169</v>
      </c>
      <c r="R1" s="5" t="s">
        <v>170</v>
      </c>
      <c r="S1" s="5" t="s">
        <v>171</v>
      </c>
      <c r="T1" s="15"/>
      <c r="U1" s="5" t="s">
        <v>232</v>
      </c>
      <c r="V1" s="5" t="s">
        <v>233</v>
      </c>
      <c r="W1" s="5" t="s">
        <v>234</v>
      </c>
      <c r="X1" s="5" t="s">
        <v>235</v>
      </c>
      <c r="Y1" s="5" t="s">
        <v>236</v>
      </c>
    </row>
    <row r="2" spans="1:25" ht="12.75" customHeight="1" x14ac:dyDescent="0.2">
      <c r="A2" s="2" t="s">
        <v>20</v>
      </c>
      <c r="B2" s="23" t="str">
        <f>A2&amp;COUNTIF($A$2:$A2,A2)</f>
        <v>Amazon1</v>
      </c>
      <c r="C2" s="23" t="str">
        <f>""</f>
        <v/>
      </c>
      <c r="D2" s="23" t="str">
        <f t="shared" ref="D2:D194" si="0">A2&amp;C2</f>
        <v>Amazon</v>
      </c>
      <c r="E2" s="23">
        <v>0</v>
      </c>
      <c r="F2" s="23">
        <v>0</v>
      </c>
      <c r="G2" s="23">
        <v>0</v>
      </c>
      <c r="H2" s="23">
        <v>0</v>
      </c>
      <c r="I2" s="23">
        <v>0</v>
      </c>
      <c r="J2" s="23">
        <v>0</v>
      </c>
      <c r="K2" s="25">
        <v>0</v>
      </c>
      <c r="L2" s="1">
        <f t="shared" ref="L2:L93" si="1">K2/1000</f>
        <v>0</v>
      </c>
      <c r="M2" s="25">
        <v>0</v>
      </c>
      <c r="N2" s="25">
        <v>0</v>
      </c>
      <c r="O2" s="25"/>
      <c r="P2" s="25"/>
      <c r="Q2" s="25"/>
      <c r="R2" s="25"/>
      <c r="S2" s="25"/>
      <c r="T2" s="15" t="str">
        <f>IF(K2=0,"",(IF(O2=0,"GPSM",(IF(AND(R2=0,S2=0),"PM",(IF(S2=0,"M",(IF(R2=0,"P","FULL")))))))))</f>
        <v/>
      </c>
      <c r="U2" s="15">
        <v>0</v>
      </c>
      <c r="V2" s="15">
        <v>0</v>
      </c>
      <c r="W2" s="15"/>
      <c r="X2" s="15">
        <v>0</v>
      </c>
      <c r="Y2" s="15">
        <v>0</v>
      </c>
    </row>
    <row r="3" spans="1:25" ht="12.75" customHeight="1" x14ac:dyDescent="0.2">
      <c r="A3" s="2" t="s">
        <v>20</v>
      </c>
      <c r="B3" s="23" t="str">
        <f>A3&amp;COUNTIF($A$2:$A3,A3)</f>
        <v>Amazon2</v>
      </c>
      <c r="C3" s="23" t="s">
        <v>1184</v>
      </c>
      <c r="D3" s="23" t="str">
        <f t="shared" si="0"/>
        <v>AmazonEagle Warrior Linewomen</v>
      </c>
      <c r="E3" s="23">
        <v>6</v>
      </c>
      <c r="F3" s="23">
        <v>3</v>
      </c>
      <c r="G3" s="23">
        <v>3</v>
      </c>
      <c r="H3" s="23">
        <v>4</v>
      </c>
      <c r="I3" s="23">
        <v>8</v>
      </c>
      <c r="J3" s="23" t="s">
        <v>237</v>
      </c>
      <c r="K3" s="25">
        <v>50000</v>
      </c>
      <c r="L3" s="1">
        <f t="shared" si="1"/>
        <v>50</v>
      </c>
      <c r="M3" s="23">
        <v>16</v>
      </c>
      <c r="N3" s="23">
        <v>0</v>
      </c>
      <c r="O3" s="25" t="s">
        <v>170</v>
      </c>
      <c r="P3" s="25" t="s">
        <v>169</v>
      </c>
      <c r="Q3" s="25" t="s">
        <v>169</v>
      </c>
      <c r="R3" s="1">
        <v>0</v>
      </c>
      <c r="S3" s="25">
        <v>0</v>
      </c>
      <c r="T3" s="15" t="str">
        <f>IF(K3=0,"",(IF(O3=0,"GPSM",(IF(AND(R3=0,S3=0),"PM",(IF(S3=0,"M",(IF(R3=0,"P","FULL")))))))))</f>
        <v>PM</v>
      </c>
      <c r="U3" s="15" t="s">
        <v>237</v>
      </c>
      <c r="V3" s="15" t="s">
        <v>238</v>
      </c>
      <c r="W3" s="15" t="s">
        <v>239</v>
      </c>
      <c r="X3" s="15" t="s">
        <v>240</v>
      </c>
      <c r="Y3" s="15"/>
    </row>
    <row r="4" spans="1:25" ht="12.75" customHeight="1" x14ac:dyDescent="0.2">
      <c r="A4" s="2" t="s">
        <v>20</v>
      </c>
      <c r="B4" s="23" t="str">
        <f>A4&amp;COUNTIF($A$2:$A4,A4)</f>
        <v>Amazon3</v>
      </c>
      <c r="C4" s="23" t="s">
        <v>1185</v>
      </c>
      <c r="D4" s="23" t="str">
        <f t="shared" si="0"/>
        <v>AmazonPython Warrior Throwers</v>
      </c>
      <c r="E4" s="23">
        <v>6</v>
      </c>
      <c r="F4" s="23">
        <v>3</v>
      </c>
      <c r="G4" s="23">
        <v>3</v>
      </c>
      <c r="H4" s="23">
        <v>3</v>
      </c>
      <c r="I4" s="23">
        <v>8</v>
      </c>
      <c r="J4" s="23" t="s">
        <v>1186</v>
      </c>
      <c r="K4" s="25">
        <v>80000</v>
      </c>
      <c r="L4" s="1">
        <f t="shared" si="1"/>
        <v>80</v>
      </c>
      <c r="M4" s="23">
        <v>2</v>
      </c>
      <c r="N4" s="23">
        <v>0</v>
      </c>
      <c r="O4" s="25" t="s">
        <v>170</v>
      </c>
      <c r="P4" s="25" t="s">
        <v>169</v>
      </c>
      <c r="Q4" s="25" t="s">
        <v>169</v>
      </c>
      <c r="R4" s="1" t="s">
        <v>170</v>
      </c>
      <c r="S4" s="25">
        <v>0</v>
      </c>
      <c r="T4" s="15" t="str">
        <f t="shared" ref="T4:T64" si="2">IF(K4=0,"",(IF(O4=0,"GPSM",(IF(AND(R4=0,S4=0),"PM",(IF(S4=0,"M",(IF(R4=0,"P","FULL")))))))))</f>
        <v>M</v>
      </c>
      <c r="U4" s="15" t="s">
        <v>1186</v>
      </c>
      <c r="V4" s="15" t="s">
        <v>1187</v>
      </c>
      <c r="W4" s="15" t="s">
        <v>1188</v>
      </c>
      <c r="X4" s="15" t="s">
        <v>1189</v>
      </c>
      <c r="Y4" s="15"/>
    </row>
    <row r="5" spans="1:25" ht="12.75" customHeight="1" x14ac:dyDescent="0.2">
      <c r="A5" s="2" t="s">
        <v>20</v>
      </c>
      <c r="B5" s="23" t="str">
        <f>A5&amp;COUNTIF($A$2:$A5,A5)</f>
        <v>Amazon4</v>
      </c>
      <c r="C5" s="23" t="s">
        <v>1190</v>
      </c>
      <c r="D5" s="23" t="str">
        <f t="shared" si="0"/>
        <v>AmazonPiranha Warrior Blitzers</v>
      </c>
      <c r="E5" s="23">
        <v>7</v>
      </c>
      <c r="F5" s="23">
        <v>3</v>
      </c>
      <c r="G5" s="23">
        <v>3</v>
      </c>
      <c r="H5" s="23">
        <v>5</v>
      </c>
      <c r="I5" s="23">
        <v>8</v>
      </c>
      <c r="J5" s="23" t="s">
        <v>1191</v>
      </c>
      <c r="K5" s="25">
        <v>90000</v>
      </c>
      <c r="L5" s="1">
        <f t="shared" si="1"/>
        <v>90</v>
      </c>
      <c r="M5" s="23">
        <v>2</v>
      </c>
      <c r="N5" s="23">
        <v>0</v>
      </c>
      <c r="O5" s="25" t="s">
        <v>170</v>
      </c>
      <c r="P5" s="25" t="s">
        <v>170</v>
      </c>
      <c r="Q5" s="25" t="s">
        <v>169</v>
      </c>
      <c r="R5" s="1">
        <v>0</v>
      </c>
      <c r="S5" s="25">
        <v>0</v>
      </c>
      <c r="T5" s="15" t="str">
        <f t="shared" si="2"/>
        <v>PM</v>
      </c>
      <c r="U5" s="15" t="s">
        <v>1191</v>
      </c>
      <c r="V5" s="15" t="s">
        <v>1192</v>
      </c>
      <c r="W5" s="15" t="s">
        <v>1193</v>
      </c>
      <c r="X5" s="15" t="s">
        <v>1194</v>
      </c>
      <c r="Y5" s="15"/>
    </row>
    <row r="6" spans="1:25" ht="12.75" customHeight="1" x14ac:dyDescent="0.2">
      <c r="A6" s="2" t="s">
        <v>20</v>
      </c>
      <c r="B6" s="23" t="str">
        <f>A6&amp;COUNTIF($A$2:$A6,A6)</f>
        <v>Amazon5</v>
      </c>
      <c r="C6" s="23" t="s">
        <v>1195</v>
      </c>
      <c r="D6" s="23" t="str">
        <f t="shared" si="0"/>
        <v>AmazonJaguar Warrior Blockers</v>
      </c>
      <c r="E6" s="23">
        <v>6</v>
      </c>
      <c r="F6" s="23">
        <v>4</v>
      </c>
      <c r="G6" s="23">
        <v>3</v>
      </c>
      <c r="H6" s="23">
        <v>5</v>
      </c>
      <c r="I6" s="23">
        <v>9</v>
      </c>
      <c r="J6" s="23" t="s">
        <v>1196</v>
      </c>
      <c r="K6" s="25">
        <v>110000</v>
      </c>
      <c r="L6" s="1">
        <f t="shared" si="1"/>
        <v>110</v>
      </c>
      <c r="M6" s="23">
        <v>2</v>
      </c>
      <c r="N6" s="23">
        <v>0</v>
      </c>
      <c r="O6" s="25" t="s">
        <v>170</v>
      </c>
      <c r="P6" s="25" t="s">
        <v>169</v>
      </c>
      <c r="Q6" s="25" t="s">
        <v>170</v>
      </c>
      <c r="R6" s="1">
        <v>0</v>
      </c>
      <c r="S6" s="25">
        <v>0</v>
      </c>
      <c r="T6" s="15" t="str">
        <f t="shared" si="2"/>
        <v>PM</v>
      </c>
      <c r="U6" s="15" t="s">
        <v>1196</v>
      </c>
      <c r="V6" s="15" t="s">
        <v>1197</v>
      </c>
      <c r="W6" s="15" t="s">
        <v>1198</v>
      </c>
      <c r="X6" s="15" t="s">
        <v>1199</v>
      </c>
      <c r="Y6" s="15"/>
    </row>
    <row r="7" spans="1:25" ht="12.75" customHeight="1" x14ac:dyDescent="0.2">
      <c r="A7" s="23" t="s">
        <v>22</v>
      </c>
      <c r="B7" s="2" t="str">
        <f>A7&amp;COUNTIF($A$2:$A7,A7)</f>
        <v>Black Orc1</v>
      </c>
      <c r="C7" s="2" t="str">
        <f>""</f>
        <v/>
      </c>
      <c r="D7" s="2" t="str">
        <f t="shared" si="0"/>
        <v>Black Orc</v>
      </c>
      <c r="E7" s="2">
        <v>0</v>
      </c>
      <c r="F7" s="2">
        <v>0</v>
      </c>
      <c r="G7" s="2">
        <v>0</v>
      </c>
      <c r="H7" s="2">
        <v>0</v>
      </c>
      <c r="I7" s="2">
        <v>0</v>
      </c>
      <c r="J7" s="2">
        <f>IF('Pack Protajer'!$J$24="Español",V7,(IF('Pack Protajer'!$J$24="Deutsch",W7,(IF('Pack Protajer'!$J$24="Français",X7,U7)))))</f>
        <v>0</v>
      </c>
      <c r="K7" s="1">
        <v>0</v>
      </c>
      <c r="L7" s="1">
        <f t="shared" si="1"/>
        <v>0</v>
      </c>
      <c r="M7" s="1">
        <v>0</v>
      </c>
      <c r="N7" s="1">
        <v>0</v>
      </c>
      <c r="O7" s="1"/>
      <c r="P7" s="1"/>
      <c r="Q7" s="1"/>
      <c r="R7" s="1"/>
      <c r="S7" s="1"/>
      <c r="T7" s="15" t="str">
        <f t="shared" si="2"/>
        <v/>
      </c>
      <c r="U7" s="15">
        <v>0</v>
      </c>
      <c r="V7" s="15">
        <v>0</v>
      </c>
      <c r="W7" s="15">
        <v>0</v>
      </c>
      <c r="X7" s="15">
        <v>0</v>
      </c>
      <c r="Y7" s="15">
        <v>0</v>
      </c>
    </row>
    <row r="8" spans="1:25" ht="12.75" customHeight="1" x14ac:dyDescent="0.2">
      <c r="A8" s="23" t="s">
        <v>22</v>
      </c>
      <c r="B8" s="2" t="str">
        <f>A8&amp;COUNTIF($A$2:$A8,A8)</f>
        <v>Black Orc2</v>
      </c>
      <c r="C8" s="2" t="s">
        <v>244</v>
      </c>
      <c r="D8" s="2" t="str">
        <f t="shared" si="0"/>
        <v>Black OrcGoblin Bruiser</v>
      </c>
      <c r="E8" s="2">
        <v>6</v>
      </c>
      <c r="F8" s="2">
        <v>2</v>
      </c>
      <c r="G8" s="2">
        <v>3</v>
      </c>
      <c r="H8" s="2">
        <v>4</v>
      </c>
      <c r="I8" s="2">
        <v>8</v>
      </c>
      <c r="J8" s="2" t="str">
        <f>IF('Pack Protajer'!$J$24="Español",V8,(IF('Pack Protajer'!$J$24="Deutsch",W8,(IF('Pack Protajer'!$J$24="Français",X8,U8)))))</f>
        <v>Esquivar, Humanoide bala, Escurridizo, Cabeza dura</v>
      </c>
      <c r="K8" s="1">
        <v>45000</v>
      </c>
      <c r="L8" s="1">
        <f t="shared" si="1"/>
        <v>45</v>
      </c>
      <c r="M8" s="1">
        <v>12</v>
      </c>
      <c r="N8" s="1">
        <v>0</v>
      </c>
      <c r="O8" s="1" t="s">
        <v>169</v>
      </c>
      <c r="P8" s="1" t="s">
        <v>170</v>
      </c>
      <c r="Q8" s="1" t="s">
        <v>169</v>
      </c>
      <c r="R8" s="1" t="s">
        <v>169</v>
      </c>
      <c r="S8" s="1">
        <v>0</v>
      </c>
      <c r="T8" s="15" t="str">
        <f t="shared" si="2"/>
        <v>M</v>
      </c>
      <c r="U8" s="15" t="s">
        <v>245</v>
      </c>
      <c r="V8" s="15" t="s">
        <v>246</v>
      </c>
      <c r="W8" s="15" t="s">
        <v>247</v>
      </c>
      <c r="X8" s="15" t="s">
        <v>248</v>
      </c>
      <c r="Y8" s="15"/>
    </row>
    <row r="9" spans="1:25" ht="12.75" customHeight="1" x14ac:dyDescent="0.2">
      <c r="A9" s="23" t="s">
        <v>22</v>
      </c>
      <c r="B9" s="2" t="str">
        <f>A9&amp;COUNTIF($A$2:$A9,A9)</f>
        <v>Black Orc3</v>
      </c>
      <c r="C9" s="2" t="s">
        <v>22</v>
      </c>
      <c r="D9" s="2" t="str">
        <f t="shared" si="0"/>
        <v>Black OrcBlack Orc</v>
      </c>
      <c r="E9" s="2">
        <v>4</v>
      </c>
      <c r="F9" s="2">
        <v>4</v>
      </c>
      <c r="G9" s="2">
        <v>4</v>
      </c>
      <c r="H9" s="2">
        <v>5</v>
      </c>
      <c r="I9" s="2">
        <v>10</v>
      </c>
      <c r="J9" s="2" t="str">
        <f>IF('Pack Protajer'!$J$24="Español",V9,(IF('Pack Protajer'!$J$24="Deutsch",W9,(IF('Pack Protajer'!$J$24="Français",X9,U9)))))</f>
        <v>Luchador, Apartar</v>
      </c>
      <c r="K9" s="1">
        <v>90000</v>
      </c>
      <c r="L9" s="1">
        <f t="shared" si="1"/>
        <v>90</v>
      </c>
      <c r="M9" s="1">
        <v>6</v>
      </c>
      <c r="N9" s="1">
        <v>0</v>
      </c>
      <c r="O9" s="1" t="s">
        <v>170</v>
      </c>
      <c r="P9" s="1" t="s">
        <v>169</v>
      </c>
      <c r="Q9" s="1" t="s">
        <v>170</v>
      </c>
      <c r="R9" s="1" t="s">
        <v>169</v>
      </c>
      <c r="S9" s="1">
        <v>0</v>
      </c>
      <c r="T9" s="15" t="str">
        <f t="shared" si="2"/>
        <v>M</v>
      </c>
      <c r="U9" s="15" t="s">
        <v>249</v>
      </c>
      <c r="V9" s="15" t="s">
        <v>250</v>
      </c>
      <c r="W9" s="15" t="s">
        <v>251</v>
      </c>
      <c r="X9" s="15" t="s">
        <v>252</v>
      </c>
      <c r="Y9" s="15"/>
    </row>
    <row r="10" spans="1:25" ht="12.75" customHeight="1" x14ac:dyDescent="0.2">
      <c r="A10" s="23" t="s">
        <v>22</v>
      </c>
      <c r="B10" s="2" t="str">
        <f>A10&amp;COUNTIF($A$2:$A10,A10)</f>
        <v>Black Orc4</v>
      </c>
      <c r="C10" s="2" t="s">
        <v>253</v>
      </c>
      <c r="D10" s="2" t="str">
        <f t="shared" si="0"/>
        <v>Black OrcTrained Troll</v>
      </c>
      <c r="E10" s="2">
        <v>4</v>
      </c>
      <c r="F10" s="2">
        <v>5</v>
      </c>
      <c r="G10" s="2">
        <v>5</v>
      </c>
      <c r="H10" s="2">
        <v>5</v>
      </c>
      <c r="I10" s="2">
        <v>10</v>
      </c>
      <c r="J10" s="2" t="str">
        <f>IF('Pack Protajer'!$J$24="Español",V10,(IF('Pack Protajer'!$J$24="Deutsch",W10,(IF('Pack Protajer'!$J$24="Français",X10,U10)))))</f>
        <v>Siempre hambriento, Solitario (3+), Golpe mortífero (+1), Proyectil de vómito, Realmente estúpido, Regeneración, Lanzar compañero</v>
      </c>
      <c r="K10" s="1">
        <v>115000</v>
      </c>
      <c r="L10" s="1">
        <f t="shared" si="1"/>
        <v>115</v>
      </c>
      <c r="M10" s="1">
        <v>1</v>
      </c>
      <c r="N10" s="1">
        <v>1</v>
      </c>
      <c r="O10" s="1" t="s">
        <v>169</v>
      </c>
      <c r="P10" s="1" t="s">
        <v>169</v>
      </c>
      <c r="Q10" s="1" t="s">
        <v>170</v>
      </c>
      <c r="R10" s="1" t="s">
        <v>169</v>
      </c>
      <c r="S10" s="1">
        <v>0</v>
      </c>
      <c r="T10" s="15" t="str">
        <f t="shared" si="2"/>
        <v>M</v>
      </c>
      <c r="U10" s="15" t="s">
        <v>254</v>
      </c>
      <c r="V10" s="15" t="s">
        <v>255</v>
      </c>
      <c r="W10" s="15" t="s">
        <v>256</v>
      </c>
      <c r="X10" s="15" t="s">
        <v>257</v>
      </c>
      <c r="Y10" s="15"/>
    </row>
    <row r="11" spans="1:25" ht="12.75" customHeight="1" x14ac:dyDescent="0.2">
      <c r="A11" s="23" t="s">
        <v>1475</v>
      </c>
      <c r="B11" s="2" t="str">
        <f>A11&amp;COUNTIF($A$2:$A11,A11)</f>
        <v>Bretonnian1</v>
      </c>
      <c r="C11" s="2" t="str">
        <f>""</f>
        <v/>
      </c>
      <c r="D11" s="2" t="str">
        <f t="shared" si="0"/>
        <v>Bretonnian</v>
      </c>
      <c r="E11" s="2">
        <v>0</v>
      </c>
      <c r="F11" s="2">
        <v>0</v>
      </c>
      <c r="G11" s="2">
        <v>0</v>
      </c>
      <c r="H11" s="2">
        <v>0</v>
      </c>
      <c r="I11" s="2">
        <v>0</v>
      </c>
      <c r="J11" s="2">
        <f>IF('Pack Protajer'!$J$24="Español",V11,(IF('Pack Protajer'!$J$24="Deutsch",W11,(IF('Pack Protajer'!$J$24="Français",X11,U11)))))</f>
        <v>0</v>
      </c>
      <c r="K11" s="1">
        <v>0</v>
      </c>
      <c r="L11" s="1">
        <f t="shared" si="1"/>
        <v>0</v>
      </c>
      <c r="M11" s="1">
        <v>0</v>
      </c>
      <c r="N11" s="1">
        <v>0</v>
      </c>
      <c r="O11" s="1"/>
      <c r="P11" s="1"/>
      <c r="Q11" s="1"/>
      <c r="R11" s="1"/>
      <c r="S11" s="1"/>
      <c r="T11" s="15" t="str">
        <f t="shared" si="2"/>
        <v/>
      </c>
      <c r="U11" s="15">
        <v>0</v>
      </c>
      <c r="V11" s="15">
        <v>0</v>
      </c>
      <c r="W11" s="15">
        <v>0</v>
      </c>
      <c r="X11" s="15">
        <v>0</v>
      </c>
      <c r="Y11" s="15">
        <v>0</v>
      </c>
    </row>
    <row r="12" spans="1:25" ht="12.75" customHeight="1" x14ac:dyDescent="0.2">
      <c r="A12" s="23" t="s">
        <v>1475</v>
      </c>
      <c r="B12" s="2" t="str">
        <f>A12&amp;COUNTIF($A$2:$A12,A12)</f>
        <v>Bretonnian2</v>
      </c>
      <c r="C12" s="2" t="s">
        <v>1432</v>
      </c>
      <c r="D12" s="2" t="str">
        <f t="shared" si="0"/>
        <v>BretonnianLinemen</v>
      </c>
      <c r="E12" s="2">
        <v>6</v>
      </c>
      <c r="F12" s="2">
        <v>3</v>
      </c>
      <c r="G12" s="2">
        <v>4</v>
      </c>
      <c r="H12" s="2">
        <v>4</v>
      </c>
      <c r="I12" s="2">
        <v>8</v>
      </c>
      <c r="J12" s="2" t="str">
        <f>IF('Pack Protajer'!$J$24="Español",V12,(IF('Pack Protajer'!$J$24="Deutsch",W12,(IF('Pack Protajer'!$J$24="Français",X12,U12)))))</f>
        <v>Zafarse</v>
      </c>
      <c r="K12" s="1">
        <v>45000</v>
      </c>
      <c r="L12" s="1">
        <f t="shared" si="1"/>
        <v>45</v>
      </c>
      <c r="M12" s="1">
        <v>16</v>
      </c>
      <c r="N12" s="1">
        <v>0</v>
      </c>
      <c r="O12" s="1" t="s">
        <v>170</v>
      </c>
      <c r="P12" s="1" t="s">
        <v>169</v>
      </c>
      <c r="Q12" s="1" t="s">
        <v>169</v>
      </c>
      <c r="R12" s="1">
        <v>0</v>
      </c>
      <c r="S12" s="1">
        <v>0</v>
      </c>
      <c r="T12" s="15" t="str">
        <f t="shared" si="2"/>
        <v>PM</v>
      </c>
      <c r="U12" s="15" t="s">
        <v>434</v>
      </c>
      <c r="V12" s="15" t="s">
        <v>435</v>
      </c>
      <c r="W12" s="15" t="s">
        <v>436</v>
      </c>
      <c r="X12" s="15" t="s">
        <v>437</v>
      </c>
      <c r="Y12" s="15"/>
    </row>
    <row r="13" spans="1:25" ht="12.75" customHeight="1" x14ac:dyDescent="0.2">
      <c r="A13" s="23" t="s">
        <v>1475</v>
      </c>
      <c r="B13" s="2" t="str">
        <f>A13&amp;COUNTIF($A$2:$A13,A13)</f>
        <v>Bretonnian3</v>
      </c>
      <c r="C13" s="2" t="s">
        <v>1476</v>
      </c>
      <c r="D13" s="2" t="str">
        <f t="shared" si="0"/>
        <v>BretonnianYeomen</v>
      </c>
      <c r="E13" s="2">
        <v>6</v>
      </c>
      <c r="F13" s="2">
        <v>3</v>
      </c>
      <c r="G13" s="2">
        <v>3</v>
      </c>
      <c r="H13" s="2">
        <v>5</v>
      </c>
      <c r="I13" s="2">
        <v>9</v>
      </c>
      <c r="J13" s="2" t="str">
        <f>IF('Pack Protajer'!$J$24="Español",V13,(IF('Pack Protajer'!$J$24="Deutsch",W13,(IF('Pack Protajer'!$J$24="Français",X13,U13)))))</f>
        <v>Forcejear</v>
      </c>
      <c r="K13" s="1">
        <v>70000</v>
      </c>
      <c r="L13" s="1">
        <f t="shared" si="1"/>
        <v>70</v>
      </c>
      <c r="M13" s="1">
        <v>4</v>
      </c>
      <c r="N13" s="1">
        <v>0</v>
      </c>
      <c r="O13" s="1" t="s">
        <v>170</v>
      </c>
      <c r="P13" s="1" t="s">
        <v>169</v>
      </c>
      <c r="Q13" s="1" t="s">
        <v>170</v>
      </c>
      <c r="R13" s="1">
        <v>0</v>
      </c>
      <c r="S13" s="1">
        <v>0</v>
      </c>
      <c r="T13" s="15" t="str">
        <f t="shared" si="2"/>
        <v>PM</v>
      </c>
      <c r="U13" s="15" t="s">
        <v>1478</v>
      </c>
      <c r="V13" s="15" t="s">
        <v>1479</v>
      </c>
      <c r="W13" s="15" t="s">
        <v>1482</v>
      </c>
      <c r="X13" s="15" t="s">
        <v>1483</v>
      </c>
      <c r="Y13" s="15"/>
    </row>
    <row r="14" spans="1:25" ht="12.75" customHeight="1" x14ac:dyDescent="0.2">
      <c r="A14" s="23" t="s">
        <v>1475</v>
      </c>
      <c r="B14" s="2" t="str">
        <f>A14&amp;COUNTIF($A$2:$A14,A14)</f>
        <v>Bretonnian4</v>
      </c>
      <c r="C14" s="2" t="s">
        <v>1477</v>
      </c>
      <c r="D14" s="2" t="str">
        <f t="shared" si="0"/>
        <v>BretonnianKnights</v>
      </c>
      <c r="E14" s="2">
        <v>7</v>
      </c>
      <c r="F14" s="2">
        <v>3</v>
      </c>
      <c r="G14" s="2">
        <v>3</v>
      </c>
      <c r="H14" s="2">
        <v>3</v>
      </c>
      <c r="I14" s="2">
        <v>9</v>
      </c>
      <c r="J14" s="2" t="str">
        <f>IF('Pack Protajer'!$J$24="Español",V14,(IF('Pack Protajer'!$J$24="Deutsch",W14,(IF('Pack Protajer'!$J$24="Français",X14,U14)))))</f>
        <v>Placar, Atrapar, Agallas</v>
      </c>
      <c r="K14" s="1">
        <v>100000</v>
      </c>
      <c r="L14" s="1">
        <f t="shared" si="1"/>
        <v>100</v>
      </c>
      <c r="M14" s="1">
        <v>4</v>
      </c>
      <c r="N14" s="1">
        <v>0</v>
      </c>
      <c r="O14" s="1" t="s">
        <v>170</v>
      </c>
      <c r="P14" s="1" t="s">
        <v>170</v>
      </c>
      <c r="Q14" s="1" t="s">
        <v>169</v>
      </c>
      <c r="R14" s="1" t="s">
        <v>170</v>
      </c>
      <c r="S14" s="1">
        <v>0</v>
      </c>
      <c r="T14" s="15" t="str">
        <f t="shared" si="2"/>
        <v>M</v>
      </c>
      <c r="U14" s="15" t="s">
        <v>1480</v>
      </c>
      <c r="V14" s="15" t="s">
        <v>1481</v>
      </c>
      <c r="W14" s="15" t="s">
        <v>1484</v>
      </c>
      <c r="X14" s="15" t="s">
        <v>1485</v>
      </c>
      <c r="Y14" s="15"/>
    </row>
    <row r="15" spans="1:25" ht="12.75" customHeight="1" x14ac:dyDescent="0.2">
      <c r="A15" s="23" t="s">
        <v>29</v>
      </c>
      <c r="B15" s="2" t="str">
        <f>A15&amp;COUNTIF($A$2:$A15,A15)</f>
        <v>Chaos Chosen1</v>
      </c>
      <c r="C15" s="2" t="str">
        <f>""</f>
        <v/>
      </c>
      <c r="D15" s="2" t="str">
        <f t="shared" si="0"/>
        <v>Chaos Chosen</v>
      </c>
      <c r="E15" s="2">
        <v>0</v>
      </c>
      <c r="F15" s="2">
        <v>0</v>
      </c>
      <c r="G15" s="2">
        <v>0</v>
      </c>
      <c r="H15" s="2">
        <v>0</v>
      </c>
      <c r="I15" s="2">
        <v>0</v>
      </c>
      <c r="J15" s="2">
        <f>IF('Pack Protajer'!$J$24="Español",V15,(IF('Pack Protajer'!$J$24="Deutsch",W15,(IF('Pack Protajer'!$J$24="Français",X15,U15)))))</f>
        <v>0</v>
      </c>
      <c r="K15" s="1">
        <v>0</v>
      </c>
      <c r="L15" s="1">
        <f t="shared" si="1"/>
        <v>0</v>
      </c>
      <c r="M15" s="1">
        <v>0</v>
      </c>
      <c r="N15" s="1">
        <v>0</v>
      </c>
      <c r="O15" s="1"/>
      <c r="P15" s="1"/>
      <c r="Q15" s="1"/>
      <c r="R15" s="1"/>
      <c r="S15" s="1"/>
      <c r="T15" s="15" t="str">
        <f t="shared" si="2"/>
        <v/>
      </c>
      <c r="U15" s="15"/>
      <c r="V15" s="15"/>
      <c r="W15" s="15"/>
      <c r="X15" s="15"/>
      <c r="Y15" s="15"/>
    </row>
    <row r="16" spans="1:25" ht="12.75" customHeight="1" x14ac:dyDescent="0.2">
      <c r="A16" s="23" t="s">
        <v>29</v>
      </c>
      <c r="B16" s="2" t="str">
        <f>A16&amp;COUNTIF($A$2:$A16,A16)</f>
        <v>Chaos Chosen2</v>
      </c>
      <c r="C16" s="2" t="s">
        <v>258</v>
      </c>
      <c r="D16" s="2" t="str">
        <f t="shared" si="0"/>
        <v>Chaos ChosenBeastman</v>
      </c>
      <c r="E16" s="2">
        <v>6</v>
      </c>
      <c r="F16" s="2">
        <v>3</v>
      </c>
      <c r="G16" s="2">
        <v>3</v>
      </c>
      <c r="H16" s="2">
        <v>4</v>
      </c>
      <c r="I16" s="2">
        <v>9</v>
      </c>
      <c r="J16" s="2" t="str">
        <f>IF('Pack Protajer'!$J$24="Español",V16,(IF('Pack Protajer'!$J$24="Deutsch",W16,(IF('Pack Protajer'!$J$24="Français",X16,U16)))))</f>
        <v>Cuernos</v>
      </c>
      <c r="K16" s="1">
        <v>60000</v>
      </c>
      <c r="L16" s="1">
        <f t="shared" si="1"/>
        <v>60</v>
      </c>
      <c r="M16" s="2">
        <v>16</v>
      </c>
      <c r="N16" s="2">
        <v>0</v>
      </c>
      <c r="O16" s="1" t="s">
        <v>170</v>
      </c>
      <c r="P16" s="1" t="s">
        <v>169</v>
      </c>
      <c r="Q16" s="1" t="s">
        <v>170</v>
      </c>
      <c r="R16" s="1" t="s">
        <v>169</v>
      </c>
      <c r="S16" s="1" t="s">
        <v>170</v>
      </c>
      <c r="T16" s="15" t="str">
        <f t="shared" si="2"/>
        <v>FULL</v>
      </c>
      <c r="U16" s="15" t="s">
        <v>259</v>
      </c>
      <c r="V16" s="15" t="s">
        <v>260</v>
      </c>
      <c r="W16" s="15" t="s">
        <v>261</v>
      </c>
      <c r="X16" s="15" t="s">
        <v>262</v>
      </c>
      <c r="Y16" s="15"/>
    </row>
    <row r="17" spans="1:25" ht="12.75" customHeight="1" x14ac:dyDescent="0.2">
      <c r="A17" s="23" t="s">
        <v>29</v>
      </c>
      <c r="B17" s="2" t="str">
        <f>A17&amp;COUNTIF($A$2:$A17,A17)</f>
        <v>Chaos Chosen3</v>
      </c>
      <c r="C17" s="2" t="s">
        <v>263</v>
      </c>
      <c r="D17" s="2" t="str">
        <f t="shared" si="0"/>
        <v>Chaos ChosenChaos Warrior</v>
      </c>
      <c r="E17" s="2">
        <v>5</v>
      </c>
      <c r="F17" s="2">
        <v>4</v>
      </c>
      <c r="G17" s="2">
        <v>3</v>
      </c>
      <c r="H17" s="2">
        <v>5</v>
      </c>
      <c r="I17" s="2">
        <v>10</v>
      </c>
      <c r="J17" s="2" t="str">
        <f>IF('Pack Protajer'!$J$24="Español",V17,(IF('Pack Protajer'!$J$24="Deutsch",W17,(IF('Pack Protajer'!$J$24="Français",X17,U17)))))</f>
        <v/>
      </c>
      <c r="K17" s="1">
        <v>100000</v>
      </c>
      <c r="L17" s="1">
        <f t="shared" si="1"/>
        <v>100</v>
      </c>
      <c r="M17" s="2">
        <v>4</v>
      </c>
      <c r="N17" s="2">
        <v>0</v>
      </c>
      <c r="O17" s="1" t="s">
        <v>170</v>
      </c>
      <c r="P17" s="1" t="s">
        <v>169</v>
      </c>
      <c r="Q17" s="1" t="s">
        <v>170</v>
      </c>
      <c r="R17" s="1">
        <v>0</v>
      </c>
      <c r="S17" s="1" t="s">
        <v>170</v>
      </c>
      <c r="T17" s="15" t="str">
        <f t="shared" si="2"/>
        <v>P</v>
      </c>
      <c r="U17" s="15" t="str">
        <f t="shared" ref="U17:Y17" si="3">""</f>
        <v/>
      </c>
      <c r="V17" s="15" t="str">
        <f t="shared" si="3"/>
        <v/>
      </c>
      <c r="W17" s="15" t="str">
        <f t="shared" si="3"/>
        <v/>
      </c>
      <c r="X17" s="15" t="str">
        <f t="shared" si="3"/>
        <v/>
      </c>
      <c r="Y17" s="15" t="str">
        <f t="shared" si="3"/>
        <v/>
      </c>
    </row>
    <row r="18" spans="1:25" ht="12.75" customHeight="1" x14ac:dyDescent="0.2">
      <c r="A18" s="23" t="s">
        <v>29</v>
      </c>
      <c r="B18" s="2" t="str">
        <f>A18&amp;COUNTIF($A$2:$A18,A18)</f>
        <v>Chaos Chosen4</v>
      </c>
      <c r="C18" s="2" t="s">
        <v>264</v>
      </c>
      <c r="D18" s="2" t="str">
        <f t="shared" si="0"/>
        <v>Chaos ChosenChaos Troll</v>
      </c>
      <c r="E18" s="2">
        <v>4</v>
      </c>
      <c r="F18" s="2">
        <v>5</v>
      </c>
      <c r="G18" s="2">
        <v>5</v>
      </c>
      <c r="H18" s="2">
        <v>5</v>
      </c>
      <c r="I18" s="2">
        <v>10</v>
      </c>
      <c r="J18" s="2" t="str">
        <f>IF('Pack Protajer'!$J$24="Español",V18,(IF('Pack Protajer'!$J$24="Deutsch",W18,(IF('Pack Protajer'!$J$24="Français",X18,U18)))))</f>
        <v>Siempre hambriento, Solitario (4+), Golpe mortífero (+1), Proyectil de vómito, Realmente estúpido, Regeneración, Lanzar compañero</v>
      </c>
      <c r="K18" s="1">
        <v>115000</v>
      </c>
      <c r="L18" s="1">
        <f t="shared" si="1"/>
        <v>115</v>
      </c>
      <c r="M18" s="2">
        <v>1</v>
      </c>
      <c r="N18" s="2">
        <v>1</v>
      </c>
      <c r="O18" s="1" t="s">
        <v>169</v>
      </c>
      <c r="P18" s="1" t="s">
        <v>169</v>
      </c>
      <c r="Q18" s="1" t="s">
        <v>170</v>
      </c>
      <c r="R18" s="1">
        <v>0</v>
      </c>
      <c r="S18" s="1" t="s">
        <v>170</v>
      </c>
      <c r="T18" s="15" t="str">
        <f t="shared" si="2"/>
        <v>P</v>
      </c>
      <c r="U18" s="15" t="s">
        <v>265</v>
      </c>
      <c r="V18" s="15" t="s">
        <v>266</v>
      </c>
      <c r="W18" s="15" t="s">
        <v>267</v>
      </c>
      <c r="X18" s="15" t="s">
        <v>268</v>
      </c>
      <c r="Y18" s="15"/>
    </row>
    <row r="19" spans="1:25" ht="12.75" customHeight="1" x14ac:dyDescent="0.2">
      <c r="A19" s="23" t="s">
        <v>29</v>
      </c>
      <c r="B19" s="2" t="str">
        <f>A19&amp;COUNTIF($A$2:$A19,A19)</f>
        <v>Chaos Chosen5</v>
      </c>
      <c r="C19" s="2" t="s">
        <v>269</v>
      </c>
      <c r="D19" s="2" t="str">
        <f t="shared" si="0"/>
        <v>Chaos ChosenChaos Ogre</v>
      </c>
      <c r="E19" s="2">
        <v>5</v>
      </c>
      <c r="F19" s="2">
        <v>5</v>
      </c>
      <c r="G19" s="2">
        <v>4</v>
      </c>
      <c r="H19" s="2">
        <v>5</v>
      </c>
      <c r="I19" s="2">
        <v>10</v>
      </c>
      <c r="J19" s="2" t="str">
        <f>IF('Pack Protajer'!$J$24="Español",V19,(IF('Pack Protajer'!$J$24="Deutsch",W19,(IF('Pack Protajer'!$J$24="Français",X19,U19)))))</f>
        <v>Estúpido, Solitario (4+), Golpe mortífero (+1), Cabeza dura, Lanzar Compañero</v>
      </c>
      <c r="K19" s="1">
        <v>140000</v>
      </c>
      <c r="L19" s="1">
        <f t="shared" si="1"/>
        <v>140</v>
      </c>
      <c r="M19" s="2">
        <v>1</v>
      </c>
      <c r="N19" s="2">
        <v>1</v>
      </c>
      <c r="O19" s="1" t="s">
        <v>169</v>
      </c>
      <c r="P19" s="1" t="s">
        <v>169</v>
      </c>
      <c r="Q19" s="1" t="s">
        <v>170</v>
      </c>
      <c r="R19" s="1">
        <v>0</v>
      </c>
      <c r="S19" s="1" t="s">
        <v>170</v>
      </c>
      <c r="T19" s="15" t="str">
        <f t="shared" si="2"/>
        <v>P</v>
      </c>
      <c r="U19" s="15" t="s">
        <v>270</v>
      </c>
      <c r="V19" s="15" t="s">
        <v>271</v>
      </c>
      <c r="W19" s="15" t="s">
        <v>272</v>
      </c>
      <c r="X19" s="15" t="s">
        <v>273</v>
      </c>
      <c r="Y19" s="15"/>
    </row>
    <row r="20" spans="1:25" ht="12.75" customHeight="1" x14ac:dyDescent="0.2">
      <c r="A20" s="23" t="s">
        <v>29</v>
      </c>
      <c r="B20" s="2" t="str">
        <f>A20&amp;COUNTIF($A$2:$A20,A20)</f>
        <v>Chaos Chosen6</v>
      </c>
      <c r="C20" s="2" t="s">
        <v>274</v>
      </c>
      <c r="D20" s="2" t="str">
        <f t="shared" si="0"/>
        <v>Chaos ChosenMinotaur</v>
      </c>
      <c r="E20" s="2">
        <v>5</v>
      </c>
      <c r="F20" s="2">
        <v>5</v>
      </c>
      <c r="G20" s="2">
        <v>4</v>
      </c>
      <c r="H20" s="2">
        <v>0</v>
      </c>
      <c r="I20" s="2">
        <v>9</v>
      </c>
      <c r="J20" s="2" t="str">
        <f>IF('Pack Protajer'!$J$24="Español",V20,(IF('Pack Protajer'!$J$24="Deutsch",W20,(IF('Pack Protajer'!$J$24="Français",X20,U20)))))</f>
        <v>Solitario (4+), Furia, Cuernos, Golpe mortífero (+1), Cabeza dura, Ira descontrolada</v>
      </c>
      <c r="K20" s="1">
        <v>150000</v>
      </c>
      <c r="L20" s="1">
        <f t="shared" si="1"/>
        <v>150</v>
      </c>
      <c r="M20" s="1">
        <v>1</v>
      </c>
      <c r="N20" s="1">
        <v>1</v>
      </c>
      <c r="O20" s="1" t="s">
        <v>169</v>
      </c>
      <c r="P20" s="1" t="s">
        <v>169</v>
      </c>
      <c r="Q20" s="1" t="s">
        <v>170</v>
      </c>
      <c r="R20" s="12">
        <v>0</v>
      </c>
      <c r="S20" s="1" t="s">
        <v>170</v>
      </c>
      <c r="T20" s="15" t="str">
        <f t="shared" si="2"/>
        <v>P</v>
      </c>
      <c r="U20" s="15" t="s">
        <v>275</v>
      </c>
      <c r="V20" s="15" t="s">
        <v>276</v>
      </c>
      <c r="W20" s="15" t="s">
        <v>277</v>
      </c>
      <c r="X20" s="15" t="s">
        <v>278</v>
      </c>
      <c r="Y20" s="15"/>
    </row>
    <row r="21" spans="1:25" s="23" customFormat="1" ht="12.75" customHeight="1" x14ac:dyDescent="0.2">
      <c r="A21" s="23" t="s">
        <v>35</v>
      </c>
      <c r="B21" s="2" t="str">
        <f>A21&amp;COUNTIF($A$2:$A21,A21)</f>
        <v>Chaos Dwarf1</v>
      </c>
      <c r="D21" s="2" t="str">
        <f t="shared" si="0"/>
        <v>Chaos Dwarf</v>
      </c>
      <c r="E21" s="23">
        <v>0</v>
      </c>
      <c r="F21" s="23">
        <v>0</v>
      </c>
      <c r="G21" s="23">
        <v>0</v>
      </c>
      <c r="H21" s="23">
        <v>0</v>
      </c>
      <c r="I21" s="23">
        <v>0</v>
      </c>
      <c r="J21" s="2">
        <f>IF('Pack Protajer'!$J$24="Español",V21,(IF('Pack Protajer'!$J$24="Deutsch",W21,(IF('Pack Protajer'!$J$24="Français",X21,U21)))))</f>
        <v>0</v>
      </c>
      <c r="K21" s="23">
        <v>0</v>
      </c>
      <c r="L21" s="23">
        <f t="shared" si="1"/>
        <v>0</v>
      </c>
      <c r="M21" s="23">
        <v>0</v>
      </c>
      <c r="N21" s="23">
        <v>0</v>
      </c>
      <c r="T21" s="15" t="str">
        <f t="shared" si="2"/>
        <v/>
      </c>
      <c r="U21" s="23">
        <v>0</v>
      </c>
      <c r="V21" s="23">
        <v>0</v>
      </c>
      <c r="W21" s="23">
        <v>0</v>
      </c>
      <c r="X21" s="23">
        <v>0</v>
      </c>
      <c r="Y21" s="23">
        <v>0</v>
      </c>
    </row>
    <row r="22" spans="1:25" s="23" customFormat="1" ht="12.75" customHeight="1" x14ac:dyDescent="0.2">
      <c r="A22" s="23" t="s">
        <v>35</v>
      </c>
      <c r="B22" s="2" t="str">
        <f>A22&amp;COUNTIF($A$2:$A22,A22)</f>
        <v>Chaos Dwarf2</v>
      </c>
      <c r="C22" s="2" t="s">
        <v>1494</v>
      </c>
      <c r="D22" s="2" t="str">
        <f t="shared" si="0"/>
        <v>Chaos DwarfHobgoblin Lineman</v>
      </c>
      <c r="E22" s="23">
        <v>6</v>
      </c>
      <c r="F22" s="23">
        <v>3</v>
      </c>
      <c r="G22" s="23">
        <v>3</v>
      </c>
      <c r="H22" s="23">
        <v>4</v>
      </c>
      <c r="I22" s="23">
        <v>8</v>
      </c>
      <c r="J22" s="2">
        <f>IF('Pack Protajer'!$J$24="Español",V22,(IF('Pack Protajer'!$J$24="Deutsch",W22,(IF('Pack Protajer'!$J$24="Français",X22,U22)))))</f>
        <v>0</v>
      </c>
      <c r="K22" s="23">
        <v>40000</v>
      </c>
      <c r="L22" s="23">
        <f t="shared" si="1"/>
        <v>40</v>
      </c>
      <c r="M22" s="23">
        <v>16</v>
      </c>
      <c r="N22" s="23">
        <v>0</v>
      </c>
      <c r="O22" s="2" t="s">
        <v>170</v>
      </c>
      <c r="P22" s="2" t="s">
        <v>169</v>
      </c>
      <c r="Q22" s="2" t="s">
        <v>169</v>
      </c>
      <c r="R22" s="23">
        <v>0</v>
      </c>
      <c r="S22" s="23">
        <v>0</v>
      </c>
      <c r="T22" s="15" t="str">
        <f t="shared" si="2"/>
        <v>PM</v>
      </c>
      <c r="U22" s="2" t="s">
        <v>216</v>
      </c>
      <c r="V22" s="15"/>
      <c r="W22" s="15"/>
      <c r="X22" s="15"/>
    </row>
    <row r="23" spans="1:25" s="23" customFormat="1" ht="12.75" customHeight="1" x14ac:dyDescent="0.2">
      <c r="A23" s="23" t="s">
        <v>35</v>
      </c>
      <c r="B23" s="2" t="str">
        <f>A23&amp;COUNTIF($A$2:$A23,A23)</f>
        <v>Chaos Dwarf3</v>
      </c>
      <c r="C23" s="2" t="s">
        <v>1495</v>
      </c>
      <c r="D23" s="2" t="str">
        <f t="shared" si="0"/>
        <v>Chaos DwarfHobgoblin Sneaky Stabba</v>
      </c>
      <c r="E23" s="23">
        <v>6</v>
      </c>
      <c r="F23" s="23">
        <v>3</v>
      </c>
      <c r="G23" s="23">
        <v>3</v>
      </c>
      <c r="H23" s="23">
        <v>5</v>
      </c>
      <c r="I23" s="23">
        <v>8</v>
      </c>
      <c r="J23" s="2" t="str">
        <f>IF('Pack Protajer'!$J$24="Español",V23,(IF('Pack Protajer'!$J$24="Deutsch",W23,(IF('Pack Protajer'!$J$24="Français",X23,U23)))))</f>
        <v>Perseguir, Puñal</v>
      </c>
      <c r="K23" s="23">
        <v>70000</v>
      </c>
      <c r="L23" s="23">
        <f t="shared" si="1"/>
        <v>70</v>
      </c>
      <c r="M23" s="23">
        <v>2</v>
      </c>
      <c r="N23" s="23">
        <v>0</v>
      </c>
      <c r="O23" s="2" t="s">
        <v>170</v>
      </c>
      <c r="P23" s="2" t="s">
        <v>169</v>
      </c>
      <c r="Q23" s="2" t="s">
        <v>169</v>
      </c>
      <c r="R23" s="23">
        <v>0</v>
      </c>
      <c r="S23" s="23">
        <v>0</v>
      </c>
      <c r="T23" s="15" t="str">
        <f t="shared" si="2"/>
        <v>PM</v>
      </c>
      <c r="U23" s="2" t="s">
        <v>326</v>
      </c>
      <c r="V23" s="15" t="s">
        <v>327</v>
      </c>
      <c r="W23" s="15" t="s">
        <v>328</v>
      </c>
      <c r="X23" s="15" t="s">
        <v>329</v>
      </c>
    </row>
    <row r="24" spans="1:25" s="23" customFormat="1" ht="12.75" customHeight="1" x14ac:dyDescent="0.2">
      <c r="A24" s="23" t="s">
        <v>35</v>
      </c>
      <c r="B24" s="2" t="str">
        <f>A24&amp;COUNTIF($A$2:$A24,A24)</f>
        <v>Chaos Dwarf4</v>
      </c>
      <c r="C24" s="2" t="s">
        <v>1496</v>
      </c>
      <c r="D24" s="2" t="str">
        <f t="shared" si="0"/>
        <v>Chaos DwarfChaos Dwarf Blocker</v>
      </c>
      <c r="E24" s="23">
        <v>4</v>
      </c>
      <c r="F24" s="23">
        <v>3</v>
      </c>
      <c r="G24" s="23">
        <v>4</v>
      </c>
      <c r="H24" s="23">
        <v>6</v>
      </c>
      <c r="I24" s="23">
        <v>10</v>
      </c>
      <c r="J24" s="2" t="str">
        <f>IF('Pack Protajer'!$J$24="Español",V24,(IF('Pack Protajer'!$J$24="Deutsch",W24,(IF('Pack Protajer'!$J$24="Français",X24,U24)))))</f>
        <v>Placar, Piel ferrea, Cabeza dura</v>
      </c>
      <c r="K24" s="23">
        <v>70000</v>
      </c>
      <c r="L24" s="23">
        <f t="shared" si="1"/>
        <v>70</v>
      </c>
      <c r="M24" s="23">
        <v>4</v>
      </c>
      <c r="N24" s="23">
        <v>0</v>
      </c>
      <c r="O24" s="2" t="s">
        <v>170</v>
      </c>
      <c r="P24" s="2" t="s">
        <v>169</v>
      </c>
      <c r="Q24" s="2" t="s">
        <v>170</v>
      </c>
      <c r="R24" s="23">
        <v>0</v>
      </c>
      <c r="S24" s="2" t="s">
        <v>169</v>
      </c>
      <c r="T24" s="15" t="str">
        <f t="shared" si="2"/>
        <v>P</v>
      </c>
      <c r="U24" s="2" t="s">
        <v>1499</v>
      </c>
      <c r="V24" s="2" t="s">
        <v>1502</v>
      </c>
      <c r="W24" s="15" t="s">
        <v>1503</v>
      </c>
      <c r="X24" s="15" t="s">
        <v>1504</v>
      </c>
    </row>
    <row r="25" spans="1:25" s="23" customFormat="1" ht="12.75" customHeight="1" x14ac:dyDescent="0.2">
      <c r="A25" s="23" t="s">
        <v>35</v>
      </c>
      <c r="B25" s="2" t="str">
        <f>A25&amp;COUNTIF($A$2:$A25,A25)</f>
        <v>Chaos Dwarf5</v>
      </c>
      <c r="C25" s="2" t="s">
        <v>1497</v>
      </c>
      <c r="D25" s="2" t="str">
        <f t="shared" si="0"/>
        <v>Chaos DwarfChaos Dwarf Flamesmith</v>
      </c>
      <c r="E25" s="23">
        <v>5</v>
      </c>
      <c r="F25" s="23">
        <v>3</v>
      </c>
      <c r="G25" s="23">
        <v>4</v>
      </c>
      <c r="H25" s="23">
        <v>6</v>
      </c>
      <c r="I25" s="23">
        <v>10</v>
      </c>
      <c r="J25" s="2" t="str">
        <f>IF('Pack Protajer'!$J$24="Español",V25,(IF('Pack Protajer'!$J$24="Deutsch",W25,(IF('Pack Protajer'!$J$24="Français",X25,U25)))))</f>
        <v>Luchador, Aliento de fuego, Presencia perturbadora Cabeza dura</v>
      </c>
      <c r="K25" s="23">
        <v>80000</v>
      </c>
      <c r="L25" s="23">
        <f t="shared" si="1"/>
        <v>80</v>
      </c>
      <c r="M25" s="23">
        <v>2</v>
      </c>
      <c r="N25" s="23">
        <v>0</v>
      </c>
      <c r="O25" s="2" t="s">
        <v>170</v>
      </c>
      <c r="P25" s="2" t="s">
        <v>169</v>
      </c>
      <c r="Q25" s="2" t="s">
        <v>170</v>
      </c>
      <c r="R25" s="23">
        <v>0</v>
      </c>
      <c r="S25" s="2" t="s">
        <v>169</v>
      </c>
      <c r="T25" s="15" t="str">
        <f t="shared" si="2"/>
        <v>P</v>
      </c>
      <c r="U25" s="2" t="s">
        <v>1500</v>
      </c>
      <c r="V25" s="15" t="s">
        <v>1505</v>
      </c>
      <c r="W25" s="15" t="s">
        <v>1506</v>
      </c>
      <c r="X25" s="15" t="s">
        <v>1507</v>
      </c>
    </row>
    <row r="26" spans="1:25" s="23" customFormat="1" ht="12.75" customHeight="1" x14ac:dyDescent="0.2">
      <c r="A26" s="23" t="s">
        <v>35</v>
      </c>
      <c r="B26" s="2" t="str">
        <f>A26&amp;COUNTIF($A$2:$A26,A26)</f>
        <v>Chaos Dwarf6</v>
      </c>
      <c r="C26" s="2" t="s">
        <v>1498</v>
      </c>
      <c r="D26" s="2" t="str">
        <f t="shared" si="0"/>
        <v>Chaos DwarfBull Centaur Blitzer</v>
      </c>
      <c r="E26" s="23">
        <v>6</v>
      </c>
      <c r="F26" s="23">
        <v>4</v>
      </c>
      <c r="G26" s="23">
        <v>4</v>
      </c>
      <c r="H26" s="23">
        <v>6</v>
      </c>
      <c r="I26" s="23">
        <v>10</v>
      </c>
      <c r="J26" s="2" t="str">
        <f>IF('Pack Protajer'!$J$24="Español",V26,(IF('Pack Protajer'!$J$24="Deutsch",W26,(IF('Pack Protajer'!$J$24="Français",X26,U26)))))</f>
        <v>Esprintar, Pies firmes, Cabeza dura</v>
      </c>
      <c r="K26" s="23">
        <v>130000</v>
      </c>
      <c r="L26" s="23">
        <f t="shared" si="1"/>
        <v>130</v>
      </c>
      <c r="M26" s="23">
        <v>2</v>
      </c>
      <c r="N26" s="23">
        <v>0</v>
      </c>
      <c r="O26" s="2" t="s">
        <v>170</v>
      </c>
      <c r="P26" s="2" t="s">
        <v>169</v>
      </c>
      <c r="Q26" s="2" t="s">
        <v>170</v>
      </c>
      <c r="R26" s="23">
        <v>0</v>
      </c>
      <c r="S26" s="2" t="s">
        <v>169</v>
      </c>
      <c r="T26" s="15" t="str">
        <f t="shared" si="2"/>
        <v>P</v>
      </c>
      <c r="U26" s="2" t="s">
        <v>284</v>
      </c>
      <c r="V26" s="15" t="s">
        <v>285</v>
      </c>
      <c r="W26" s="15" t="s">
        <v>286</v>
      </c>
      <c r="X26" s="15" t="s">
        <v>287</v>
      </c>
    </row>
    <row r="27" spans="1:25" s="23" customFormat="1" ht="12.75" customHeight="1" x14ac:dyDescent="0.2">
      <c r="A27" s="23" t="s">
        <v>35</v>
      </c>
      <c r="B27" s="2" t="str">
        <f>A27&amp;COUNTIF($A$2:$A27,A27)</f>
        <v>Chaos Dwarf7</v>
      </c>
      <c r="C27" s="2" t="s">
        <v>274</v>
      </c>
      <c r="D27" s="2" t="str">
        <f t="shared" si="0"/>
        <v>Chaos DwarfMinotaur</v>
      </c>
      <c r="E27" s="23">
        <v>5</v>
      </c>
      <c r="F27" s="23">
        <v>5</v>
      </c>
      <c r="G27" s="23">
        <v>4</v>
      </c>
      <c r="H27" s="23">
        <v>0</v>
      </c>
      <c r="I27" s="23">
        <v>9</v>
      </c>
      <c r="J27" s="2" t="str">
        <f>IF('Pack Protajer'!$J$24="Español",V27,(IF('Pack Protajer'!$J$24="Deutsch",W27,(IF('Pack Protajer'!$J$24="Français",X27,U27)))))</f>
        <v>Solitario (4+), Furia, Cuernos, Golpe mortífero (+1), Cabeza dura, Ira descontrolada</v>
      </c>
      <c r="K27" s="23">
        <v>150000</v>
      </c>
      <c r="L27" s="23">
        <f t="shared" si="1"/>
        <v>150</v>
      </c>
      <c r="M27" s="23">
        <v>1</v>
      </c>
      <c r="N27" s="23">
        <v>1</v>
      </c>
      <c r="O27" s="2" t="s">
        <v>169</v>
      </c>
      <c r="P27" s="2" t="s">
        <v>169</v>
      </c>
      <c r="Q27" s="2" t="s">
        <v>170</v>
      </c>
      <c r="R27" s="23">
        <v>0</v>
      </c>
      <c r="S27" s="2" t="s">
        <v>169</v>
      </c>
      <c r="T27" s="15" t="str">
        <f t="shared" si="2"/>
        <v>P</v>
      </c>
      <c r="U27" s="2" t="s">
        <v>1501</v>
      </c>
      <c r="V27" s="15" t="s">
        <v>276</v>
      </c>
      <c r="W27" s="15" t="s">
        <v>288</v>
      </c>
      <c r="X27" s="15" t="s">
        <v>278</v>
      </c>
    </row>
    <row r="28" spans="1:25" ht="12.75" customHeight="1" x14ac:dyDescent="0.2">
      <c r="A28" s="23" t="s">
        <v>41</v>
      </c>
      <c r="B28" s="2" t="str">
        <f>A28&amp;COUNTIF($A$2:$A28,A28)</f>
        <v>Chaos Renegades1</v>
      </c>
      <c r="C28" s="2" t="str">
        <f>""</f>
        <v/>
      </c>
      <c r="D28" s="2" t="str">
        <f t="shared" si="0"/>
        <v>Chaos Renegades</v>
      </c>
      <c r="E28" s="2">
        <v>0</v>
      </c>
      <c r="F28" s="2">
        <v>0</v>
      </c>
      <c r="G28" s="2">
        <v>0</v>
      </c>
      <c r="H28" s="2">
        <v>0</v>
      </c>
      <c r="I28" s="2">
        <v>0</v>
      </c>
      <c r="J28" s="2">
        <f>IF('Pack Protajer'!$J$24="Español",V28,(IF('Pack Protajer'!$J$24="Deutsch",W28,(IF('Pack Protajer'!$J$24="Français",X28,U28)))))</f>
        <v>0</v>
      </c>
      <c r="K28" s="1">
        <v>0</v>
      </c>
      <c r="L28" s="1">
        <f t="shared" si="1"/>
        <v>0</v>
      </c>
      <c r="M28" s="1">
        <v>0</v>
      </c>
      <c r="N28" s="1">
        <v>0</v>
      </c>
      <c r="O28" s="1"/>
      <c r="P28" s="1"/>
      <c r="Q28" s="1"/>
      <c r="R28" s="1"/>
      <c r="S28" s="1"/>
      <c r="T28" s="15" t="str">
        <f t="shared" si="2"/>
        <v/>
      </c>
      <c r="U28" s="15">
        <v>0</v>
      </c>
      <c r="V28" s="15">
        <v>0</v>
      </c>
      <c r="W28" s="15">
        <v>0</v>
      </c>
      <c r="X28" s="15">
        <v>0</v>
      </c>
      <c r="Y28" s="15">
        <v>0</v>
      </c>
    </row>
    <row r="29" spans="1:25" ht="12.75" customHeight="1" x14ac:dyDescent="0.2">
      <c r="A29" s="23" t="s">
        <v>41</v>
      </c>
      <c r="B29" s="2" t="str">
        <f>A29&amp;COUNTIF($A$2:$A29,A29)</f>
        <v>Chaos Renegades2</v>
      </c>
      <c r="C29" s="2" t="s">
        <v>289</v>
      </c>
      <c r="D29" s="2" t="str">
        <f t="shared" si="0"/>
        <v>Chaos RenegadesLinemen Renegade</v>
      </c>
      <c r="E29" s="2">
        <v>6</v>
      </c>
      <c r="F29" s="2">
        <v>3</v>
      </c>
      <c r="G29" s="2">
        <v>3</v>
      </c>
      <c r="H29" s="2">
        <v>4</v>
      </c>
      <c r="I29" s="2">
        <v>9</v>
      </c>
      <c r="J29" s="2" t="str">
        <f>IF('Pack Protajer'!$J$24="Español",V29,(IF('Pack Protajer'!$J$24="Deutsch",W29,(IF('Pack Protajer'!$J$24="Français",X29,U29)))))</f>
        <v/>
      </c>
      <c r="K29" s="1">
        <v>50000</v>
      </c>
      <c r="L29" s="1">
        <f t="shared" si="1"/>
        <v>50</v>
      </c>
      <c r="M29" s="2">
        <v>12</v>
      </c>
      <c r="N29" s="2">
        <v>0</v>
      </c>
      <c r="O29" s="1" t="s">
        <v>170</v>
      </c>
      <c r="P29" s="1" t="s">
        <v>169</v>
      </c>
      <c r="Q29" s="1" t="s">
        <v>169</v>
      </c>
      <c r="R29" s="1">
        <v>0</v>
      </c>
      <c r="S29" s="1" t="s">
        <v>170</v>
      </c>
      <c r="T29" s="15" t="str">
        <f t="shared" si="2"/>
        <v>P</v>
      </c>
      <c r="U29" s="15" t="str">
        <f t="shared" ref="U29:Y29" si="4">""</f>
        <v/>
      </c>
      <c r="V29" s="15" t="str">
        <f t="shared" si="4"/>
        <v/>
      </c>
      <c r="W29" s="15" t="str">
        <f t="shared" si="4"/>
        <v/>
      </c>
      <c r="X29" s="15" t="str">
        <f t="shared" si="4"/>
        <v/>
      </c>
      <c r="Y29" s="15" t="str">
        <f t="shared" si="4"/>
        <v/>
      </c>
    </row>
    <row r="30" spans="1:25" ht="12.75" customHeight="1" x14ac:dyDescent="0.2">
      <c r="A30" s="23" t="s">
        <v>41</v>
      </c>
      <c r="B30" s="2" t="str">
        <f>A30&amp;COUNTIF($A$2:$A30,A30)</f>
        <v>Chaos Renegades3</v>
      </c>
      <c r="C30" s="2" t="s">
        <v>290</v>
      </c>
      <c r="D30" s="2" t="str">
        <f t="shared" si="0"/>
        <v>Chaos RenegadesThrower Renegade</v>
      </c>
      <c r="E30" s="2">
        <v>6</v>
      </c>
      <c r="F30" s="2">
        <v>3</v>
      </c>
      <c r="G30" s="2">
        <v>3</v>
      </c>
      <c r="H30" s="2">
        <v>3</v>
      </c>
      <c r="I30" s="2">
        <v>9</v>
      </c>
      <c r="J30" s="2" t="str">
        <f>IF('Pack Protajer'!$J$24="Español",V30,(IF('Pack Protajer'!$J$24="Deutsch",W30,(IF('Pack Protajer'!$J$24="Français",X30,U30)))))</f>
        <v>Animosidad (todo el equipo), Pasar, Proteger el cuero</v>
      </c>
      <c r="K30" s="1">
        <v>75000</v>
      </c>
      <c r="L30" s="1">
        <f t="shared" si="1"/>
        <v>75</v>
      </c>
      <c r="M30" s="2">
        <v>1</v>
      </c>
      <c r="N30" s="2">
        <v>0</v>
      </c>
      <c r="O30" s="1" t="s">
        <v>170</v>
      </c>
      <c r="P30" s="1" t="s">
        <v>169</v>
      </c>
      <c r="Q30" s="1" t="s">
        <v>169</v>
      </c>
      <c r="R30" s="1" t="s">
        <v>170</v>
      </c>
      <c r="S30" s="1" t="s">
        <v>170</v>
      </c>
      <c r="T30" s="15" t="str">
        <f t="shared" si="2"/>
        <v>FULL</v>
      </c>
      <c r="U30" s="15" t="s">
        <v>291</v>
      </c>
      <c r="V30" s="15" t="s">
        <v>292</v>
      </c>
      <c r="W30" s="15" t="s">
        <v>293</v>
      </c>
      <c r="X30" s="15" t="s">
        <v>294</v>
      </c>
      <c r="Y30" s="15"/>
    </row>
    <row r="31" spans="1:25" ht="12.75" customHeight="1" x14ac:dyDescent="0.2">
      <c r="A31" s="23" t="s">
        <v>41</v>
      </c>
      <c r="B31" s="2" t="str">
        <f>A31&amp;COUNTIF($A$2:$A31,A31)</f>
        <v>Chaos Renegades4</v>
      </c>
      <c r="C31" s="2" t="s">
        <v>295</v>
      </c>
      <c r="D31" s="2" t="str">
        <f t="shared" si="0"/>
        <v>Chaos RenegadesGoblin Renegade</v>
      </c>
      <c r="E31" s="2">
        <v>6</v>
      </c>
      <c r="F31" s="2">
        <v>2</v>
      </c>
      <c r="G31" s="2">
        <v>3</v>
      </c>
      <c r="H31" s="2">
        <v>4</v>
      </c>
      <c r="I31" s="2">
        <v>8</v>
      </c>
      <c r="J31" s="2" t="str">
        <f>IF('Pack Protajer'!$J$24="Español",V31,(IF('Pack Protajer'!$J$24="Deutsch",W31,(IF('Pack Protajer'!$J$24="Français",X31,U31)))))</f>
        <v>Animosidad (todo el equipo), Esquivar, Humanoide bala, Escurridizo</v>
      </c>
      <c r="K31" s="1">
        <v>40000</v>
      </c>
      <c r="L31" s="1">
        <f t="shared" si="1"/>
        <v>40</v>
      </c>
      <c r="M31" s="1">
        <v>1</v>
      </c>
      <c r="N31" s="1">
        <v>0</v>
      </c>
      <c r="O31" s="1" t="s">
        <v>169</v>
      </c>
      <c r="P31" s="1" t="s">
        <v>170</v>
      </c>
      <c r="Q31" s="1" t="s">
        <v>169</v>
      </c>
      <c r="R31" s="1" t="s">
        <v>169</v>
      </c>
      <c r="S31" s="1" t="s">
        <v>170</v>
      </c>
      <c r="T31" s="15" t="str">
        <f t="shared" si="2"/>
        <v>FULL</v>
      </c>
      <c r="U31" s="15" t="s">
        <v>296</v>
      </c>
      <c r="V31" s="15" t="s">
        <v>297</v>
      </c>
      <c r="W31" s="15" t="s">
        <v>298</v>
      </c>
      <c r="X31" s="15" t="s">
        <v>299</v>
      </c>
      <c r="Y31" s="15"/>
    </row>
    <row r="32" spans="1:25" ht="12.75" customHeight="1" x14ac:dyDescent="0.2">
      <c r="A32" s="23" t="s">
        <v>41</v>
      </c>
      <c r="B32" s="2" t="str">
        <f>A32&amp;COUNTIF($A$2:$A32,A32)</f>
        <v>Chaos Renegades5</v>
      </c>
      <c r="C32" s="2" t="s">
        <v>300</v>
      </c>
      <c r="D32" s="2" t="str">
        <f t="shared" si="0"/>
        <v>Chaos RenegadesSkaven Renegade</v>
      </c>
      <c r="E32" s="2">
        <v>7</v>
      </c>
      <c r="F32" s="2">
        <v>3</v>
      </c>
      <c r="G32" s="2">
        <v>3</v>
      </c>
      <c r="H32" s="2">
        <v>4</v>
      </c>
      <c r="I32" s="2">
        <v>8</v>
      </c>
      <c r="J32" s="2" t="str">
        <f>IF('Pack Protajer'!$J$24="Español",V32,(IF('Pack Protajer'!$J$24="Deutsch",W32,(IF('Pack Protajer'!$J$24="Français",X32,U32)))))</f>
        <v>Animosidad (todo el equipo)</v>
      </c>
      <c r="K32" s="1">
        <v>50000</v>
      </c>
      <c r="L32" s="1">
        <f t="shared" si="1"/>
        <v>50</v>
      </c>
      <c r="M32" s="1">
        <v>1</v>
      </c>
      <c r="N32" s="1">
        <v>0</v>
      </c>
      <c r="O32" s="1" t="s">
        <v>170</v>
      </c>
      <c r="P32" s="1" t="s">
        <v>169</v>
      </c>
      <c r="Q32" s="1" t="s">
        <v>169</v>
      </c>
      <c r="R32" s="1">
        <v>0</v>
      </c>
      <c r="S32" s="1" t="s">
        <v>170</v>
      </c>
      <c r="T32" s="15" t="str">
        <f t="shared" si="2"/>
        <v>P</v>
      </c>
      <c r="U32" s="15" t="s">
        <v>301</v>
      </c>
      <c r="V32" s="15" t="s">
        <v>302</v>
      </c>
      <c r="W32" s="15" t="s">
        <v>303</v>
      </c>
      <c r="X32" s="15" t="s">
        <v>304</v>
      </c>
      <c r="Y32" s="15"/>
    </row>
    <row r="33" spans="1:25" ht="12.75" customHeight="1" x14ac:dyDescent="0.2">
      <c r="A33" s="23" t="s">
        <v>41</v>
      </c>
      <c r="B33" s="2" t="str">
        <f>A33&amp;COUNTIF($A$2:$A33,A33)</f>
        <v>Chaos Renegades6</v>
      </c>
      <c r="C33" s="2" t="s">
        <v>305</v>
      </c>
      <c r="D33" s="2" t="str">
        <f t="shared" si="0"/>
        <v>Chaos RenegadesOrc Renegade</v>
      </c>
      <c r="E33" s="2">
        <v>5</v>
      </c>
      <c r="F33" s="2">
        <v>3</v>
      </c>
      <c r="G33" s="2">
        <v>3</v>
      </c>
      <c r="H33" s="2">
        <v>5</v>
      </c>
      <c r="I33" s="2">
        <v>10</v>
      </c>
      <c r="J33" s="2" t="str">
        <f>IF('Pack Protajer'!$J$24="Español",V33,(IF('Pack Protajer'!$J$24="Deutsch",W33,(IF('Pack Protajer'!$J$24="Français",X33,U33)))))</f>
        <v>Animosidad (todo el equipo)</v>
      </c>
      <c r="K33" s="1">
        <v>50000</v>
      </c>
      <c r="L33" s="1">
        <f t="shared" si="1"/>
        <v>50</v>
      </c>
      <c r="M33" s="1">
        <v>1</v>
      </c>
      <c r="N33" s="1">
        <v>0</v>
      </c>
      <c r="O33" s="1" t="s">
        <v>170</v>
      </c>
      <c r="P33" s="1" t="s">
        <v>169</v>
      </c>
      <c r="Q33" s="1" t="s">
        <v>169</v>
      </c>
      <c r="R33" s="1">
        <v>0</v>
      </c>
      <c r="S33" s="1" t="s">
        <v>170</v>
      </c>
      <c r="T33" s="15" t="str">
        <f t="shared" si="2"/>
        <v>P</v>
      </c>
      <c r="U33" s="15" t="s">
        <v>301</v>
      </c>
      <c r="V33" s="15" t="s">
        <v>302</v>
      </c>
      <c r="W33" s="15" t="s">
        <v>303</v>
      </c>
      <c r="X33" s="15" t="s">
        <v>304</v>
      </c>
      <c r="Y33" s="15"/>
    </row>
    <row r="34" spans="1:25" ht="12.75" customHeight="1" x14ac:dyDescent="0.2">
      <c r="A34" s="23" t="s">
        <v>41</v>
      </c>
      <c r="B34" s="2" t="str">
        <f>A34&amp;COUNTIF($A$2:$A34,A34)</f>
        <v>Chaos Renegades7</v>
      </c>
      <c r="C34" s="2" t="s">
        <v>306</v>
      </c>
      <c r="D34" s="2" t="str">
        <f t="shared" si="0"/>
        <v>Chaos RenegadesDark Elf Renegade</v>
      </c>
      <c r="E34" s="2">
        <v>6</v>
      </c>
      <c r="F34" s="2">
        <v>3</v>
      </c>
      <c r="G34" s="2">
        <v>2</v>
      </c>
      <c r="H34" s="2">
        <v>3</v>
      </c>
      <c r="I34" s="2">
        <v>9</v>
      </c>
      <c r="J34" s="2" t="str">
        <f>IF('Pack Protajer'!$J$24="Español",V34,(IF('Pack Protajer'!$J$24="Deutsch",W34,(IF('Pack Protajer'!$J$24="Français",X34,U34)))))</f>
        <v>Animosidad (todo el equipo)</v>
      </c>
      <c r="K34" s="1">
        <v>75000</v>
      </c>
      <c r="L34" s="1">
        <f t="shared" si="1"/>
        <v>75</v>
      </c>
      <c r="M34" s="1">
        <v>1</v>
      </c>
      <c r="N34" s="1">
        <v>0</v>
      </c>
      <c r="O34" s="1" t="s">
        <v>170</v>
      </c>
      <c r="P34" s="1" t="s">
        <v>170</v>
      </c>
      <c r="Q34" s="1" t="s">
        <v>169</v>
      </c>
      <c r="R34" s="1" t="s">
        <v>169</v>
      </c>
      <c r="S34" s="1" t="s">
        <v>170</v>
      </c>
      <c r="T34" s="15" t="str">
        <f t="shared" si="2"/>
        <v>FULL</v>
      </c>
      <c r="U34" s="15" t="s">
        <v>301</v>
      </c>
      <c r="V34" s="15" t="s">
        <v>302</v>
      </c>
      <c r="W34" s="15" t="s">
        <v>303</v>
      </c>
      <c r="X34" s="15" t="s">
        <v>304</v>
      </c>
      <c r="Y34" s="15"/>
    </row>
    <row r="35" spans="1:25" ht="12.75" customHeight="1" x14ac:dyDescent="0.2">
      <c r="A35" s="23" t="s">
        <v>41</v>
      </c>
      <c r="B35" s="2" t="str">
        <f>A35&amp;COUNTIF($A$2:$A35,A35)</f>
        <v>Chaos Renegades8</v>
      </c>
      <c r="C35" s="2" t="s">
        <v>307</v>
      </c>
      <c r="D35" s="2" t="str">
        <f t="shared" si="0"/>
        <v>Chaos RenegadesTroll Renegade</v>
      </c>
      <c r="E35" s="2">
        <v>4</v>
      </c>
      <c r="F35" s="2">
        <v>5</v>
      </c>
      <c r="G35" s="2">
        <v>5</v>
      </c>
      <c r="H35" s="2">
        <v>5</v>
      </c>
      <c r="I35" s="2">
        <v>10</v>
      </c>
      <c r="J35" s="2" t="str">
        <f>IF('Pack Protajer'!$J$24="Español",V35,(IF('Pack Protajer'!$J$24="Deutsch",W35,(IF('Pack Protajer'!$J$24="Français",X35,U35)))))</f>
        <v>Siempre hambriento, Solitario (4+), Golpe mortífero (+1), Proyectil de vómito, Realmente estúpido, Regeneración, Lanzar compañero</v>
      </c>
      <c r="K35" s="1">
        <v>115000</v>
      </c>
      <c r="L35" s="1">
        <f t="shared" si="1"/>
        <v>115</v>
      </c>
      <c r="M35" s="1">
        <v>1</v>
      </c>
      <c r="N35" s="1">
        <v>1</v>
      </c>
      <c r="O35" s="1" t="s">
        <v>169</v>
      </c>
      <c r="P35" s="1" t="s">
        <v>169</v>
      </c>
      <c r="Q35" s="1" t="s">
        <v>170</v>
      </c>
      <c r="R35" s="1">
        <v>0</v>
      </c>
      <c r="S35" s="1" t="s">
        <v>169</v>
      </c>
      <c r="T35" s="15" t="str">
        <f t="shared" si="2"/>
        <v>P</v>
      </c>
      <c r="U35" s="15" t="s">
        <v>265</v>
      </c>
      <c r="V35" s="15" t="s">
        <v>266</v>
      </c>
      <c r="W35" s="15" t="s">
        <v>267</v>
      </c>
      <c r="X35" s="15" t="s">
        <v>268</v>
      </c>
      <c r="Y35" s="15"/>
    </row>
    <row r="36" spans="1:25" ht="12.75" customHeight="1" x14ac:dyDescent="0.2">
      <c r="A36" s="23" t="s">
        <v>41</v>
      </c>
      <c r="B36" s="2" t="str">
        <f>A36&amp;COUNTIF($A$2:$A36,A36)</f>
        <v>Chaos Renegades9</v>
      </c>
      <c r="C36" s="2" t="s">
        <v>308</v>
      </c>
      <c r="D36" s="2" t="str">
        <f t="shared" si="0"/>
        <v>Chaos RenegadesOgre Renegade</v>
      </c>
      <c r="E36" s="2">
        <v>5</v>
      </c>
      <c r="F36" s="2">
        <v>5</v>
      </c>
      <c r="G36" s="2">
        <v>4</v>
      </c>
      <c r="H36" s="2">
        <v>5</v>
      </c>
      <c r="I36" s="2">
        <v>10</v>
      </c>
      <c r="J36" s="2" t="str">
        <f>IF('Pack Protajer'!$J$24="Español",V36,(IF('Pack Protajer'!$J$24="Deutsch",W36,(IF('Pack Protajer'!$J$24="Français",X36,U36)))))</f>
        <v>Estúpido, Solitario (4+), Golpe mortífero (+1), Cabeza dura, Lanzar Compañero</v>
      </c>
      <c r="K36" s="1">
        <v>140000</v>
      </c>
      <c r="L36" s="1">
        <f t="shared" si="1"/>
        <v>140</v>
      </c>
      <c r="M36" s="1">
        <v>1</v>
      </c>
      <c r="N36" s="1">
        <v>1</v>
      </c>
      <c r="O36" s="1" t="s">
        <v>169</v>
      </c>
      <c r="P36" s="1" t="s">
        <v>169</v>
      </c>
      <c r="Q36" s="1" t="s">
        <v>170</v>
      </c>
      <c r="R36" s="1">
        <v>0</v>
      </c>
      <c r="S36" s="1" t="s">
        <v>169</v>
      </c>
      <c r="T36" s="15" t="str">
        <f t="shared" si="2"/>
        <v>P</v>
      </c>
      <c r="U36" s="15" t="s">
        <v>270</v>
      </c>
      <c r="V36" s="15" t="s">
        <v>271</v>
      </c>
      <c r="W36" s="15" t="s">
        <v>272</v>
      </c>
      <c r="X36" s="15" t="s">
        <v>273</v>
      </c>
      <c r="Y36" s="15"/>
    </row>
    <row r="37" spans="1:25" ht="12.75" customHeight="1" x14ac:dyDescent="0.2">
      <c r="A37" s="23" t="s">
        <v>41</v>
      </c>
      <c r="B37" s="2" t="str">
        <f>A37&amp;COUNTIF($A$2:$A37,A37)</f>
        <v>Chaos Renegades10</v>
      </c>
      <c r="C37" s="2" t="s">
        <v>309</v>
      </c>
      <c r="D37" s="2" t="str">
        <f t="shared" si="0"/>
        <v>Chaos RenegadesMinotaur Renegade</v>
      </c>
      <c r="E37" s="2">
        <v>5</v>
      </c>
      <c r="F37" s="2">
        <v>5</v>
      </c>
      <c r="G37" s="2">
        <v>4</v>
      </c>
      <c r="H37" s="2">
        <v>0</v>
      </c>
      <c r="I37" s="2">
        <v>9</v>
      </c>
      <c r="J37" s="2" t="str">
        <f>IF('Pack Protajer'!$J$24="Español",V37,(IF('Pack Protajer'!$J$24="Deutsch",W37,(IF('Pack Protajer'!$J$24="Français",X37,U37)))))</f>
        <v>Solitario (4+), Furia, Cuernos, Golpe mortífero (+1), Cabeza dura, Ira descontrolada</v>
      </c>
      <c r="K37" s="1">
        <v>150000</v>
      </c>
      <c r="L37" s="1">
        <f t="shared" si="1"/>
        <v>150</v>
      </c>
      <c r="M37" s="1">
        <v>1</v>
      </c>
      <c r="N37" s="1">
        <v>1</v>
      </c>
      <c r="O37" s="1" t="s">
        <v>169</v>
      </c>
      <c r="P37" s="1" t="s">
        <v>169</v>
      </c>
      <c r="Q37" s="1" t="s">
        <v>170</v>
      </c>
      <c r="R37" s="12">
        <v>0</v>
      </c>
      <c r="S37" s="1" t="s">
        <v>169</v>
      </c>
      <c r="T37" s="15" t="str">
        <f t="shared" si="2"/>
        <v>P</v>
      </c>
      <c r="U37" s="15" t="s">
        <v>275</v>
      </c>
      <c r="V37" s="15" t="s">
        <v>276</v>
      </c>
      <c r="W37" s="15" t="s">
        <v>277</v>
      </c>
      <c r="X37" s="15" t="s">
        <v>278</v>
      </c>
      <c r="Y37" s="15"/>
    </row>
    <row r="38" spans="1:25" ht="12.75" customHeight="1" x14ac:dyDescent="0.2">
      <c r="A38" s="23" t="s">
        <v>41</v>
      </c>
      <c r="B38" s="2" t="str">
        <f>A38&amp;COUNTIF($A$2:$A38,A38)</f>
        <v>Chaos Renegades11</v>
      </c>
      <c r="C38" s="2" t="s">
        <v>310</v>
      </c>
      <c r="D38" s="2" t="str">
        <f t="shared" si="0"/>
        <v>Chaos RenegadesRat Ogre Renegade</v>
      </c>
      <c r="E38" s="2">
        <v>6</v>
      </c>
      <c r="F38" s="2">
        <v>5</v>
      </c>
      <c r="G38" s="2">
        <v>4</v>
      </c>
      <c r="H38" s="2">
        <v>0</v>
      </c>
      <c r="I38" s="2">
        <v>9</v>
      </c>
      <c r="J38" s="2" t="str">
        <f>IF('Pack Protajer'!$J$24="Español",V38,(IF('Pack Protajer'!$J$24="Deutsch",W38,(IF('Pack Protajer'!$J$24="Français",X38,U38)))))</f>
        <v>Ferocidad animal, Furia, Solitario (4+), Golpe mortífero (+1), Cola prensil</v>
      </c>
      <c r="K38" s="1">
        <v>150000</v>
      </c>
      <c r="L38" s="1">
        <f t="shared" si="1"/>
        <v>150</v>
      </c>
      <c r="M38" s="1">
        <v>1</v>
      </c>
      <c r="N38" s="1">
        <v>1</v>
      </c>
      <c r="O38" s="1" t="s">
        <v>169</v>
      </c>
      <c r="P38" s="1" t="s">
        <v>169</v>
      </c>
      <c r="Q38" s="1" t="s">
        <v>170</v>
      </c>
      <c r="R38" s="12">
        <v>0</v>
      </c>
      <c r="S38" s="1" t="s">
        <v>169</v>
      </c>
      <c r="T38" s="15" t="str">
        <f t="shared" si="2"/>
        <v>P</v>
      </c>
      <c r="U38" s="15" t="s">
        <v>311</v>
      </c>
      <c r="V38" s="15" t="s">
        <v>312</v>
      </c>
      <c r="W38" s="15" t="s">
        <v>313</v>
      </c>
      <c r="X38" s="15" t="s">
        <v>314</v>
      </c>
      <c r="Y38" s="15"/>
    </row>
    <row r="39" spans="1:25" ht="12.75" customHeight="1" x14ac:dyDescent="0.2">
      <c r="A39" s="23" t="s">
        <v>46</v>
      </c>
      <c r="B39" s="2" t="str">
        <f>A39&amp;COUNTIF($A$2:$A39,A39)</f>
        <v>Dark Elf1</v>
      </c>
      <c r="C39" s="2" t="str">
        <f>""</f>
        <v/>
      </c>
      <c r="D39" s="2" t="str">
        <f t="shared" si="0"/>
        <v>Dark Elf</v>
      </c>
      <c r="E39" s="2">
        <v>0</v>
      </c>
      <c r="F39" s="2">
        <v>0</v>
      </c>
      <c r="G39" s="2">
        <v>0</v>
      </c>
      <c r="H39" s="2">
        <v>0</v>
      </c>
      <c r="I39" s="2">
        <v>0</v>
      </c>
      <c r="J39" s="2">
        <f>IF('Pack Protajer'!$J$24="Español",V39,(IF('Pack Protajer'!$J$24="Deutsch",W39,(IF('Pack Protajer'!$J$24="Français",X39,U39)))))</f>
        <v>0</v>
      </c>
      <c r="K39" s="1">
        <v>0</v>
      </c>
      <c r="L39" s="1">
        <f t="shared" si="1"/>
        <v>0</v>
      </c>
      <c r="M39" s="1">
        <v>0</v>
      </c>
      <c r="N39" s="1">
        <v>0</v>
      </c>
      <c r="O39" s="1"/>
      <c r="P39" s="1"/>
      <c r="Q39" s="1"/>
      <c r="R39" s="1"/>
      <c r="S39" s="1"/>
      <c r="T39" s="15" t="str">
        <f t="shared" si="2"/>
        <v/>
      </c>
      <c r="U39" s="15">
        <v>0</v>
      </c>
      <c r="V39" s="15">
        <v>0</v>
      </c>
      <c r="W39" s="15">
        <v>0</v>
      </c>
      <c r="X39" s="15">
        <v>0</v>
      </c>
      <c r="Y39" s="15">
        <v>0</v>
      </c>
    </row>
    <row r="40" spans="1:25" ht="12.75" customHeight="1" x14ac:dyDescent="0.2">
      <c r="A40" s="23" t="s">
        <v>46</v>
      </c>
      <c r="B40" s="2" t="str">
        <f>A40&amp;COUNTIF($A$2:$A40,A40)</f>
        <v>Dark Elf2</v>
      </c>
      <c r="C40" s="2" t="s">
        <v>319</v>
      </c>
      <c r="D40" s="2" t="str">
        <f t="shared" si="0"/>
        <v>Dark ElfLineman</v>
      </c>
      <c r="E40" s="2">
        <v>6</v>
      </c>
      <c r="F40" s="2">
        <v>3</v>
      </c>
      <c r="G40" s="2">
        <v>2</v>
      </c>
      <c r="H40" s="2">
        <v>4</v>
      </c>
      <c r="I40" s="2">
        <v>9</v>
      </c>
      <c r="J40" s="2" t="str">
        <f>IF('Pack Protajer'!$J$24="Español",V40,(IF('Pack Protajer'!$J$24="Deutsch",W40,(IF('Pack Protajer'!$J$24="Français",X40,U40)))))</f>
        <v/>
      </c>
      <c r="K40" s="1">
        <v>70000</v>
      </c>
      <c r="L40" s="1">
        <f t="shared" si="1"/>
        <v>70</v>
      </c>
      <c r="M40" s="1">
        <v>16</v>
      </c>
      <c r="N40" s="1">
        <v>0</v>
      </c>
      <c r="O40" s="1" t="s">
        <v>170</v>
      </c>
      <c r="P40" s="1" t="s">
        <v>170</v>
      </c>
      <c r="Q40" s="1" t="s">
        <v>169</v>
      </c>
      <c r="R40" s="1">
        <v>0</v>
      </c>
      <c r="S40" s="1">
        <v>0</v>
      </c>
      <c r="T40" s="15" t="str">
        <f t="shared" si="2"/>
        <v>PM</v>
      </c>
      <c r="U40" s="15" t="str">
        <f t="shared" ref="U40:Y40" si="5">""</f>
        <v/>
      </c>
      <c r="V40" s="15" t="str">
        <f t="shared" si="5"/>
        <v/>
      </c>
      <c r="W40" s="15" t="str">
        <f t="shared" si="5"/>
        <v/>
      </c>
      <c r="X40" s="15" t="str">
        <f t="shared" si="5"/>
        <v/>
      </c>
      <c r="Y40" s="15" t="str">
        <f t="shared" si="5"/>
        <v/>
      </c>
    </row>
    <row r="41" spans="1:25" ht="12.75" customHeight="1" x14ac:dyDescent="0.2">
      <c r="A41" s="23" t="s">
        <v>46</v>
      </c>
      <c r="B41" s="2" t="str">
        <f>A41&amp;COUNTIF($A$2:$A41,A41)</f>
        <v>Dark Elf3</v>
      </c>
      <c r="C41" s="2" t="s">
        <v>320</v>
      </c>
      <c r="D41" s="2" t="str">
        <f t="shared" si="0"/>
        <v>Dark ElfRunner</v>
      </c>
      <c r="E41" s="2">
        <v>7</v>
      </c>
      <c r="F41" s="2">
        <v>3</v>
      </c>
      <c r="G41" s="2">
        <v>2</v>
      </c>
      <c r="H41" s="2">
        <v>3</v>
      </c>
      <c r="I41" s="2">
        <v>8</v>
      </c>
      <c r="J41" s="2" t="str">
        <f>IF('Pack Protajer'!$J$24="Español",V41,(IF('Pack Protajer'!$J$24="Deutsch",W41,(IF('Pack Protajer'!$J$24="Français",X41,U41)))))</f>
        <v>Pase precipitado</v>
      </c>
      <c r="K41" s="1">
        <v>80000</v>
      </c>
      <c r="L41" s="1">
        <f t="shared" si="1"/>
        <v>80</v>
      </c>
      <c r="M41" s="1">
        <v>2</v>
      </c>
      <c r="N41" s="1">
        <v>0</v>
      </c>
      <c r="O41" s="1" t="s">
        <v>170</v>
      </c>
      <c r="P41" s="1" t="s">
        <v>170</v>
      </c>
      <c r="Q41" s="1" t="s">
        <v>169</v>
      </c>
      <c r="R41" s="1" t="s">
        <v>170</v>
      </c>
      <c r="S41" s="1">
        <v>0</v>
      </c>
      <c r="T41" s="15" t="str">
        <f t="shared" si="2"/>
        <v>M</v>
      </c>
      <c r="U41" s="15" t="s">
        <v>321</v>
      </c>
      <c r="V41" s="15" t="s">
        <v>322</v>
      </c>
      <c r="W41" s="15" t="s">
        <v>323</v>
      </c>
      <c r="X41" s="15" t="s">
        <v>324</v>
      </c>
      <c r="Y41" s="15"/>
    </row>
    <row r="42" spans="1:25" ht="12.75" customHeight="1" x14ac:dyDescent="0.2">
      <c r="A42" s="23" t="s">
        <v>46</v>
      </c>
      <c r="B42" s="2" t="str">
        <f>A42&amp;COUNTIF($A$2:$A42,A42)</f>
        <v>Dark Elf4</v>
      </c>
      <c r="C42" s="2" t="s">
        <v>325</v>
      </c>
      <c r="D42" s="2" t="str">
        <f t="shared" si="0"/>
        <v>Dark ElfAssassin</v>
      </c>
      <c r="E42" s="2">
        <v>7</v>
      </c>
      <c r="F42" s="2">
        <v>3</v>
      </c>
      <c r="G42" s="2">
        <v>2</v>
      </c>
      <c r="H42" s="2">
        <v>5</v>
      </c>
      <c r="I42" s="2">
        <v>8</v>
      </c>
      <c r="J42" s="2" t="str">
        <f>IF('Pack Protajer'!$J$24="Español",V42,(IF('Pack Protajer'!$J$24="Deutsch",W42,(IF('Pack Protajer'!$J$24="Français",X42,U42)))))</f>
        <v>Perseguir, Puñal</v>
      </c>
      <c r="K42" s="1">
        <v>85000</v>
      </c>
      <c r="L42" s="1">
        <f t="shared" si="1"/>
        <v>85</v>
      </c>
      <c r="M42" s="1">
        <v>2</v>
      </c>
      <c r="N42" s="1">
        <v>0</v>
      </c>
      <c r="O42" s="1" t="s">
        <v>170</v>
      </c>
      <c r="P42" s="1" t="s">
        <v>170</v>
      </c>
      <c r="Q42" s="1" t="s">
        <v>169</v>
      </c>
      <c r="R42" s="1" t="s">
        <v>169</v>
      </c>
      <c r="S42" s="1">
        <v>0</v>
      </c>
      <c r="T42" s="15" t="str">
        <f t="shared" si="2"/>
        <v>M</v>
      </c>
      <c r="U42" s="15" t="s">
        <v>326</v>
      </c>
      <c r="V42" s="15" t="s">
        <v>327</v>
      </c>
      <c r="W42" s="15" t="s">
        <v>328</v>
      </c>
      <c r="X42" s="15" t="s">
        <v>329</v>
      </c>
      <c r="Y42" s="15"/>
    </row>
    <row r="43" spans="1:25" ht="12.75" customHeight="1" x14ac:dyDescent="0.2">
      <c r="A43" s="23" t="s">
        <v>46</v>
      </c>
      <c r="B43" s="2" t="str">
        <f>A43&amp;COUNTIF($A$2:$A43,A43)</f>
        <v>Dark Elf5</v>
      </c>
      <c r="C43" s="2" t="s">
        <v>243</v>
      </c>
      <c r="D43" s="2" t="str">
        <f t="shared" si="0"/>
        <v>Dark ElfBlitzer</v>
      </c>
      <c r="E43" s="2">
        <v>7</v>
      </c>
      <c r="F43" s="2">
        <v>3</v>
      </c>
      <c r="G43" s="2">
        <v>2</v>
      </c>
      <c r="H43" s="2">
        <v>4</v>
      </c>
      <c r="I43" s="2">
        <v>9</v>
      </c>
      <c r="J43" s="2" t="str">
        <f>IF('Pack Protajer'!$J$24="Español",V43,(IF('Pack Protajer'!$J$24="Deutsch",W43,(IF('Pack Protajer'!$J$24="Français",X43,U43)))))</f>
        <v>Placar</v>
      </c>
      <c r="K43" s="1">
        <v>100000</v>
      </c>
      <c r="L43" s="1">
        <f t="shared" si="1"/>
        <v>100</v>
      </c>
      <c r="M43" s="7">
        <v>4</v>
      </c>
      <c r="N43" s="7">
        <v>0</v>
      </c>
      <c r="O43" s="1" t="s">
        <v>170</v>
      </c>
      <c r="P43" s="1" t="s">
        <v>170</v>
      </c>
      <c r="Q43" s="1" t="s">
        <v>169</v>
      </c>
      <c r="R43" s="1" t="s">
        <v>169</v>
      </c>
      <c r="S43" s="1">
        <v>0</v>
      </c>
      <c r="T43" s="15" t="str">
        <f t="shared" si="2"/>
        <v>M</v>
      </c>
      <c r="U43" s="15" t="s">
        <v>330</v>
      </c>
      <c r="V43" s="15" t="s">
        <v>331</v>
      </c>
      <c r="W43" s="15" t="s">
        <v>330</v>
      </c>
      <c r="X43" s="15" t="s">
        <v>332</v>
      </c>
      <c r="Y43" s="15"/>
    </row>
    <row r="44" spans="1:25" ht="12.75" customHeight="1" x14ac:dyDescent="0.2">
      <c r="A44" s="23" t="s">
        <v>46</v>
      </c>
      <c r="B44" s="2" t="str">
        <f>A44&amp;COUNTIF($A$2:$A44,A44)</f>
        <v>Dark Elf6</v>
      </c>
      <c r="C44" s="2" t="s">
        <v>333</v>
      </c>
      <c r="D44" s="2" t="str">
        <f t="shared" si="0"/>
        <v>Dark ElfWitch Elf</v>
      </c>
      <c r="E44" s="2">
        <v>7</v>
      </c>
      <c r="F44" s="2">
        <v>3</v>
      </c>
      <c r="G44" s="2">
        <v>2</v>
      </c>
      <c r="H44" s="2">
        <v>5</v>
      </c>
      <c r="I44" s="2">
        <v>8</v>
      </c>
      <c r="J44" s="2" t="str">
        <f>IF('Pack Protajer'!$J$24="Español",V44,(IF('Pack Protajer'!$J$24="Deutsch",W44,(IF('Pack Protajer'!$J$24="Français",X44,U44)))))</f>
        <v>Esquivar, Furia, En pie de un salto</v>
      </c>
      <c r="K44" s="1">
        <v>110000</v>
      </c>
      <c r="L44" s="1">
        <f t="shared" si="1"/>
        <v>110</v>
      </c>
      <c r="M44" s="2">
        <v>2</v>
      </c>
      <c r="N44" s="2">
        <v>0</v>
      </c>
      <c r="O44" s="1" t="s">
        <v>170</v>
      </c>
      <c r="P44" s="1" t="s">
        <v>170</v>
      </c>
      <c r="Q44" s="1" t="s">
        <v>169</v>
      </c>
      <c r="R44" s="1" t="s">
        <v>169</v>
      </c>
      <c r="S44" s="1">
        <v>0</v>
      </c>
      <c r="T44" s="15" t="str">
        <f t="shared" si="2"/>
        <v>M</v>
      </c>
      <c r="U44" s="15" t="s">
        <v>334</v>
      </c>
      <c r="V44" s="15" t="s">
        <v>335</v>
      </c>
      <c r="W44" s="15" t="s">
        <v>336</v>
      </c>
      <c r="X44" s="15" t="s">
        <v>337</v>
      </c>
      <c r="Y44" s="15"/>
    </row>
    <row r="45" spans="1:25" ht="12.75" customHeight="1" x14ac:dyDescent="0.2">
      <c r="A45" s="23" t="s">
        <v>52</v>
      </c>
      <c r="B45" s="2" t="str">
        <f>A45&amp;COUNTIF($A$2:$A45,A45)</f>
        <v>Dwarf1</v>
      </c>
      <c r="C45" s="2" t="str">
        <f>""</f>
        <v/>
      </c>
      <c r="D45" s="2" t="str">
        <f t="shared" si="0"/>
        <v>Dwarf</v>
      </c>
      <c r="E45" s="2">
        <v>0</v>
      </c>
      <c r="F45" s="2">
        <v>0</v>
      </c>
      <c r="G45" s="2">
        <v>0</v>
      </c>
      <c r="H45" s="2">
        <v>0</v>
      </c>
      <c r="I45" s="2">
        <v>0</v>
      </c>
      <c r="J45" s="2">
        <f>IF('Pack Protajer'!$J$24="Español",V45,(IF('Pack Protajer'!$J$24="Deutsch",W45,(IF('Pack Protajer'!$J$24="Français",X45,U45)))))</f>
        <v>0</v>
      </c>
      <c r="K45" s="1">
        <v>0</v>
      </c>
      <c r="L45" s="1">
        <f t="shared" si="1"/>
        <v>0</v>
      </c>
      <c r="M45" s="1">
        <v>0</v>
      </c>
      <c r="N45" s="1">
        <v>0</v>
      </c>
      <c r="O45" s="1"/>
      <c r="P45" s="1"/>
      <c r="Q45" s="1"/>
      <c r="R45" s="1"/>
      <c r="S45" s="1"/>
      <c r="T45" s="15" t="str">
        <f t="shared" si="2"/>
        <v/>
      </c>
      <c r="U45" s="15">
        <v>0</v>
      </c>
      <c r="V45" s="15">
        <v>0</v>
      </c>
      <c r="W45" s="15">
        <v>0</v>
      </c>
      <c r="X45" s="15">
        <v>0</v>
      </c>
      <c r="Y45" s="15">
        <v>0</v>
      </c>
    </row>
    <row r="46" spans="1:25" ht="12.75" customHeight="1" x14ac:dyDescent="0.2">
      <c r="A46" s="23" t="s">
        <v>52</v>
      </c>
      <c r="B46" s="2" t="str">
        <f>A46&amp;COUNTIF($A$2:$A46,A46)</f>
        <v>Dwarf2</v>
      </c>
      <c r="C46" s="2" t="s">
        <v>279</v>
      </c>
      <c r="D46" s="2" t="str">
        <f t="shared" si="0"/>
        <v>DwarfBlocker</v>
      </c>
      <c r="E46" s="2">
        <v>4</v>
      </c>
      <c r="F46" s="2">
        <v>3</v>
      </c>
      <c r="G46" s="2">
        <v>4</v>
      </c>
      <c r="H46" s="2">
        <v>5</v>
      </c>
      <c r="I46" s="2">
        <v>10</v>
      </c>
      <c r="J46" s="2" t="str">
        <f>IF('Pack Protajer'!$J$24="Español",V46,(IF('Pack Protajer'!$J$24="Deutsch",W46,(IF('Pack Protajer'!$J$24="Français",X46,U46)))))</f>
        <v>Placar, Placaje defensivo, Cabeza dura</v>
      </c>
      <c r="K46" s="1">
        <v>70000</v>
      </c>
      <c r="L46" s="1">
        <f t="shared" si="1"/>
        <v>70</v>
      </c>
      <c r="M46" s="7">
        <v>16</v>
      </c>
      <c r="N46" s="7">
        <v>0</v>
      </c>
      <c r="O46" s="1" t="s">
        <v>170</v>
      </c>
      <c r="P46" s="1" t="s">
        <v>169</v>
      </c>
      <c r="Q46" s="1" t="s">
        <v>170</v>
      </c>
      <c r="R46" s="1">
        <v>0</v>
      </c>
      <c r="S46" s="1">
        <v>0</v>
      </c>
      <c r="T46" s="15" t="str">
        <f t="shared" si="2"/>
        <v>PM</v>
      </c>
      <c r="U46" s="15" t="s">
        <v>280</v>
      </c>
      <c r="V46" s="2" t="s">
        <v>281</v>
      </c>
      <c r="W46" s="15" t="s">
        <v>282</v>
      </c>
      <c r="X46" s="15" t="s">
        <v>283</v>
      </c>
      <c r="Y46" s="15"/>
    </row>
    <row r="47" spans="1:25" ht="12.75" customHeight="1" x14ac:dyDescent="0.2">
      <c r="A47" s="23" t="s">
        <v>52</v>
      </c>
      <c r="B47" s="2" t="str">
        <f>A47&amp;COUNTIF($A$2:$A47,A47)</f>
        <v>Dwarf3</v>
      </c>
      <c r="C47" s="2" t="s">
        <v>320</v>
      </c>
      <c r="D47" s="2" t="str">
        <f t="shared" si="0"/>
        <v>DwarfRunner</v>
      </c>
      <c r="E47" s="2">
        <v>6</v>
      </c>
      <c r="F47" s="2">
        <v>3</v>
      </c>
      <c r="G47" s="2">
        <v>3</v>
      </c>
      <c r="H47" s="2">
        <v>4</v>
      </c>
      <c r="I47" s="2">
        <v>9</v>
      </c>
      <c r="J47" s="2" t="str">
        <f>IF('Pack Protajer'!$J$24="Español",V47,(IF('Pack Protajer'!$J$24="Deutsch",W47,(IF('Pack Protajer'!$J$24="Français",X47,U47)))))</f>
        <v>Manos seguras, Cabeza dura</v>
      </c>
      <c r="K47" s="1">
        <v>85000</v>
      </c>
      <c r="L47" s="1">
        <f t="shared" si="1"/>
        <v>85</v>
      </c>
      <c r="M47" s="1">
        <v>2</v>
      </c>
      <c r="N47" s="1">
        <v>0</v>
      </c>
      <c r="O47" s="1" t="s">
        <v>170</v>
      </c>
      <c r="P47" s="1" t="s">
        <v>169</v>
      </c>
      <c r="Q47" s="1" t="s">
        <v>169</v>
      </c>
      <c r="R47" s="1" t="s">
        <v>170</v>
      </c>
      <c r="S47" s="1">
        <v>0</v>
      </c>
      <c r="T47" s="15" t="str">
        <f t="shared" si="2"/>
        <v>M</v>
      </c>
      <c r="U47" s="15" t="s">
        <v>338</v>
      </c>
      <c r="V47" s="2" t="s">
        <v>339</v>
      </c>
      <c r="W47" s="15" t="s">
        <v>340</v>
      </c>
      <c r="X47" s="15" t="s">
        <v>341</v>
      </c>
      <c r="Y47" s="15"/>
    </row>
    <row r="48" spans="1:25" ht="12.75" customHeight="1" x14ac:dyDescent="0.2">
      <c r="A48" s="23" t="s">
        <v>52</v>
      </c>
      <c r="B48" s="2" t="str">
        <f>A48&amp;COUNTIF($A$2:$A48,A48)</f>
        <v>Dwarf4</v>
      </c>
      <c r="C48" s="2" t="s">
        <v>243</v>
      </c>
      <c r="D48" s="2" t="str">
        <f t="shared" si="0"/>
        <v>DwarfBlitzer</v>
      </c>
      <c r="E48" s="2">
        <v>5</v>
      </c>
      <c r="F48" s="2">
        <v>3</v>
      </c>
      <c r="G48" s="2">
        <v>3</v>
      </c>
      <c r="H48" s="2">
        <v>4</v>
      </c>
      <c r="I48" s="2">
        <v>10</v>
      </c>
      <c r="J48" s="2" t="str">
        <f>IF('Pack Protajer'!$J$24="Español",V48,(IF('Pack Protajer'!$J$24="Deutsch",W48,(IF('Pack Protajer'!$J$24="Français",X48,U48)))))</f>
        <v>Placar, Cabeza dura</v>
      </c>
      <c r="K48" s="1">
        <v>80000</v>
      </c>
      <c r="L48" s="1">
        <f t="shared" si="1"/>
        <v>80</v>
      </c>
      <c r="M48" s="1">
        <v>2</v>
      </c>
      <c r="N48" s="1">
        <v>0</v>
      </c>
      <c r="O48" s="1" t="s">
        <v>170</v>
      </c>
      <c r="P48" s="1" t="s">
        <v>169</v>
      </c>
      <c r="Q48" s="1" t="s">
        <v>170</v>
      </c>
      <c r="R48" s="1" t="s">
        <v>169</v>
      </c>
      <c r="S48" s="1">
        <v>0</v>
      </c>
      <c r="T48" s="15" t="str">
        <f t="shared" si="2"/>
        <v>M</v>
      </c>
      <c r="U48" s="15" t="s">
        <v>342</v>
      </c>
      <c r="V48" s="15" t="s">
        <v>343</v>
      </c>
      <c r="W48" s="15" t="s">
        <v>344</v>
      </c>
      <c r="X48" s="15" t="s">
        <v>345</v>
      </c>
      <c r="Y48" s="15"/>
    </row>
    <row r="49" spans="1:25" ht="12.75" customHeight="1" x14ac:dyDescent="0.2">
      <c r="A49" s="23" t="s">
        <v>52</v>
      </c>
      <c r="B49" s="2" t="str">
        <f>A49&amp;COUNTIF($A$2:$A49,A49)</f>
        <v>Dwarf5</v>
      </c>
      <c r="C49" s="2" t="s">
        <v>346</v>
      </c>
      <c r="D49" s="2" t="str">
        <f t="shared" si="0"/>
        <v>DwarfTroll Slayer</v>
      </c>
      <c r="E49" s="2">
        <v>5</v>
      </c>
      <c r="F49" s="2">
        <v>3</v>
      </c>
      <c r="G49" s="2">
        <v>4</v>
      </c>
      <c r="H49" s="2">
        <v>0</v>
      </c>
      <c r="I49" s="2">
        <v>9</v>
      </c>
      <c r="J49" s="2" t="str">
        <f>IF('Pack Protajer'!$J$24="Español",V49,(IF('Pack Protajer'!$J$24="Deutsch",W49,(IF('Pack Protajer'!$J$24="Français",X49,U49)))))</f>
        <v>Placar, Furia, Agallas, Cabeza dura</v>
      </c>
      <c r="K49" s="1">
        <v>95000</v>
      </c>
      <c r="L49" s="1">
        <f t="shared" si="1"/>
        <v>95</v>
      </c>
      <c r="M49" s="1">
        <v>2</v>
      </c>
      <c r="N49" s="1">
        <v>0</v>
      </c>
      <c r="O49" s="1" t="s">
        <v>170</v>
      </c>
      <c r="P49" s="1" t="s">
        <v>169</v>
      </c>
      <c r="Q49" s="1" t="s">
        <v>170</v>
      </c>
      <c r="R49" s="12">
        <v>0</v>
      </c>
      <c r="S49" s="1">
        <v>0</v>
      </c>
      <c r="T49" s="15" t="str">
        <f t="shared" si="2"/>
        <v>PM</v>
      </c>
      <c r="U49" s="15" t="s">
        <v>347</v>
      </c>
      <c r="V49" s="15" t="s">
        <v>348</v>
      </c>
      <c r="W49" s="15" t="s">
        <v>349</v>
      </c>
      <c r="X49" s="15" t="s">
        <v>350</v>
      </c>
      <c r="Y49" s="15"/>
    </row>
    <row r="50" spans="1:25" ht="12.75" customHeight="1" x14ac:dyDescent="0.2">
      <c r="A50" s="23" t="s">
        <v>52</v>
      </c>
      <c r="B50" s="2" t="str">
        <f>A50&amp;COUNTIF($A$2:$A50,A50)</f>
        <v>Dwarf6</v>
      </c>
      <c r="C50" s="2" t="s">
        <v>351</v>
      </c>
      <c r="D50" s="2" t="str">
        <f t="shared" si="0"/>
        <v>DwarfDeathroller</v>
      </c>
      <c r="E50" s="2">
        <v>4</v>
      </c>
      <c r="F50" s="2">
        <v>7</v>
      </c>
      <c r="G50" s="2">
        <v>5</v>
      </c>
      <c r="H50" s="2">
        <v>0</v>
      </c>
      <c r="I50" s="2">
        <v>11</v>
      </c>
      <c r="J50" s="2" t="str">
        <f>IF('Pack Protajer'!$J$24="Español",V50,(IF('Pack Protajer'!$J$24="Deutsch",W50,(IF('Pack Protajer'!$J$24="Français",X50,U50)))))</f>
        <v>Abrirse paso, Juego sucio (+2), Imparable, Solitario (5+), Golpe mortífero (+1), Sin manos, Arma secreta, Mantenerse firme</v>
      </c>
      <c r="K50" s="1">
        <v>170000</v>
      </c>
      <c r="L50" s="1">
        <f t="shared" si="1"/>
        <v>170</v>
      </c>
      <c r="M50" s="2">
        <v>1</v>
      </c>
      <c r="N50" s="2">
        <v>1</v>
      </c>
      <c r="O50" s="1" t="s">
        <v>169</v>
      </c>
      <c r="P50" s="1" t="s">
        <v>169</v>
      </c>
      <c r="Q50" s="1" t="s">
        <v>170</v>
      </c>
      <c r="R50" s="1">
        <v>0</v>
      </c>
      <c r="S50" s="1">
        <v>0</v>
      </c>
      <c r="T50" s="15" t="str">
        <f t="shared" si="2"/>
        <v>PM</v>
      </c>
      <c r="U50" s="15" t="s">
        <v>352</v>
      </c>
      <c r="V50" s="15" t="s">
        <v>353</v>
      </c>
      <c r="W50" s="15" t="s">
        <v>354</v>
      </c>
      <c r="X50" s="15" t="s">
        <v>355</v>
      </c>
      <c r="Y50" s="15"/>
    </row>
    <row r="51" spans="1:25" ht="12.75" customHeight="1" x14ac:dyDescent="0.2">
      <c r="A51" s="23" t="s">
        <v>57</v>
      </c>
      <c r="B51" s="2" t="str">
        <f>A51&amp;COUNTIF($A$2:$A51,A51)</f>
        <v>Elven Union1</v>
      </c>
      <c r="C51" s="2" t="str">
        <f>""</f>
        <v/>
      </c>
      <c r="D51" s="2" t="str">
        <f t="shared" si="0"/>
        <v>Elven Union</v>
      </c>
      <c r="E51" s="2">
        <v>0</v>
      </c>
      <c r="F51" s="2">
        <v>0</v>
      </c>
      <c r="G51" s="2">
        <v>0</v>
      </c>
      <c r="H51" s="2">
        <v>0</v>
      </c>
      <c r="I51" s="2">
        <v>0</v>
      </c>
      <c r="J51" s="2">
        <f>IF('Pack Protajer'!$J$24="Español",V51,(IF('Pack Protajer'!$J$24="Deutsch",W51,(IF('Pack Protajer'!$J$24="Français",X51,U51)))))</f>
        <v>0</v>
      </c>
      <c r="K51" s="1">
        <v>0</v>
      </c>
      <c r="L51" s="1">
        <f t="shared" si="1"/>
        <v>0</v>
      </c>
      <c r="M51" s="1">
        <v>0</v>
      </c>
      <c r="N51" s="1">
        <v>0</v>
      </c>
      <c r="O51" s="1"/>
      <c r="P51" s="1"/>
      <c r="Q51" s="1"/>
      <c r="R51" s="1"/>
      <c r="S51" s="1"/>
      <c r="T51" s="15" t="str">
        <f t="shared" si="2"/>
        <v/>
      </c>
      <c r="U51" s="15">
        <v>0</v>
      </c>
      <c r="V51" s="15">
        <v>0</v>
      </c>
      <c r="W51" s="15">
        <v>0</v>
      </c>
      <c r="X51" s="15">
        <v>0</v>
      </c>
      <c r="Y51" s="15">
        <v>0</v>
      </c>
    </row>
    <row r="52" spans="1:25" ht="12.75" customHeight="1" x14ac:dyDescent="0.2">
      <c r="A52" s="23" t="s">
        <v>57</v>
      </c>
      <c r="B52" s="2" t="str">
        <f>A52&amp;COUNTIF($A$2:$A52,A52)</f>
        <v>Elven Union2</v>
      </c>
      <c r="C52" s="2" t="s">
        <v>319</v>
      </c>
      <c r="D52" s="2" t="str">
        <f t="shared" si="0"/>
        <v>Elven UnionLineman</v>
      </c>
      <c r="E52" s="2">
        <v>6</v>
      </c>
      <c r="F52" s="2">
        <v>3</v>
      </c>
      <c r="G52" s="2">
        <v>2</v>
      </c>
      <c r="H52" s="2">
        <v>4</v>
      </c>
      <c r="I52" s="2">
        <v>8</v>
      </c>
      <c r="J52" s="2" t="str">
        <f>IF('Pack Protajer'!$J$24="Español",V52,(IF('Pack Protajer'!$J$24="Deutsch",W52,(IF('Pack Protajer'!$J$24="Français",X52,U52)))))</f>
        <v/>
      </c>
      <c r="K52" s="1">
        <v>60000</v>
      </c>
      <c r="L52" s="1">
        <f t="shared" si="1"/>
        <v>60</v>
      </c>
      <c r="M52" s="1">
        <v>16</v>
      </c>
      <c r="N52" s="1">
        <v>0</v>
      </c>
      <c r="O52" s="1" t="s">
        <v>170</v>
      </c>
      <c r="P52" s="1" t="s">
        <v>170</v>
      </c>
      <c r="Q52" s="1" t="s">
        <v>169</v>
      </c>
      <c r="R52" s="1">
        <v>0</v>
      </c>
      <c r="S52" s="1">
        <v>0</v>
      </c>
      <c r="T52" s="15" t="str">
        <f t="shared" si="2"/>
        <v>PM</v>
      </c>
      <c r="U52" s="15" t="str">
        <f t="shared" ref="U52:Y52" si="6">""</f>
        <v/>
      </c>
      <c r="V52" s="15" t="str">
        <f t="shared" si="6"/>
        <v/>
      </c>
      <c r="W52" s="15" t="str">
        <f t="shared" si="6"/>
        <v/>
      </c>
      <c r="X52" s="15" t="str">
        <f t="shared" si="6"/>
        <v/>
      </c>
      <c r="Y52" s="15" t="str">
        <f t="shared" si="6"/>
        <v/>
      </c>
    </row>
    <row r="53" spans="1:25" ht="12.75" customHeight="1" x14ac:dyDescent="0.2">
      <c r="A53" s="23" t="s">
        <v>57</v>
      </c>
      <c r="B53" s="2" t="str">
        <f>A53&amp;COUNTIF($A$2:$A53,A53)</f>
        <v>Elven Union3</v>
      </c>
      <c r="C53" s="2" t="s">
        <v>241</v>
      </c>
      <c r="D53" s="2" t="str">
        <f t="shared" si="0"/>
        <v>Elven UnionThrower</v>
      </c>
      <c r="E53" s="2">
        <v>6</v>
      </c>
      <c r="F53" s="2">
        <v>3</v>
      </c>
      <c r="G53" s="2">
        <v>2</v>
      </c>
      <c r="H53" s="2">
        <v>2</v>
      </c>
      <c r="I53" s="2">
        <v>8</v>
      </c>
      <c r="J53" s="2" t="str">
        <f>IF('Pack Protajer'!$J$24="Español",V53,(IF('Pack Protajer'!$J$24="Deutsch",W53,(IF('Pack Protajer'!$J$24="Français",X53,U53)))))</f>
        <v>Pasar</v>
      </c>
      <c r="K53" s="1">
        <v>75000</v>
      </c>
      <c r="L53" s="1">
        <f t="shared" si="1"/>
        <v>75</v>
      </c>
      <c r="M53" s="7">
        <v>2</v>
      </c>
      <c r="N53" s="7">
        <v>0</v>
      </c>
      <c r="O53" s="1" t="s">
        <v>170</v>
      </c>
      <c r="P53" s="1" t="s">
        <v>170</v>
      </c>
      <c r="Q53" s="1" t="s">
        <v>169</v>
      </c>
      <c r="R53" s="1" t="s">
        <v>170</v>
      </c>
      <c r="S53" s="1">
        <v>0</v>
      </c>
      <c r="T53" s="15" t="str">
        <f t="shared" si="2"/>
        <v>M</v>
      </c>
      <c r="U53" s="15" t="s">
        <v>356</v>
      </c>
      <c r="V53" s="15" t="s">
        <v>357</v>
      </c>
      <c r="W53" s="15" t="s">
        <v>358</v>
      </c>
      <c r="X53" s="15" t="s">
        <v>359</v>
      </c>
      <c r="Y53" s="15"/>
    </row>
    <row r="54" spans="1:25" ht="12.75" customHeight="1" x14ac:dyDescent="0.2">
      <c r="A54" s="23" t="s">
        <v>57</v>
      </c>
      <c r="B54" s="2" t="str">
        <f>A54&amp;COUNTIF($A$2:$A54,A54)</f>
        <v>Elven Union4</v>
      </c>
      <c r="C54" s="2" t="s">
        <v>242</v>
      </c>
      <c r="D54" s="2" t="str">
        <f t="shared" si="0"/>
        <v>Elven UnionCatcher</v>
      </c>
      <c r="E54" s="2">
        <v>8</v>
      </c>
      <c r="F54" s="2">
        <v>3</v>
      </c>
      <c r="G54" s="2">
        <v>2</v>
      </c>
      <c r="H54" s="2">
        <v>4</v>
      </c>
      <c r="I54" s="2">
        <v>8</v>
      </c>
      <c r="J54" s="2" t="str">
        <f>IF('Pack Protajer'!$J$24="Español",V54,(IF('Pack Protajer'!$J$24="Deutsch",W54,(IF('Pack Protajer'!$J$24="Français",X54,U54)))))</f>
        <v>Atrapar, Nervios de acero</v>
      </c>
      <c r="K54" s="1">
        <v>100000</v>
      </c>
      <c r="L54" s="1">
        <f t="shared" si="1"/>
        <v>100</v>
      </c>
      <c r="M54" s="2">
        <v>4</v>
      </c>
      <c r="N54" s="2">
        <v>0</v>
      </c>
      <c r="O54" s="1" t="s">
        <v>170</v>
      </c>
      <c r="P54" s="1" t="s">
        <v>170</v>
      </c>
      <c r="Q54" s="1" t="s">
        <v>169</v>
      </c>
      <c r="R54" s="1">
        <v>0</v>
      </c>
      <c r="S54" s="1">
        <v>0</v>
      </c>
      <c r="T54" s="15" t="str">
        <f t="shared" si="2"/>
        <v>PM</v>
      </c>
      <c r="U54" s="15" t="s">
        <v>360</v>
      </c>
      <c r="V54" s="15" t="s">
        <v>361</v>
      </c>
      <c r="W54" s="15" t="s">
        <v>362</v>
      </c>
      <c r="X54" s="15" t="s">
        <v>363</v>
      </c>
      <c r="Y54" s="15"/>
    </row>
    <row r="55" spans="1:25" ht="12.75" customHeight="1" x14ac:dyDescent="0.2">
      <c r="A55" s="23" t="s">
        <v>57</v>
      </c>
      <c r="B55" s="2" t="str">
        <f>A55&amp;COUNTIF($A$2:$A55,A55)</f>
        <v>Elven Union5</v>
      </c>
      <c r="C55" s="2" t="s">
        <v>243</v>
      </c>
      <c r="D55" s="2" t="str">
        <f t="shared" si="0"/>
        <v>Elven UnionBlitzer</v>
      </c>
      <c r="E55" s="2">
        <v>7</v>
      </c>
      <c r="F55" s="2">
        <v>3</v>
      </c>
      <c r="G55" s="2">
        <v>2</v>
      </c>
      <c r="H55" s="2">
        <v>3</v>
      </c>
      <c r="I55" s="2">
        <v>9</v>
      </c>
      <c r="J55" s="2" t="str">
        <f>IF('Pack Protajer'!$J$24="Español",V55,(IF('Pack Protajer'!$J$24="Deutsch",W55,(IF('Pack Protajer'!$J$24="Français",X55,U55)))))</f>
        <v>Placar, Echarse a un lado</v>
      </c>
      <c r="K55" s="1">
        <v>115000</v>
      </c>
      <c r="L55" s="1">
        <f t="shared" si="1"/>
        <v>115</v>
      </c>
      <c r="M55" s="2">
        <v>2</v>
      </c>
      <c r="N55" s="2">
        <v>0</v>
      </c>
      <c r="O55" s="1" t="s">
        <v>170</v>
      </c>
      <c r="P55" s="1" t="s">
        <v>170</v>
      </c>
      <c r="Q55" s="1" t="s">
        <v>169</v>
      </c>
      <c r="R55" s="1" t="s">
        <v>169</v>
      </c>
      <c r="S55" s="1">
        <v>0</v>
      </c>
      <c r="T55" s="15" t="str">
        <f t="shared" si="2"/>
        <v>M</v>
      </c>
      <c r="U55" s="15" t="s">
        <v>364</v>
      </c>
      <c r="V55" s="15" t="s">
        <v>365</v>
      </c>
      <c r="W55" s="15" t="s">
        <v>366</v>
      </c>
      <c r="X55" s="15" t="s">
        <v>367</v>
      </c>
      <c r="Y55" s="15"/>
    </row>
    <row r="56" spans="1:25" ht="12.75" customHeight="1" x14ac:dyDescent="0.2">
      <c r="A56" s="23" t="s">
        <v>62</v>
      </c>
      <c r="B56" s="2" t="str">
        <f>A56&amp;COUNTIF($A$2:$A56,A56)</f>
        <v>Goblin1</v>
      </c>
      <c r="C56" s="2" t="str">
        <f>""</f>
        <v/>
      </c>
      <c r="D56" s="2" t="str">
        <f t="shared" si="0"/>
        <v>Goblin</v>
      </c>
      <c r="E56" s="2">
        <v>0</v>
      </c>
      <c r="F56" s="2">
        <v>0</v>
      </c>
      <c r="G56" s="2">
        <v>0</v>
      </c>
      <c r="H56" s="2">
        <v>0</v>
      </c>
      <c r="I56" s="2">
        <v>0</v>
      </c>
      <c r="J56" s="2">
        <f>IF('Pack Protajer'!$J$24="Español",V56,(IF('Pack Protajer'!$J$24="Deutsch",W56,(IF('Pack Protajer'!$J$24="Français",X56,U56)))))</f>
        <v>0</v>
      </c>
      <c r="K56" s="1">
        <v>0</v>
      </c>
      <c r="L56" s="1">
        <f t="shared" si="1"/>
        <v>0</v>
      </c>
      <c r="M56" s="1">
        <v>0</v>
      </c>
      <c r="N56" s="1">
        <v>0</v>
      </c>
      <c r="O56" s="1"/>
      <c r="P56" s="1"/>
      <c r="Q56" s="1"/>
      <c r="R56" s="1"/>
      <c r="S56" s="1"/>
      <c r="T56" s="15" t="str">
        <f t="shared" si="2"/>
        <v/>
      </c>
      <c r="U56" s="15">
        <v>0</v>
      </c>
      <c r="V56" s="15">
        <v>0</v>
      </c>
      <c r="W56" s="15">
        <v>0</v>
      </c>
      <c r="X56" s="15">
        <v>0</v>
      </c>
      <c r="Y56" s="15">
        <v>0</v>
      </c>
    </row>
    <row r="57" spans="1:25" ht="12.75" customHeight="1" x14ac:dyDescent="0.2">
      <c r="A57" s="23" t="s">
        <v>62</v>
      </c>
      <c r="B57" s="2" t="str">
        <f>A57&amp;COUNTIF($A$2:$A57,A57)</f>
        <v>Goblin2</v>
      </c>
      <c r="C57" s="2" t="s">
        <v>62</v>
      </c>
      <c r="D57" s="2" t="str">
        <f t="shared" si="0"/>
        <v>GoblinGoblin</v>
      </c>
      <c r="E57" s="2">
        <v>6</v>
      </c>
      <c r="F57" s="2">
        <v>2</v>
      </c>
      <c r="G57" s="2">
        <v>3</v>
      </c>
      <c r="H57" s="2">
        <v>4</v>
      </c>
      <c r="I57" s="2">
        <v>8</v>
      </c>
      <c r="J57" s="2" t="str">
        <f>IF('Pack Protajer'!$J$24="Español",V57,(IF('Pack Protajer'!$J$24="Deutsch",W57,(IF('Pack Protajer'!$J$24="Français",X57,U57)))))</f>
        <v>Esquivar, Humanoide bala, Escurridizo</v>
      </c>
      <c r="K57" s="1">
        <v>40000</v>
      </c>
      <c r="L57" s="1">
        <f t="shared" si="1"/>
        <v>40</v>
      </c>
      <c r="M57" s="1">
        <v>16</v>
      </c>
      <c r="N57" s="1">
        <v>0</v>
      </c>
      <c r="O57" s="1" t="s">
        <v>169</v>
      </c>
      <c r="P57" s="1" t="s">
        <v>170</v>
      </c>
      <c r="Q57" s="1" t="s">
        <v>169</v>
      </c>
      <c r="R57" s="1" t="s">
        <v>169</v>
      </c>
      <c r="S57" s="1">
        <v>0</v>
      </c>
      <c r="T57" s="15" t="str">
        <f t="shared" si="2"/>
        <v>M</v>
      </c>
      <c r="U57" s="15" t="s">
        <v>368</v>
      </c>
      <c r="V57" s="15" t="s">
        <v>369</v>
      </c>
      <c r="W57" s="15" t="s">
        <v>370</v>
      </c>
      <c r="X57" s="15" t="s">
        <v>371</v>
      </c>
      <c r="Y57" s="15"/>
    </row>
    <row r="58" spans="1:25" ht="12.75" customHeight="1" x14ac:dyDescent="0.2">
      <c r="A58" s="23" t="s">
        <v>62</v>
      </c>
      <c r="B58" s="2" t="str">
        <f>A58&amp;COUNTIF($A$2:$A58,A58)</f>
        <v>Goblin3</v>
      </c>
      <c r="C58" s="2" t="s">
        <v>372</v>
      </c>
      <c r="D58" s="2" t="str">
        <f t="shared" si="0"/>
        <v>GoblinBombardier</v>
      </c>
      <c r="E58" s="2">
        <v>6</v>
      </c>
      <c r="F58" s="2">
        <v>2</v>
      </c>
      <c r="G58" s="2">
        <v>3</v>
      </c>
      <c r="H58" s="2">
        <v>4</v>
      </c>
      <c r="I58" s="2">
        <v>8</v>
      </c>
      <c r="J58" s="2" t="str">
        <f>IF('Pack Protajer'!$J$24="Español",V58,(IF('Pack Protajer'!$J$24="Deutsch",W58,(IF('Pack Protajer'!$J$24="Français",X58,U58)))))</f>
        <v>Bombardero, Esquivar, Arma secreta, Escurridizo</v>
      </c>
      <c r="K58" s="1">
        <v>45000</v>
      </c>
      <c r="L58" s="1">
        <f t="shared" si="1"/>
        <v>45</v>
      </c>
      <c r="M58" s="1">
        <v>1</v>
      </c>
      <c r="N58" s="1">
        <v>0</v>
      </c>
      <c r="O58" s="1" t="s">
        <v>169</v>
      </c>
      <c r="P58" s="1" t="s">
        <v>170</v>
      </c>
      <c r="Q58" s="1" t="s">
        <v>169</v>
      </c>
      <c r="R58" s="1" t="s">
        <v>170</v>
      </c>
      <c r="S58" s="1">
        <v>0</v>
      </c>
      <c r="T58" s="15" t="str">
        <f t="shared" si="2"/>
        <v>M</v>
      </c>
      <c r="U58" s="15" t="s">
        <v>373</v>
      </c>
      <c r="V58" s="15" t="s">
        <v>374</v>
      </c>
      <c r="W58" s="15" t="s">
        <v>375</v>
      </c>
      <c r="X58" s="15" t="s">
        <v>376</v>
      </c>
      <c r="Y58" s="15"/>
    </row>
    <row r="59" spans="1:25" ht="12.75" customHeight="1" x14ac:dyDescent="0.2">
      <c r="A59" s="23" t="s">
        <v>62</v>
      </c>
      <c r="B59" s="2" t="str">
        <f>A59&amp;COUNTIF($A$2:$A59,A59)</f>
        <v>Goblin4</v>
      </c>
      <c r="C59" s="2" t="s">
        <v>377</v>
      </c>
      <c r="D59" s="2" t="str">
        <f t="shared" si="0"/>
        <v>GoblinLooney</v>
      </c>
      <c r="E59" s="2">
        <v>6</v>
      </c>
      <c r="F59" s="2">
        <v>2</v>
      </c>
      <c r="G59" s="2">
        <v>3</v>
      </c>
      <c r="H59" s="2">
        <v>0</v>
      </c>
      <c r="I59" s="2">
        <v>8</v>
      </c>
      <c r="J59" s="2" t="str">
        <f>IF('Pack Protajer'!$J$24="Español",V59,(IF('Pack Protajer'!$J$24="Deutsch",W59,(IF('Pack Protajer'!$J$24="Français",X59,U59)))))</f>
        <v>Motosierra, Arma secreta, Escurridizo</v>
      </c>
      <c r="K59" s="1">
        <v>40000</v>
      </c>
      <c r="L59" s="1">
        <f t="shared" si="1"/>
        <v>40</v>
      </c>
      <c r="M59" s="1">
        <v>1</v>
      </c>
      <c r="N59" s="1">
        <v>0</v>
      </c>
      <c r="O59" s="1" t="s">
        <v>169</v>
      </c>
      <c r="P59" s="1" t="s">
        <v>170</v>
      </c>
      <c r="Q59" s="1" t="s">
        <v>169</v>
      </c>
      <c r="R59" s="12">
        <v>0</v>
      </c>
      <c r="S59" s="1">
        <v>0</v>
      </c>
      <c r="T59" s="15" t="str">
        <f t="shared" si="2"/>
        <v>PM</v>
      </c>
      <c r="U59" s="15" t="s">
        <v>378</v>
      </c>
      <c r="V59" s="15" t="s">
        <v>379</v>
      </c>
      <c r="W59" s="15" t="s">
        <v>380</v>
      </c>
      <c r="X59" s="15" t="s">
        <v>381</v>
      </c>
      <c r="Y59" s="15"/>
    </row>
    <row r="60" spans="1:25" ht="12.75" customHeight="1" x14ac:dyDescent="0.2">
      <c r="A60" s="23" t="s">
        <v>62</v>
      </c>
      <c r="B60" s="2" t="str">
        <f>A60&amp;COUNTIF($A$2:$A60,A60)</f>
        <v>Goblin5</v>
      </c>
      <c r="C60" s="2" t="s">
        <v>382</v>
      </c>
      <c r="D60" s="2" t="str">
        <f t="shared" si="0"/>
        <v>GoblinDoom Diver</v>
      </c>
      <c r="E60" s="2">
        <v>6</v>
      </c>
      <c r="F60" s="2">
        <v>2</v>
      </c>
      <c r="G60" s="2">
        <v>3</v>
      </c>
      <c r="H60" s="2">
        <v>6</v>
      </c>
      <c r="I60" s="2">
        <v>8</v>
      </c>
      <c r="J60" s="2" t="str">
        <f>IF('Pack Protajer'!$J$24="Español",V60,(IF('Pack Protajer'!$J$24="Deutsch",W60,(IF('Pack Protajer'!$J$24="Français",X60,U60)))))</f>
        <v>Humanoide bala, Escurridizo, Planear</v>
      </c>
      <c r="K60" s="1">
        <v>60000</v>
      </c>
      <c r="L60" s="1">
        <f t="shared" si="1"/>
        <v>60</v>
      </c>
      <c r="M60" s="7">
        <v>1</v>
      </c>
      <c r="N60" s="7">
        <v>0</v>
      </c>
      <c r="O60" s="1" t="s">
        <v>169</v>
      </c>
      <c r="P60" s="1" t="s">
        <v>170</v>
      </c>
      <c r="Q60" s="1" t="s">
        <v>169</v>
      </c>
      <c r="R60" s="1">
        <v>0</v>
      </c>
      <c r="S60" s="1">
        <v>0</v>
      </c>
      <c r="T60" s="15" t="str">
        <f t="shared" si="2"/>
        <v>PM</v>
      </c>
      <c r="U60" s="15" t="s">
        <v>383</v>
      </c>
      <c r="V60" s="15" t="s">
        <v>384</v>
      </c>
      <c r="W60" s="15" t="s">
        <v>385</v>
      </c>
      <c r="X60" s="15" t="s">
        <v>386</v>
      </c>
      <c r="Y60" s="15"/>
    </row>
    <row r="61" spans="1:25" ht="12.75" customHeight="1" x14ac:dyDescent="0.2">
      <c r="A61" s="23" t="s">
        <v>62</v>
      </c>
      <c r="B61" s="2" t="str">
        <f>A61&amp;COUNTIF($A$2:$A61,A61)</f>
        <v>Goblin6</v>
      </c>
      <c r="C61" s="2" t="s">
        <v>387</v>
      </c>
      <c r="D61" s="2" t="str">
        <f t="shared" si="0"/>
        <v>GoblinOoligan</v>
      </c>
      <c r="E61" s="2">
        <v>6</v>
      </c>
      <c r="F61" s="2">
        <v>2</v>
      </c>
      <c r="G61" s="2">
        <v>3</v>
      </c>
      <c r="H61" s="2">
        <v>6</v>
      </c>
      <c r="I61" s="2">
        <v>8</v>
      </c>
      <c r="J61" s="2" t="str">
        <f>IF('Pack Protajer'!$J$24="Español",V61,(IF('Pack Protajer'!$J$24="Deutsch",W61,(IF('Pack Protajer'!$J$24="Français",X61,U61)))))</f>
        <v>Juego sucio (+1), Presencia perturbadora, Esquivar, Humanoide bala, Escurridizo</v>
      </c>
      <c r="K61" s="1">
        <v>65000</v>
      </c>
      <c r="L61" s="1">
        <f t="shared" si="1"/>
        <v>65</v>
      </c>
      <c r="M61" s="2">
        <v>1</v>
      </c>
      <c r="N61" s="2">
        <v>0</v>
      </c>
      <c r="O61" s="1" t="s">
        <v>169</v>
      </c>
      <c r="P61" s="1" t="s">
        <v>170</v>
      </c>
      <c r="Q61" s="1" t="s">
        <v>169</v>
      </c>
      <c r="R61" s="1" t="s">
        <v>169</v>
      </c>
      <c r="S61" s="1">
        <v>0</v>
      </c>
      <c r="T61" s="15" t="str">
        <f t="shared" si="2"/>
        <v>M</v>
      </c>
      <c r="U61" s="15" t="s">
        <v>388</v>
      </c>
      <c r="V61" s="15" t="s">
        <v>389</v>
      </c>
      <c r="W61" s="15" t="s">
        <v>390</v>
      </c>
      <c r="X61" s="15" t="s">
        <v>391</v>
      </c>
      <c r="Y61" s="15"/>
    </row>
    <row r="62" spans="1:25" ht="12.75" customHeight="1" x14ac:dyDescent="0.2">
      <c r="A62" s="23" t="s">
        <v>62</v>
      </c>
      <c r="B62" s="2" t="str">
        <f>A62&amp;COUNTIF($A$2:$A62,A62)</f>
        <v>Goblin7</v>
      </c>
      <c r="C62" s="2" t="s">
        <v>392</v>
      </c>
      <c r="D62" s="2" t="str">
        <f t="shared" si="0"/>
        <v xml:space="preserve">GoblinFanatic </v>
      </c>
      <c r="E62" s="2">
        <v>3</v>
      </c>
      <c r="F62" s="2">
        <v>7</v>
      </c>
      <c r="G62" s="2">
        <v>3</v>
      </c>
      <c r="H62" s="2">
        <v>0</v>
      </c>
      <c r="I62" s="2">
        <v>8</v>
      </c>
      <c r="J62" s="2" t="str">
        <f>IF('Pack Protajer'!$J$24="Español",V62,(IF('Pack Protajer'!$J$24="Deutsch",W62,(IF('Pack Protajer'!$J$24="Français",X62,U62)))))</f>
        <v>Bola y cadena, Sin manos, Arma secreta, Escurridizo</v>
      </c>
      <c r="K62" s="1">
        <v>70000</v>
      </c>
      <c r="L62" s="1">
        <f t="shared" si="1"/>
        <v>70</v>
      </c>
      <c r="M62" s="2">
        <v>1</v>
      </c>
      <c r="N62" s="2">
        <v>0</v>
      </c>
      <c r="O62" s="1" t="s">
        <v>169</v>
      </c>
      <c r="P62" s="1" t="s">
        <v>169</v>
      </c>
      <c r="Q62" s="1" t="s">
        <v>170</v>
      </c>
      <c r="R62" s="12">
        <v>0</v>
      </c>
      <c r="S62" s="1">
        <v>0</v>
      </c>
      <c r="T62" s="15" t="str">
        <f t="shared" si="2"/>
        <v>PM</v>
      </c>
      <c r="U62" s="15" t="s">
        <v>393</v>
      </c>
      <c r="V62" s="15" t="s">
        <v>394</v>
      </c>
      <c r="W62" s="15" t="s">
        <v>395</v>
      </c>
      <c r="X62" s="15" t="s">
        <v>396</v>
      </c>
      <c r="Y62" s="15"/>
    </row>
    <row r="63" spans="1:25" ht="12.75" customHeight="1" x14ac:dyDescent="0.2">
      <c r="A63" s="23" t="s">
        <v>62</v>
      </c>
      <c r="B63" s="2" t="str">
        <f>A63&amp;COUNTIF($A$2:$A63,A63)</f>
        <v>Goblin8</v>
      </c>
      <c r="C63" s="2" t="s">
        <v>397</v>
      </c>
      <c r="D63" s="2" t="str">
        <f t="shared" si="0"/>
        <v>GoblinPogoer</v>
      </c>
      <c r="E63" s="2">
        <v>7</v>
      </c>
      <c r="F63" s="2">
        <v>2</v>
      </c>
      <c r="G63" s="2">
        <v>3</v>
      </c>
      <c r="H63" s="2">
        <v>5</v>
      </c>
      <c r="I63" s="2">
        <v>8</v>
      </c>
      <c r="J63" s="2" t="str">
        <f>IF('Pack Protajer'!$J$24="Español",V63,(IF('Pack Protajer'!$J$24="Deutsch",W63,(IF('Pack Protajer'!$J$24="Français",X63,U63)))))</f>
        <v>Esquivar, Pogo saltarín, Escurridizo</v>
      </c>
      <c r="K63" s="1">
        <v>75000</v>
      </c>
      <c r="L63" s="1">
        <f t="shared" si="1"/>
        <v>75</v>
      </c>
      <c r="M63" s="2">
        <v>1</v>
      </c>
      <c r="N63" s="2">
        <v>0</v>
      </c>
      <c r="O63" s="1" t="s">
        <v>169</v>
      </c>
      <c r="P63" s="1" t="s">
        <v>170</v>
      </c>
      <c r="Q63" s="1" t="s">
        <v>169</v>
      </c>
      <c r="R63" s="1" t="s">
        <v>169</v>
      </c>
      <c r="S63" s="1">
        <v>0</v>
      </c>
      <c r="T63" s="15" t="str">
        <f t="shared" si="2"/>
        <v>M</v>
      </c>
      <c r="U63" s="15" t="s">
        <v>398</v>
      </c>
      <c r="V63" s="15" t="s">
        <v>399</v>
      </c>
      <c r="W63" s="15" t="s">
        <v>400</v>
      </c>
      <c r="X63" s="15" t="s">
        <v>401</v>
      </c>
      <c r="Y63" s="15"/>
    </row>
    <row r="64" spans="1:25" ht="12.75" customHeight="1" x14ac:dyDescent="0.2">
      <c r="A64" s="23" t="s">
        <v>62</v>
      </c>
      <c r="B64" s="2" t="str">
        <f>A64&amp;COUNTIF($A$2:$A64,A64)</f>
        <v>Goblin9</v>
      </c>
      <c r="C64" s="2" t="s">
        <v>402</v>
      </c>
      <c r="D64" s="2" t="str">
        <f t="shared" si="0"/>
        <v xml:space="preserve">GoblinTroll </v>
      </c>
      <c r="E64" s="2">
        <v>4</v>
      </c>
      <c r="F64" s="2">
        <v>5</v>
      </c>
      <c r="G64" s="2">
        <v>5</v>
      </c>
      <c r="H64" s="2">
        <v>5</v>
      </c>
      <c r="I64" s="2">
        <v>10</v>
      </c>
      <c r="J64" s="2" t="str">
        <f>IF('Pack Protajer'!$J$24="Español",V64,(IF('Pack Protajer'!$J$24="Deutsch",W64,(IF('Pack Protajer'!$J$24="Français",X64,U64)))))</f>
        <v>Siempre hambriento, Solitario (3+), Golpe mortífero (+1), Proyectil de vómito, Realmente estúpido, Regeneración, Lanzar compañero</v>
      </c>
      <c r="K64" s="1">
        <v>115000</v>
      </c>
      <c r="L64" s="1">
        <f t="shared" si="1"/>
        <v>115</v>
      </c>
      <c r="M64" s="2">
        <v>2</v>
      </c>
      <c r="N64" s="2">
        <v>1</v>
      </c>
      <c r="O64" s="1" t="s">
        <v>169</v>
      </c>
      <c r="P64" s="1" t="s">
        <v>169</v>
      </c>
      <c r="Q64" s="1" t="s">
        <v>170</v>
      </c>
      <c r="R64" s="1" t="s">
        <v>169</v>
      </c>
      <c r="S64" s="1">
        <v>0</v>
      </c>
      <c r="T64" s="15" t="str">
        <f t="shared" si="2"/>
        <v>M</v>
      </c>
      <c r="U64" s="15" t="s">
        <v>254</v>
      </c>
      <c r="V64" s="15" t="s">
        <v>255</v>
      </c>
      <c r="W64" s="15" t="s">
        <v>256</v>
      </c>
      <c r="X64" s="15" t="s">
        <v>257</v>
      </c>
      <c r="Y64" s="15"/>
    </row>
    <row r="65" spans="1:25" ht="12.75" customHeight="1" x14ac:dyDescent="0.2">
      <c r="A65" s="23" t="s">
        <v>1431</v>
      </c>
      <c r="B65" s="2" t="str">
        <f>A65&amp;COUNTIF($A$2:$A65,A65)</f>
        <v>Gnome1</v>
      </c>
      <c r="C65" s="2"/>
      <c r="D65" s="2" t="str">
        <f t="shared" si="0"/>
        <v>Gnome</v>
      </c>
      <c r="E65" s="2">
        <v>0</v>
      </c>
      <c r="F65" s="2">
        <v>0</v>
      </c>
      <c r="G65" s="2">
        <v>0</v>
      </c>
      <c r="H65" s="2">
        <v>0</v>
      </c>
      <c r="I65" s="2">
        <v>0</v>
      </c>
      <c r="J65" s="2">
        <f>IF('Pack Protajer'!$J$24="Español",V65,(IF('Pack Protajer'!$J$24="Deutsch",W65,(IF('Pack Protajer'!$J$24="Français",X65,U65)))))</f>
        <v>0</v>
      </c>
      <c r="K65" s="1">
        <v>0</v>
      </c>
      <c r="L65" s="1">
        <f t="shared" si="1"/>
        <v>0</v>
      </c>
      <c r="M65" s="2">
        <v>0</v>
      </c>
      <c r="N65" s="2">
        <v>0</v>
      </c>
      <c r="O65" s="1"/>
      <c r="P65" s="1"/>
      <c r="Q65" s="1"/>
      <c r="R65" s="1"/>
      <c r="S65" s="1"/>
      <c r="T65" s="15" t="str">
        <f>IF(K65=0,"",(IF(O65=0,"GPSM",(IF(AND(R65=0,S65=0),"PM",(IF(S65=0,"M",(IF(R65=0,"P","FULL")))))))))</f>
        <v/>
      </c>
      <c r="U65" s="15"/>
      <c r="V65" s="15"/>
      <c r="W65" s="15"/>
      <c r="X65" s="15"/>
      <c r="Y65" s="15"/>
    </row>
    <row r="66" spans="1:25" ht="12.75" customHeight="1" x14ac:dyDescent="0.2">
      <c r="A66" s="23" t="s">
        <v>1431</v>
      </c>
      <c r="B66" s="2" t="str">
        <f>A66&amp;COUNTIF($A$2:$A66,A66)</f>
        <v>Gnome2</v>
      </c>
      <c r="C66" s="2" t="s">
        <v>319</v>
      </c>
      <c r="D66" s="2" t="str">
        <f t="shared" si="0"/>
        <v>GnomeLineman</v>
      </c>
      <c r="E66" s="2">
        <v>5</v>
      </c>
      <c r="F66" s="2">
        <v>2</v>
      </c>
      <c r="G66" s="2">
        <v>3</v>
      </c>
      <c r="H66" s="2">
        <v>4</v>
      </c>
      <c r="I66" s="2">
        <v>7</v>
      </c>
      <c r="J66" s="2" t="str">
        <f>IF('Pack Protajer'!$J$24="Español",V66,(IF('Pack Protajer'!$J$24="Deutsch",W66,(IF('Pack Protajer'!$J$24="Français",X66,U66)))))</f>
        <v>En pie de un salto, Humanoide bala, Escurridizo, Forcejear</v>
      </c>
      <c r="K66" s="1">
        <v>40000</v>
      </c>
      <c r="L66" s="1">
        <f t="shared" si="1"/>
        <v>40</v>
      </c>
      <c r="M66" s="2">
        <v>16</v>
      </c>
      <c r="N66" s="2">
        <v>0</v>
      </c>
      <c r="O66" s="1" t="s">
        <v>169</v>
      </c>
      <c r="P66" s="1" t="s">
        <v>170</v>
      </c>
      <c r="Q66" s="1" t="s">
        <v>169</v>
      </c>
      <c r="R66" s="1" t="s">
        <v>169</v>
      </c>
      <c r="S66" s="1">
        <v>0</v>
      </c>
      <c r="T66" s="15" t="str">
        <f>IF(K66=0,"",(IF(O66=0,"GPSM",(IF(AND(R66=0,S66=0),"PM",(IF(S66=0,"M",(IF(R66=0,"P","FULL")))))))))</f>
        <v>M</v>
      </c>
      <c r="U66" s="15" t="s">
        <v>1437</v>
      </c>
      <c r="V66" s="15" t="s">
        <v>1441</v>
      </c>
      <c r="W66" s="15" t="s">
        <v>1442</v>
      </c>
      <c r="X66" s="15" t="s">
        <v>1443</v>
      </c>
      <c r="Y66" s="15"/>
    </row>
    <row r="67" spans="1:25" ht="12.75" customHeight="1" x14ac:dyDescent="0.2">
      <c r="A67" s="23" t="s">
        <v>1431</v>
      </c>
      <c r="B67" s="2" t="str">
        <f>A67&amp;COUNTIF($A$2:$A67,A67)</f>
        <v>Gnome3</v>
      </c>
      <c r="C67" s="2" t="s">
        <v>1433</v>
      </c>
      <c r="D67" s="2" t="str">
        <f t="shared" si="0"/>
        <v>GnomeIllusionist</v>
      </c>
      <c r="E67" s="2">
        <v>5</v>
      </c>
      <c r="F67" s="2">
        <v>2</v>
      </c>
      <c r="G67" s="2">
        <v>3</v>
      </c>
      <c r="H67" s="2">
        <v>3</v>
      </c>
      <c r="I67" s="2">
        <v>7</v>
      </c>
      <c r="J67" s="2" t="str">
        <f>IF('Pack Protajer'!$J$24="Español",V67,(IF('Pack Protajer'!$J$24="Deutsch",W67,(IF('Pack Protajer'!$J$24="Français",X67,U67)))))</f>
        <v>En pie de un salto, Escurridizo, Embaucador, Forcejear</v>
      </c>
      <c r="K67" s="1">
        <v>50000</v>
      </c>
      <c r="L67" s="1">
        <f t="shared" si="1"/>
        <v>50</v>
      </c>
      <c r="M67" s="2">
        <v>2</v>
      </c>
      <c r="N67" s="2">
        <v>0</v>
      </c>
      <c r="O67" s="1" t="s">
        <v>169</v>
      </c>
      <c r="P67" s="1" t="s">
        <v>170</v>
      </c>
      <c r="Q67" s="1" t="s">
        <v>169</v>
      </c>
      <c r="R67" s="1" t="s">
        <v>169</v>
      </c>
      <c r="S67" s="1">
        <v>0</v>
      </c>
      <c r="T67" s="15" t="str">
        <f t="shared" ref="T67:T130" si="7">IF(K67=0,"",(IF(O67=0,"GPSM",(IF(AND(R67=0,S67=0),"PM",(IF(S67=0,"M",(IF(R67=0,"P","FULL")))))))))</f>
        <v>M</v>
      </c>
      <c r="U67" s="15" t="s">
        <v>1438</v>
      </c>
      <c r="V67" s="15" t="s">
        <v>1491</v>
      </c>
      <c r="W67" s="15" t="s">
        <v>1492</v>
      </c>
      <c r="X67" s="15" t="s">
        <v>1493</v>
      </c>
      <c r="Y67" s="15"/>
    </row>
    <row r="68" spans="1:25" ht="12.75" customHeight="1" x14ac:dyDescent="0.2">
      <c r="A68" s="23" t="s">
        <v>1431</v>
      </c>
      <c r="B68" s="2" t="str">
        <f>A68&amp;COUNTIF($A$2:$A68,A68)</f>
        <v>Gnome4</v>
      </c>
      <c r="C68" s="2" t="s">
        <v>1434</v>
      </c>
      <c r="D68" s="2" t="str">
        <f t="shared" si="0"/>
        <v>GnomeWoodland Fox</v>
      </c>
      <c r="E68" s="2">
        <v>7</v>
      </c>
      <c r="F68" s="2">
        <v>2</v>
      </c>
      <c r="G68" s="2">
        <v>2</v>
      </c>
      <c r="H68" s="2">
        <v>0</v>
      </c>
      <c r="I68" s="2">
        <v>6</v>
      </c>
      <c r="J68" s="2" t="str">
        <f>IF('Pack Protajer'!$J$24="Español",V68,(IF('Pack Protajer'!$J$24="Deutsch",W68,(IF('Pack Protajer'!$J$24="Français",X68,U68)))))</f>
        <v>Esquivar, Mi balón, Echarse a un lado, Escurridizo</v>
      </c>
      <c r="K68" s="1">
        <v>50000</v>
      </c>
      <c r="L68" s="1">
        <f t="shared" si="1"/>
        <v>50</v>
      </c>
      <c r="M68" s="2">
        <v>2</v>
      </c>
      <c r="N68" s="2">
        <v>0</v>
      </c>
      <c r="O68" s="1">
        <v>0</v>
      </c>
      <c r="P68" s="1" t="s">
        <v>169</v>
      </c>
      <c r="Q68" s="1">
        <v>0</v>
      </c>
      <c r="R68" s="1">
        <v>0</v>
      </c>
      <c r="S68" s="1">
        <v>0</v>
      </c>
      <c r="T68" s="15" t="str">
        <f t="shared" si="7"/>
        <v>GPSM</v>
      </c>
      <c r="U68" s="15" t="s">
        <v>1439</v>
      </c>
      <c r="V68" s="15" t="s">
        <v>1444</v>
      </c>
      <c r="W68" s="15" t="s">
        <v>1445</v>
      </c>
      <c r="X68" s="15" t="s">
        <v>1446</v>
      </c>
      <c r="Y68" s="15"/>
    </row>
    <row r="69" spans="1:25" ht="12.75" customHeight="1" x14ac:dyDescent="0.2">
      <c r="A69" s="23" t="s">
        <v>1431</v>
      </c>
      <c r="B69" s="2" t="str">
        <f>A69&amp;COUNTIF($A$2:$A69,A69)</f>
        <v>Gnome5</v>
      </c>
      <c r="C69" s="2" t="s">
        <v>1435</v>
      </c>
      <c r="D69" s="2" t="str">
        <f t="shared" si="0"/>
        <v>GnomeBeastmaster</v>
      </c>
      <c r="E69" s="2">
        <v>5</v>
      </c>
      <c r="F69" s="2">
        <v>2</v>
      </c>
      <c r="G69" s="2">
        <v>3</v>
      </c>
      <c r="H69" s="2">
        <v>4</v>
      </c>
      <c r="I69" s="2">
        <v>8</v>
      </c>
      <c r="J69" s="2" t="str">
        <f>IF('Pack Protajer'!$J$24="Español",V69,(IF('Pack Protajer'!$J$24="Deutsch",W69,(IF('Pack Protajer'!$J$24="Français",X69,U69)))))</f>
        <v>Defensa, En pie de un salto, Escurridizo, Forcejear</v>
      </c>
      <c r="K69" s="1">
        <v>55000</v>
      </c>
      <c r="L69" s="1">
        <f t="shared" si="1"/>
        <v>55</v>
      </c>
      <c r="M69" s="2">
        <v>2</v>
      </c>
      <c r="N69" s="2">
        <v>0</v>
      </c>
      <c r="O69" s="1" t="s">
        <v>169</v>
      </c>
      <c r="P69" s="1" t="s">
        <v>170</v>
      </c>
      <c r="Q69" s="1" t="s">
        <v>169</v>
      </c>
      <c r="R69" s="1" t="s">
        <v>169</v>
      </c>
      <c r="S69" s="1">
        <v>0</v>
      </c>
      <c r="T69" s="15" t="str">
        <f t="shared" si="7"/>
        <v>M</v>
      </c>
      <c r="U69" s="15" t="s">
        <v>1440</v>
      </c>
      <c r="V69" s="15" t="s">
        <v>1447</v>
      </c>
      <c r="W69" s="15" t="s">
        <v>1448</v>
      </c>
      <c r="X69" s="15" t="s">
        <v>1449</v>
      </c>
      <c r="Y69" s="15"/>
    </row>
    <row r="70" spans="1:25" ht="12.75" customHeight="1" x14ac:dyDescent="0.2">
      <c r="A70" s="23" t="s">
        <v>1431</v>
      </c>
      <c r="B70" s="2" t="str">
        <f>A70&amp;COUNTIF($A$2:$A70,A70)</f>
        <v>Gnome6</v>
      </c>
      <c r="C70" s="2" t="s">
        <v>1436</v>
      </c>
      <c r="D70" s="2" t="str">
        <f t="shared" si="0"/>
        <v>GnomeAltern Forest Treeman</v>
      </c>
      <c r="E70" s="2">
        <v>2</v>
      </c>
      <c r="F70" s="2">
        <v>6</v>
      </c>
      <c r="G70" s="2">
        <v>5</v>
      </c>
      <c r="H70" s="2">
        <v>5</v>
      </c>
      <c r="I70" s="2">
        <v>11</v>
      </c>
      <c r="J70" s="2" t="str">
        <f>IF('Pack Protajer'!$J$24="Español",V70,(IF('Pack Protajer'!$J$24="Deutsch",W70,(IF('Pack Protajer'!$J$24="Français",X70,U70)))))</f>
        <v>Golpe mortífero (+1), Mantenerse firme, Brazo fuerte, Echar raíces, Cabeza dura, Lanzar compañero, ¡Tronco va!</v>
      </c>
      <c r="K70" s="1">
        <v>120000</v>
      </c>
      <c r="L70" s="1">
        <f t="shared" si="1"/>
        <v>120</v>
      </c>
      <c r="M70" s="2">
        <v>2</v>
      </c>
      <c r="N70" s="2">
        <v>1</v>
      </c>
      <c r="O70" s="1" t="s">
        <v>169</v>
      </c>
      <c r="P70" s="1" t="s">
        <v>169</v>
      </c>
      <c r="Q70" s="1" t="s">
        <v>170</v>
      </c>
      <c r="R70" s="1" t="s">
        <v>169</v>
      </c>
      <c r="S70" s="1">
        <v>0</v>
      </c>
      <c r="T70" s="15" t="str">
        <f t="shared" si="7"/>
        <v>M</v>
      </c>
      <c r="U70" s="15" t="s">
        <v>415</v>
      </c>
      <c r="V70" s="15" t="s">
        <v>416</v>
      </c>
      <c r="W70" s="15" t="s">
        <v>1090</v>
      </c>
      <c r="X70" s="15" t="s">
        <v>417</v>
      </c>
      <c r="Y70" s="15"/>
    </row>
    <row r="71" spans="1:25" ht="12.75" customHeight="1" x14ac:dyDescent="0.2">
      <c r="A71" s="23" t="s">
        <v>67</v>
      </c>
      <c r="B71" s="2" t="str">
        <f>A71&amp;COUNTIF($A$2:$A71,A71)</f>
        <v>Halfling1</v>
      </c>
      <c r="C71" s="2" t="str">
        <f>""</f>
        <v/>
      </c>
      <c r="D71" s="2" t="str">
        <f t="shared" si="0"/>
        <v>Halfling</v>
      </c>
      <c r="E71" s="2">
        <v>0</v>
      </c>
      <c r="F71" s="2">
        <v>0</v>
      </c>
      <c r="G71" s="2">
        <v>0</v>
      </c>
      <c r="H71" s="2">
        <v>0</v>
      </c>
      <c r="I71" s="2">
        <v>0</v>
      </c>
      <c r="J71" s="2">
        <f>IF('Pack Protajer'!$J$24="Español",V71,(IF('Pack Protajer'!$J$24="Deutsch",W71,(IF('Pack Protajer'!$J$24="Français",X71,U71)))))</f>
        <v>0</v>
      </c>
      <c r="K71" s="1">
        <v>0</v>
      </c>
      <c r="L71" s="1">
        <f t="shared" si="1"/>
        <v>0</v>
      </c>
      <c r="M71" s="1">
        <v>0</v>
      </c>
      <c r="N71" s="1">
        <v>0</v>
      </c>
      <c r="O71" s="1"/>
      <c r="P71" s="1"/>
      <c r="Q71" s="1"/>
      <c r="R71" s="1"/>
      <c r="S71" s="1"/>
      <c r="T71" s="15" t="str">
        <f t="shared" si="7"/>
        <v/>
      </c>
      <c r="U71" s="15">
        <v>0</v>
      </c>
      <c r="V71" s="15">
        <v>0</v>
      </c>
      <c r="W71" s="15">
        <v>0</v>
      </c>
      <c r="X71" s="15">
        <v>0</v>
      </c>
      <c r="Y71" s="15">
        <v>0</v>
      </c>
    </row>
    <row r="72" spans="1:25" ht="12.75" customHeight="1" x14ac:dyDescent="0.2">
      <c r="A72" s="23" t="s">
        <v>67</v>
      </c>
      <c r="B72" s="2" t="str">
        <f>A72&amp;COUNTIF($A$2:$A72,A72)</f>
        <v>Halfling2</v>
      </c>
      <c r="C72" s="2" t="s">
        <v>403</v>
      </c>
      <c r="D72" s="2" t="str">
        <f t="shared" si="0"/>
        <v>HalflingHalfling Hopeful</v>
      </c>
      <c r="E72" s="2">
        <v>5</v>
      </c>
      <c r="F72" s="2">
        <v>2</v>
      </c>
      <c r="G72" s="2">
        <v>3</v>
      </c>
      <c r="H72" s="2">
        <v>4</v>
      </c>
      <c r="I72" s="2">
        <v>7</v>
      </c>
      <c r="J72" s="2" t="str">
        <f>IF('Pack Protajer'!$J$24="Español",V72,(IF('Pack Protajer'!$J$24="Deutsch",W72,(IF('Pack Protajer'!$J$24="Français",X72,U72)))))</f>
        <v>Esquivar, Humanoide bala, Escurridizo</v>
      </c>
      <c r="K72" s="1">
        <v>30000</v>
      </c>
      <c r="L72" s="1">
        <f t="shared" si="1"/>
        <v>30</v>
      </c>
      <c r="M72" s="2">
        <v>16</v>
      </c>
      <c r="N72" s="2">
        <v>0</v>
      </c>
      <c r="O72" s="1" t="s">
        <v>169</v>
      </c>
      <c r="P72" s="1" t="s">
        <v>170</v>
      </c>
      <c r="Q72" s="1" t="s">
        <v>169</v>
      </c>
      <c r="R72" s="1">
        <v>0</v>
      </c>
      <c r="S72" s="1">
        <v>0</v>
      </c>
      <c r="T72" s="15" t="str">
        <f t="shared" si="7"/>
        <v>PM</v>
      </c>
      <c r="U72" s="15" t="s">
        <v>368</v>
      </c>
      <c r="V72" s="15" t="s">
        <v>369</v>
      </c>
      <c r="W72" s="15" t="s">
        <v>370</v>
      </c>
      <c r="X72" s="15" t="s">
        <v>371</v>
      </c>
      <c r="Y72" s="15"/>
    </row>
    <row r="73" spans="1:25" ht="12.75" customHeight="1" x14ac:dyDescent="0.2">
      <c r="A73" s="23" t="s">
        <v>67</v>
      </c>
      <c r="B73" s="2" t="str">
        <f>A73&amp;COUNTIF($A$2:$A73,A73)</f>
        <v>Halfling3</v>
      </c>
      <c r="C73" s="2" t="s">
        <v>404</v>
      </c>
      <c r="D73" s="2" t="str">
        <f t="shared" si="0"/>
        <v>HalflingHalfling Catcher</v>
      </c>
      <c r="E73" s="2">
        <v>5</v>
      </c>
      <c r="F73" s="2">
        <v>2</v>
      </c>
      <c r="G73" s="2">
        <v>3</v>
      </c>
      <c r="H73" s="2">
        <v>5</v>
      </c>
      <c r="I73" s="2">
        <v>7</v>
      </c>
      <c r="J73" s="2" t="str">
        <f>IF('Pack Protajer'!$J$24="Español",V73,(IF('Pack Protajer'!$J$24="Deutsch",W73,(IF('Pack Protajer'!$J$24="Français",X73,U73)))))</f>
        <v>Atrapar, Esquivar, Humanoide bala, Esprintar, Escurridizo</v>
      </c>
      <c r="K73" s="1">
        <v>55000</v>
      </c>
      <c r="L73" s="1">
        <f t="shared" si="1"/>
        <v>55</v>
      </c>
      <c r="M73" s="2">
        <v>2</v>
      </c>
      <c r="N73" s="2">
        <v>0</v>
      </c>
      <c r="O73" s="1" t="s">
        <v>169</v>
      </c>
      <c r="P73" s="1" t="s">
        <v>170</v>
      </c>
      <c r="Q73" s="1" t="s">
        <v>169</v>
      </c>
      <c r="R73" s="1">
        <v>0</v>
      </c>
      <c r="S73" s="1">
        <v>0</v>
      </c>
      <c r="T73" s="15" t="str">
        <f t="shared" si="7"/>
        <v>PM</v>
      </c>
      <c r="U73" s="15" t="s">
        <v>405</v>
      </c>
      <c r="V73" s="15" t="s">
        <v>406</v>
      </c>
      <c r="W73" s="15" t="s">
        <v>407</v>
      </c>
      <c r="X73" s="15" t="s">
        <v>408</v>
      </c>
      <c r="Y73" s="15"/>
    </row>
    <row r="74" spans="1:25" ht="12.75" customHeight="1" x14ac:dyDescent="0.2">
      <c r="A74" s="23" t="s">
        <v>67</v>
      </c>
      <c r="B74" s="2" t="str">
        <f>A74&amp;COUNTIF($A$2:$A74,A74)</f>
        <v>Halfling4</v>
      </c>
      <c r="C74" s="2" t="s">
        <v>409</v>
      </c>
      <c r="D74" s="2" t="str">
        <f t="shared" si="0"/>
        <v>HalflingHalfling Hefty</v>
      </c>
      <c r="E74" s="2">
        <v>5</v>
      </c>
      <c r="F74" s="2">
        <v>2</v>
      </c>
      <c r="G74" s="2">
        <v>3</v>
      </c>
      <c r="H74" s="2">
        <v>3</v>
      </c>
      <c r="I74" s="2">
        <v>8</v>
      </c>
      <c r="J74" s="2" t="str">
        <f>IF('Pack Protajer'!$J$24="Español",V74,(IF('Pack Protajer'!$J$24="Deutsch",W74,(IF('Pack Protajer'!$J$24="Français",X74,U74)))))</f>
        <v>Esquivar, Zafarse, Escurridizo</v>
      </c>
      <c r="K74" s="1">
        <v>50000</v>
      </c>
      <c r="L74" s="1">
        <f t="shared" si="1"/>
        <v>50</v>
      </c>
      <c r="M74" s="1">
        <v>2</v>
      </c>
      <c r="N74" s="1">
        <v>0</v>
      </c>
      <c r="O74" s="1" t="s">
        <v>169</v>
      </c>
      <c r="P74" s="1" t="s">
        <v>170</v>
      </c>
      <c r="Q74" s="1" t="s">
        <v>169</v>
      </c>
      <c r="R74" s="1" t="s">
        <v>170</v>
      </c>
      <c r="S74" s="1">
        <v>0</v>
      </c>
      <c r="T74" s="15" t="str">
        <f t="shared" si="7"/>
        <v>M</v>
      </c>
      <c r="U74" s="15" t="s">
        <v>410</v>
      </c>
      <c r="V74" s="15" t="s">
        <v>411</v>
      </c>
      <c r="W74" s="15" t="s">
        <v>412</v>
      </c>
      <c r="X74" s="15" t="s">
        <v>413</v>
      </c>
      <c r="Y74" s="15"/>
    </row>
    <row r="75" spans="1:25" ht="12.75" customHeight="1" x14ac:dyDescent="0.2">
      <c r="A75" s="23" t="s">
        <v>67</v>
      </c>
      <c r="B75" s="2" t="str">
        <f>A75&amp;COUNTIF($A$2:$A75,A75)</f>
        <v>Halfling5</v>
      </c>
      <c r="C75" s="2" t="s">
        <v>414</v>
      </c>
      <c r="D75" s="2" t="str">
        <f t="shared" si="0"/>
        <v>HalflingForest Treeman</v>
      </c>
      <c r="E75" s="2">
        <v>2</v>
      </c>
      <c r="F75" s="2">
        <v>6</v>
      </c>
      <c r="G75" s="2">
        <v>5</v>
      </c>
      <c r="H75" s="2">
        <v>5</v>
      </c>
      <c r="I75" s="2">
        <v>11</v>
      </c>
      <c r="J75" s="2" t="str">
        <f>IF('Pack Protajer'!$J$24="Español",V75,(IF('Pack Protajer'!$J$24="Deutsch",W75,(IF('Pack Protajer'!$J$24="Français",X75,U75)))))</f>
        <v>Golpe mortífero (+1), Mantenerse firme, Brazo fuerte, Echar raíces, Cabeza dura, Lanzar compañero, ¡Tronco va!</v>
      </c>
      <c r="K75" s="1">
        <v>120000</v>
      </c>
      <c r="L75" s="1">
        <f t="shared" si="1"/>
        <v>120</v>
      </c>
      <c r="M75" s="1">
        <v>2</v>
      </c>
      <c r="N75" s="1">
        <v>1</v>
      </c>
      <c r="O75" s="1" t="s">
        <v>169</v>
      </c>
      <c r="P75" s="1" t="s">
        <v>169</v>
      </c>
      <c r="Q75" s="1" t="s">
        <v>170</v>
      </c>
      <c r="R75" s="1" t="s">
        <v>169</v>
      </c>
      <c r="S75" s="1">
        <v>0</v>
      </c>
      <c r="T75" s="15" t="str">
        <f t="shared" si="7"/>
        <v>M</v>
      </c>
      <c r="U75" s="15" t="s">
        <v>415</v>
      </c>
      <c r="V75" s="15" t="s">
        <v>416</v>
      </c>
      <c r="W75" s="15" t="s">
        <v>1090</v>
      </c>
      <c r="X75" s="15" t="s">
        <v>417</v>
      </c>
      <c r="Y75" s="15"/>
    </row>
    <row r="76" spans="1:25" ht="12.75" customHeight="1" x14ac:dyDescent="0.2">
      <c r="A76" s="23" t="s">
        <v>72</v>
      </c>
      <c r="B76" s="2" t="str">
        <f>A76&amp;COUNTIF($A$2:$A76,A76)</f>
        <v>High Elf1</v>
      </c>
      <c r="C76" s="2" t="str">
        <f>""</f>
        <v/>
      </c>
      <c r="D76" s="2" t="str">
        <f t="shared" si="0"/>
        <v>High Elf</v>
      </c>
      <c r="E76" s="2">
        <v>0</v>
      </c>
      <c r="F76" s="2">
        <v>0</v>
      </c>
      <c r="G76" s="2">
        <v>0</v>
      </c>
      <c r="H76" s="2">
        <v>0</v>
      </c>
      <c r="I76" s="2">
        <v>0</v>
      </c>
      <c r="J76" s="2">
        <f>IF('Pack Protajer'!$J$24="Español",V76,(IF('Pack Protajer'!$J$24="Deutsch",W76,(IF('Pack Protajer'!$J$24="Français",X76,U76)))))</f>
        <v>0</v>
      </c>
      <c r="K76" s="1">
        <v>0</v>
      </c>
      <c r="L76" s="1">
        <f t="shared" si="1"/>
        <v>0</v>
      </c>
      <c r="M76" s="1">
        <v>0</v>
      </c>
      <c r="N76" s="1">
        <v>0</v>
      </c>
      <c r="O76" s="1"/>
      <c r="P76" s="1"/>
      <c r="Q76" s="1"/>
      <c r="R76" s="1"/>
      <c r="S76" s="1"/>
      <c r="T76" s="15" t="str">
        <f t="shared" si="7"/>
        <v/>
      </c>
      <c r="U76" s="15">
        <v>0</v>
      </c>
      <c r="V76" s="15">
        <v>0</v>
      </c>
      <c r="W76" s="15">
        <v>0</v>
      </c>
      <c r="X76" s="15">
        <v>0</v>
      </c>
      <c r="Y76" s="15">
        <v>0</v>
      </c>
    </row>
    <row r="77" spans="1:25" ht="12.75" customHeight="1" x14ac:dyDescent="0.2">
      <c r="A77" s="23" t="s">
        <v>72</v>
      </c>
      <c r="B77" s="2" t="str">
        <f>A77&amp;COUNTIF($A$2:$A77,A77)</f>
        <v>High Elf2</v>
      </c>
      <c r="C77" s="2" t="s">
        <v>319</v>
      </c>
      <c r="D77" s="2" t="str">
        <f t="shared" si="0"/>
        <v>High ElfLineman</v>
      </c>
      <c r="E77" s="2">
        <v>6</v>
      </c>
      <c r="F77" s="2">
        <v>3</v>
      </c>
      <c r="G77" s="2">
        <v>2</v>
      </c>
      <c r="H77" s="2">
        <v>4</v>
      </c>
      <c r="I77" s="2">
        <v>9</v>
      </c>
      <c r="J77" s="2" t="str">
        <f>IF('Pack Protajer'!$J$24="Español",V77,(IF('Pack Protajer'!$J$24="Deutsch",W77,(IF('Pack Protajer'!$J$24="Français",X77,U77)))))</f>
        <v/>
      </c>
      <c r="K77" s="1">
        <v>70000</v>
      </c>
      <c r="L77" s="1">
        <f t="shared" si="1"/>
        <v>70</v>
      </c>
      <c r="M77" s="2">
        <v>16</v>
      </c>
      <c r="N77" s="2">
        <v>0</v>
      </c>
      <c r="O77" s="1" t="s">
        <v>170</v>
      </c>
      <c r="P77" s="1" t="s">
        <v>170</v>
      </c>
      <c r="Q77" s="1" t="s">
        <v>169</v>
      </c>
      <c r="R77" s="1" t="s">
        <v>169</v>
      </c>
      <c r="S77" s="1">
        <v>0</v>
      </c>
      <c r="T77" s="15" t="str">
        <f t="shared" si="7"/>
        <v>M</v>
      </c>
      <c r="U77" s="15" t="str">
        <f t="shared" ref="U77:Y77" si="8">""</f>
        <v/>
      </c>
      <c r="V77" s="15" t="str">
        <f t="shared" si="8"/>
        <v/>
      </c>
      <c r="W77" s="15" t="str">
        <f t="shared" si="8"/>
        <v/>
      </c>
      <c r="X77" s="15" t="str">
        <f t="shared" si="8"/>
        <v/>
      </c>
      <c r="Y77" s="15" t="str">
        <f t="shared" si="8"/>
        <v/>
      </c>
    </row>
    <row r="78" spans="1:25" ht="12.75" customHeight="1" x14ac:dyDescent="0.2">
      <c r="A78" s="23" t="s">
        <v>72</v>
      </c>
      <c r="B78" s="2" t="str">
        <f>A78&amp;COUNTIF($A$2:$A78,A78)</f>
        <v>High Elf3</v>
      </c>
      <c r="C78" s="2" t="s">
        <v>241</v>
      </c>
      <c r="D78" s="2" t="str">
        <f t="shared" si="0"/>
        <v>High ElfThrower</v>
      </c>
      <c r="E78" s="2">
        <v>6</v>
      </c>
      <c r="F78" s="2">
        <v>3</v>
      </c>
      <c r="G78" s="2">
        <v>2</v>
      </c>
      <c r="H78" s="2">
        <v>2</v>
      </c>
      <c r="I78" s="2">
        <v>9</v>
      </c>
      <c r="J78" s="2" t="str">
        <f>IF('Pack Protajer'!$J$24="Español",V78,(IF('Pack Protajer'!$J$24="Deutsch",W78,(IF('Pack Protajer'!$J$24="Français",X78,U78)))))</f>
        <v>Partenubes, Pasar, Pase seguro</v>
      </c>
      <c r="K78" s="1">
        <v>100000</v>
      </c>
      <c r="L78" s="1">
        <f t="shared" si="1"/>
        <v>100</v>
      </c>
      <c r="M78" s="2">
        <v>2</v>
      </c>
      <c r="N78" s="2">
        <v>0</v>
      </c>
      <c r="O78" s="1" t="s">
        <v>170</v>
      </c>
      <c r="P78" s="1" t="s">
        <v>170</v>
      </c>
      <c r="Q78" s="1" t="s">
        <v>169</v>
      </c>
      <c r="R78" s="1" t="s">
        <v>170</v>
      </c>
      <c r="S78" s="1">
        <v>0</v>
      </c>
      <c r="T78" s="15" t="str">
        <f t="shared" si="7"/>
        <v>M</v>
      </c>
      <c r="U78" s="15" t="s">
        <v>418</v>
      </c>
      <c r="V78" s="15" t="s">
        <v>419</v>
      </c>
      <c r="W78" s="15" t="s">
        <v>420</v>
      </c>
      <c r="X78" s="15" t="s">
        <v>421</v>
      </c>
      <c r="Y78" s="15"/>
    </row>
    <row r="79" spans="1:25" ht="12.75" customHeight="1" x14ac:dyDescent="0.2">
      <c r="A79" s="23" t="s">
        <v>72</v>
      </c>
      <c r="B79" s="2" t="str">
        <f>A79&amp;COUNTIF($A$2:$A79,A79)</f>
        <v>High Elf4</v>
      </c>
      <c r="C79" s="2" t="s">
        <v>242</v>
      </c>
      <c r="D79" s="2" t="str">
        <f t="shared" si="0"/>
        <v>High ElfCatcher</v>
      </c>
      <c r="E79" s="2">
        <v>8</v>
      </c>
      <c r="F79" s="2">
        <v>3</v>
      </c>
      <c r="G79" s="2">
        <v>2</v>
      </c>
      <c r="H79" s="2">
        <v>5</v>
      </c>
      <c r="I79" s="2">
        <v>8</v>
      </c>
      <c r="J79" s="2" t="str">
        <f>IF('Pack Protajer'!$J$24="Español",V79,(IF('Pack Protajer'!$J$24="Deutsch",W79,(IF('Pack Protajer'!$J$24="Français",X79,U79)))))</f>
        <v>Atrapar</v>
      </c>
      <c r="K79" s="1">
        <v>90000</v>
      </c>
      <c r="L79" s="1">
        <f t="shared" si="1"/>
        <v>90</v>
      </c>
      <c r="M79" s="2">
        <v>4</v>
      </c>
      <c r="N79" s="2">
        <v>0</v>
      </c>
      <c r="O79" s="1" t="s">
        <v>170</v>
      </c>
      <c r="P79" s="1" t="s">
        <v>170</v>
      </c>
      <c r="Q79" s="1" t="s">
        <v>169</v>
      </c>
      <c r="R79" s="1">
        <v>0</v>
      </c>
      <c r="S79" s="1">
        <v>0</v>
      </c>
      <c r="T79" s="15" t="str">
        <f t="shared" si="7"/>
        <v>PM</v>
      </c>
      <c r="U79" s="15" t="s">
        <v>422</v>
      </c>
      <c r="V79" s="15" t="s">
        <v>423</v>
      </c>
      <c r="W79" s="15" t="s">
        <v>424</v>
      </c>
      <c r="X79" s="15" t="s">
        <v>425</v>
      </c>
      <c r="Y79" s="15"/>
    </row>
    <row r="80" spans="1:25" ht="12.75" customHeight="1" x14ac:dyDescent="0.2">
      <c r="A80" s="23" t="s">
        <v>72</v>
      </c>
      <c r="B80" s="2" t="str">
        <f>A80&amp;COUNTIF($A$2:$A80,A80)</f>
        <v>High Elf5</v>
      </c>
      <c r="C80" s="2" t="s">
        <v>243</v>
      </c>
      <c r="D80" s="2" t="str">
        <f t="shared" si="0"/>
        <v>High ElfBlitzer</v>
      </c>
      <c r="E80" s="2">
        <v>7</v>
      </c>
      <c r="F80" s="2">
        <v>3</v>
      </c>
      <c r="G80" s="2">
        <v>2</v>
      </c>
      <c r="H80" s="2">
        <v>4</v>
      </c>
      <c r="I80" s="2">
        <v>9</v>
      </c>
      <c r="J80" s="2" t="str">
        <f>IF('Pack Protajer'!$J$24="Español",V80,(IF('Pack Protajer'!$J$24="Deutsch",W80,(IF('Pack Protajer'!$J$24="Français",X80,U80)))))</f>
        <v>Placar</v>
      </c>
      <c r="K80" s="1">
        <v>100000</v>
      </c>
      <c r="L80" s="1">
        <f t="shared" si="1"/>
        <v>100</v>
      </c>
      <c r="M80" s="2">
        <v>2</v>
      </c>
      <c r="N80" s="2">
        <v>0</v>
      </c>
      <c r="O80" s="1" t="s">
        <v>170</v>
      </c>
      <c r="P80" s="1" t="s">
        <v>170</v>
      </c>
      <c r="Q80" s="1" t="s">
        <v>169</v>
      </c>
      <c r="R80" s="1" t="s">
        <v>169</v>
      </c>
      <c r="S80" s="1">
        <v>0</v>
      </c>
      <c r="T80" s="15" t="str">
        <f t="shared" si="7"/>
        <v>M</v>
      </c>
      <c r="U80" s="15" t="s">
        <v>330</v>
      </c>
      <c r="V80" s="15" t="s">
        <v>331</v>
      </c>
      <c r="W80" s="15" t="s">
        <v>330</v>
      </c>
      <c r="X80" s="15" t="s">
        <v>332</v>
      </c>
      <c r="Y80" s="15"/>
    </row>
    <row r="81" spans="1:25" ht="12.75" customHeight="1" x14ac:dyDescent="0.2">
      <c r="A81" s="23" t="s">
        <v>77</v>
      </c>
      <c r="B81" s="2" t="str">
        <f>A81&amp;COUNTIF($A$2:$A81,A81)</f>
        <v>Human1</v>
      </c>
      <c r="C81" s="2" t="str">
        <f>""</f>
        <v/>
      </c>
      <c r="D81" s="2" t="str">
        <f t="shared" si="0"/>
        <v>Human</v>
      </c>
      <c r="E81" s="2">
        <v>0</v>
      </c>
      <c r="F81" s="2">
        <v>0</v>
      </c>
      <c r="G81" s="2">
        <v>0</v>
      </c>
      <c r="H81" s="2">
        <v>0</v>
      </c>
      <c r="I81" s="2">
        <v>0</v>
      </c>
      <c r="J81" s="2">
        <f>IF('Pack Protajer'!$J$24="Español",V81,(IF('Pack Protajer'!$J$24="Deutsch",W81,(IF('Pack Protajer'!$J$24="Français",X81,U81)))))</f>
        <v>0</v>
      </c>
      <c r="K81" s="1">
        <v>0</v>
      </c>
      <c r="L81" s="1">
        <f t="shared" si="1"/>
        <v>0</v>
      </c>
      <c r="M81" s="1">
        <v>0</v>
      </c>
      <c r="N81" s="1">
        <v>0</v>
      </c>
      <c r="O81" s="1"/>
      <c r="P81" s="1"/>
      <c r="Q81" s="1"/>
      <c r="R81" s="1"/>
      <c r="S81" s="1"/>
      <c r="T81" s="15" t="str">
        <f t="shared" si="7"/>
        <v/>
      </c>
      <c r="U81" s="15">
        <v>0</v>
      </c>
      <c r="V81" s="15">
        <v>0</v>
      </c>
      <c r="W81" s="15">
        <v>0</v>
      </c>
      <c r="X81" s="15">
        <v>0</v>
      </c>
      <c r="Y81" s="15">
        <v>0</v>
      </c>
    </row>
    <row r="82" spans="1:25" ht="12.75" customHeight="1" x14ac:dyDescent="0.2">
      <c r="A82" s="23" t="s">
        <v>77</v>
      </c>
      <c r="B82" s="2" t="str">
        <f>A82&amp;COUNTIF($A$2:$A82,A82)</f>
        <v>Human2</v>
      </c>
      <c r="C82" s="2" t="s">
        <v>319</v>
      </c>
      <c r="D82" s="2" t="str">
        <f t="shared" si="0"/>
        <v>HumanLineman</v>
      </c>
      <c r="E82" s="2">
        <v>6</v>
      </c>
      <c r="F82" s="2">
        <v>3</v>
      </c>
      <c r="G82" s="2">
        <v>3</v>
      </c>
      <c r="H82" s="2">
        <v>4</v>
      </c>
      <c r="I82" s="2">
        <v>9</v>
      </c>
      <c r="J82" s="2" t="str">
        <f>IF('Pack Protajer'!$J$24="Español",V82,(IF('Pack Protajer'!$J$24="Deutsch",W82,(IF('Pack Protajer'!$J$24="Français",X82,U82)))))</f>
        <v/>
      </c>
      <c r="K82" s="1">
        <v>50000</v>
      </c>
      <c r="L82" s="1">
        <f t="shared" si="1"/>
        <v>50</v>
      </c>
      <c r="M82" s="2">
        <v>16</v>
      </c>
      <c r="N82" s="2">
        <v>0</v>
      </c>
      <c r="O82" s="1" t="s">
        <v>170</v>
      </c>
      <c r="P82" s="1" t="s">
        <v>169</v>
      </c>
      <c r="Q82" s="1" t="s">
        <v>169</v>
      </c>
      <c r="R82" s="1">
        <v>0</v>
      </c>
      <c r="S82" s="1">
        <v>0</v>
      </c>
      <c r="T82" s="15" t="str">
        <f t="shared" si="7"/>
        <v>PM</v>
      </c>
      <c r="U82" s="15" t="str">
        <f t="shared" ref="U82:Y82" si="9">""</f>
        <v/>
      </c>
      <c r="V82" s="15" t="str">
        <f t="shared" si="9"/>
        <v/>
      </c>
      <c r="W82" s="15" t="str">
        <f t="shared" si="9"/>
        <v/>
      </c>
      <c r="X82" s="15" t="str">
        <f t="shared" si="9"/>
        <v/>
      </c>
      <c r="Y82" s="15" t="str">
        <f t="shared" si="9"/>
        <v/>
      </c>
    </row>
    <row r="83" spans="1:25" ht="12.75" customHeight="1" x14ac:dyDescent="0.2">
      <c r="A83" s="23" t="s">
        <v>77</v>
      </c>
      <c r="B83" s="2" t="str">
        <f>A83&amp;COUNTIF($A$2:$A83,A83)</f>
        <v>Human3</v>
      </c>
      <c r="C83" s="2" t="s">
        <v>242</v>
      </c>
      <c r="D83" s="2" t="str">
        <f t="shared" si="0"/>
        <v>HumanCatcher</v>
      </c>
      <c r="E83" s="2">
        <v>8</v>
      </c>
      <c r="F83" s="2">
        <v>2</v>
      </c>
      <c r="G83" s="2">
        <v>3</v>
      </c>
      <c r="H83" s="2">
        <v>5</v>
      </c>
      <c r="I83" s="2">
        <v>8</v>
      </c>
      <c r="J83" s="2" t="str">
        <f>IF('Pack Protajer'!$J$24="Español",V83,(IF('Pack Protajer'!$J$24="Deutsch",W83,(IF('Pack Protajer'!$J$24="Français",X83,U83)))))</f>
        <v>Atrapar, Esquivar</v>
      </c>
      <c r="K83" s="1">
        <v>65000</v>
      </c>
      <c r="L83" s="1">
        <f t="shared" si="1"/>
        <v>65</v>
      </c>
      <c r="M83" s="2">
        <v>4</v>
      </c>
      <c r="N83" s="2">
        <v>0</v>
      </c>
      <c r="O83" s="1" t="s">
        <v>170</v>
      </c>
      <c r="P83" s="1" t="s">
        <v>170</v>
      </c>
      <c r="Q83" s="1" t="s">
        <v>169</v>
      </c>
      <c r="R83" s="1" t="s">
        <v>169</v>
      </c>
      <c r="S83" s="1">
        <v>0</v>
      </c>
      <c r="T83" s="15" t="str">
        <f t="shared" si="7"/>
        <v>M</v>
      </c>
      <c r="U83" s="15" t="s">
        <v>426</v>
      </c>
      <c r="V83" s="15" t="s">
        <v>427</v>
      </c>
      <c r="W83" s="15" t="s">
        <v>428</v>
      </c>
      <c r="X83" s="15" t="s">
        <v>429</v>
      </c>
      <c r="Y83" s="15"/>
    </row>
    <row r="84" spans="1:25" ht="12.75" customHeight="1" x14ac:dyDescent="0.2">
      <c r="A84" s="23" t="s">
        <v>77</v>
      </c>
      <c r="B84" s="2" t="str">
        <f>A84&amp;COUNTIF($A$2:$A84,A84)</f>
        <v>Human4</v>
      </c>
      <c r="C84" s="2" t="s">
        <v>241</v>
      </c>
      <c r="D84" s="2" t="str">
        <f t="shared" si="0"/>
        <v>HumanThrower</v>
      </c>
      <c r="E84" s="2">
        <v>6</v>
      </c>
      <c r="F84" s="2">
        <v>3</v>
      </c>
      <c r="G84" s="2">
        <v>3</v>
      </c>
      <c r="H84" s="2">
        <v>2</v>
      </c>
      <c r="I84" s="2">
        <v>9</v>
      </c>
      <c r="J84" s="2" t="str">
        <f>IF('Pack Protajer'!$J$24="Español",V84,(IF('Pack Protajer'!$J$24="Deutsch",W84,(IF('Pack Protajer'!$J$24="Français",X84,U84)))))</f>
        <v>Pasar, Manos seguras</v>
      </c>
      <c r="K84" s="1">
        <v>80000</v>
      </c>
      <c r="L84" s="1">
        <f t="shared" si="1"/>
        <v>80</v>
      </c>
      <c r="M84" s="2">
        <v>2</v>
      </c>
      <c r="N84" s="2">
        <v>0</v>
      </c>
      <c r="O84" s="1" t="s">
        <v>170</v>
      </c>
      <c r="P84" s="1" t="s">
        <v>169</v>
      </c>
      <c r="Q84" s="1" t="s">
        <v>169</v>
      </c>
      <c r="R84" s="1" t="s">
        <v>170</v>
      </c>
      <c r="S84" s="1">
        <v>0</v>
      </c>
      <c r="T84" s="15" t="str">
        <f t="shared" si="7"/>
        <v>M</v>
      </c>
      <c r="U84" s="15" t="s">
        <v>430</v>
      </c>
      <c r="V84" s="15" t="s">
        <v>431</v>
      </c>
      <c r="W84" s="15" t="s">
        <v>432</v>
      </c>
      <c r="X84" s="15" t="s">
        <v>433</v>
      </c>
      <c r="Y84" s="15"/>
    </row>
    <row r="85" spans="1:25" ht="12.75" customHeight="1" x14ac:dyDescent="0.2">
      <c r="A85" s="23" t="s">
        <v>77</v>
      </c>
      <c r="B85" s="2" t="str">
        <f>A85&amp;COUNTIF($A$2:$A85,A85)</f>
        <v>Human5</v>
      </c>
      <c r="C85" s="2" t="s">
        <v>243</v>
      </c>
      <c r="D85" s="2" t="str">
        <f t="shared" si="0"/>
        <v>HumanBlitzer</v>
      </c>
      <c r="E85" s="2">
        <v>7</v>
      </c>
      <c r="F85" s="2">
        <v>3</v>
      </c>
      <c r="G85" s="2">
        <v>3</v>
      </c>
      <c r="H85" s="2">
        <v>4</v>
      </c>
      <c r="I85" s="2">
        <v>9</v>
      </c>
      <c r="J85" s="2" t="str">
        <f>IF('Pack Protajer'!$J$24="Español",V85,(IF('Pack Protajer'!$J$24="Deutsch",W85,(IF('Pack Protajer'!$J$24="Français",X85,U85)))))</f>
        <v>Placar</v>
      </c>
      <c r="K85" s="1">
        <v>85000</v>
      </c>
      <c r="L85" s="1">
        <f t="shared" si="1"/>
        <v>85</v>
      </c>
      <c r="M85" s="2">
        <v>4</v>
      </c>
      <c r="N85" s="2">
        <v>0</v>
      </c>
      <c r="O85" s="1" t="s">
        <v>170</v>
      </c>
      <c r="P85" s="1" t="s">
        <v>169</v>
      </c>
      <c r="Q85" s="1" t="s">
        <v>170</v>
      </c>
      <c r="R85" s="1" t="s">
        <v>169</v>
      </c>
      <c r="S85" s="1">
        <v>0</v>
      </c>
      <c r="T85" s="15" t="str">
        <f t="shared" si="7"/>
        <v>M</v>
      </c>
      <c r="U85" s="15" t="s">
        <v>330</v>
      </c>
      <c r="V85" s="15" t="s">
        <v>331</v>
      </c>
      <c r="W85" s="15" t="s">
        <v>330</v>
      </c>
      <c r="X85" s="15" t="s">
        <v>332</v>
      </c>
      <c r="Y85" s="15"/>
    </row>
    <row r="86" spans="1:25" ht="12.75" customHeight="1" x14ac:dyDescent="0.2">
      <c r="A86" s="23" t="s">
        <v>77</v>
      </c>
      <c r="B86" s="2" t="str">
        <f>A86&amp;COUNTIF($A$2:$A86,A86)</f>
        <v>Human6</v>
      </c>
      <c r="C86" s="2" t="s">
        <v>403</v>
      </c>
      <c r="D86" s="2" t="str">
        <f t="shared" si="0"/>
        <v>HumanHalfling Hopeful</v>
      </c>
      <c r="E86" s="2">
        <v>5</v>
      </c>
      <c r="F86" s="2">
        <v>2</v>
      </c>
      <c r="G86" s="2">
        <v>3</v>
      </c>
      <c r="H86" s="2">
        <v>4</v>
      </c>
      <c r="I86" s="13">
        <v>7</v>
      </c>
      <c r="J86" s="2" t="str">
        <f>IF('Pack Protajer'!$J$24="Español",V86,(IF('Pack Protajer'!$J$24="Deutsch",W86,(IF('Pack Protajer'!$J$24="Français",X86,U86)))))</f>
        <v>Esquivar, Humanoide bala, Escurridizo</v>
      </c>
      <c r="K86" s="1">
        <v>30000</v>
      </c>
      <c r="L86" s="1">
        <f t="shared" si="1"/>
        <v>30</v>
      </c>
      <c r="M86" s="2">
        <v>3</v>
      </c>
      <c r="N86" s="2">
        <v>0</v>
      </c>
      <c r="O86" s="1" t="s">
        <v>169</v>
      </c>
      <c r="P86" s="1" t="s">
        <v>170</v>
      </c>
      <c r="Q86" s="1" t="s">
        <v>169</v>
      </c>
      <c r="R86" s="1">
        <v>0</v>
      </c>
      <c r="S86" s="1">
        <v>0</v>
      </c>
      <c r="T86" s="15" t="str">
        <f t="shared" si="7"/>
        <v>PM</v>
      </c>
      <c r="U86" s="15" t="s">
        <v>368</v>
      </c>
      <c r="V86" s="15" t="s">
        <v>369</v>
      </c>
      <c r="W86" s="15" t="s">
        <v>370</v>
      </c>
      <c r="X86" s="15" t="s">
        <v>371</v>
      </c>
      <c r="Y86" s="15"/>
    </row>
    <row r="87" spans="1:25" ht="12.75" customHeight="1" x14ac:dyDescent="0.2">
      <c r="A87" s="23" t="s">
        <v>77</v>
      </c>
      <c r="B87" s="2" t="str">
        <f>A87&amp;COUNTIF($A$2:$A87,A87)</f>
        <v>Human7</v>
      </c>
      <c r="C87" s="2" t="s">
        <v>110</v>
      </c>
      <c r="D87" s="2" t="str">
        <f t="shared" si="0"/>
        <v>HumanOgre</v>
      </c>
      <c r="E87" s="2">
        <v>5</v>
      </c>
      <c r="F87" s="2">
        <v>5</v>
      </c>
      <c r="G87" s="2">
        <v>4</v>
      </c>
      <c r="H87" s="2">
        <v>5</v>
      </c>
      <c r="I87" s="2">
        <v>10</v>
      </c>
      <c r="J87" s="2" t="str">
        <f>IF('Pack Protajer'!$J$24="Español",V87,(IF('Pack Protajer'!$J$24="Deutsch",W87,(IF('Pack Protajer'!$J$24="Français",X87,U87)))))</f>
        <v>Estúpido, Solitario (4+), Golpe mortífero (+1), Cabeza dura, Lanzar Compañero</v>
      </c>
      <c r="K87" s="1">
        <v>140000</v>
      </c>
      <c r="L87" s="1">
        <f t="shared" si="1"/>
        <v>140</v>
      </c>
      <c r="M87" s="2">
        <v>1</v>
      </c>
      <c r="N87" s="2">
        <v>1</v>
      </c>
      <c r="O87" s="1" t="s">
        <v>169</v>
      </c>
      <c r="P87" s="1" t="s">
        <v>169</v>
      </c>
      <c r="Q87" s="1" t="s">
        <v>170</v>
      </c>
      <c r="R87" s="1">
        <v>0</v>
      </c>
      <c r="S87" s="1">
        <v>0</v>
      </c>
      <c r="T87" s="15" t="str">
        <f t="shared" si="7"/>
        <v>PM</v>
      </c>
      <c r="U87" s="15" t="s">
        <v>270</v>
      </c>
      <c r="V87" s="15" t="s">
        <v>271</v>
      </c>
      <c r="W87" s="15" t="s">
        <v>272</v>
      </c>
      <c r="X87" s="15" t="s">
        <v>273</v>
      </c>
      <c r="Y87" s="15"/>
    </row>
    <row r="88" spans="1:25" ht="12.75" customHeight="1" x14ac:dyDescent="0.2">
      <c r="A88" s="23" t="s">
        <v>82</v>
      </c>
      <c r="B88" s="2" t="str">
        <f>A88&amp;COUNTIF($A$2:$A88,A88)</f>
        <v>Imperial Nobility1</v>
      </c>
      <c r="C88" s="2" t="str">
        <f>""</f>
        <v/>
      </c>
      <c r="D88" s="2" t="str">
        <f t="shared" si="0"/>
        <v>Imperial Nobility</v>
      </c>
      <c r="E88" s="2">
        <v>0</v>
      </c>
      <c r="F88" s="2">
        <v>0</v>
      </c>
      <c r="G88" s="2">
        <v>0</v>
      </c>
      <c r="H88" s="2">
        <v>0</v>
      </c>
      <c r="I88" s="2">
        <v>0</v>
      </c>
      <c r="J88" s="2">
        <f>IF('Pack Protajer'!$J$24="Español",V88,(IF('Pack Protajer'!$J$24="Deutsch",W88,(IF('Pack Protajer'!$J$24="Français",X88,U88)))))</f>
        <v>0</v>
      </c>
      <c r="K88" s="1">
        <v>0</v>
      </c>
      <c r="L88" s="1">
        <f t="shared" si="1"/>
        <v>0</v>
      </c>
      <c r="M88" s="1">
        <v>0</v>
      </c>
      <c r="N88" s="1">
        <v>0</v>
      </c>
      <c r="O88" s="1"/>
      <c r="P88" s="1"/>
      <c r="Q88" s="1"/>
      <c r="R88" s="1"/>
      <c r="S88" s="1"/>
      <c r="T88" s="15" t="str">
        <f t="shared" si="7"/>
        <v/>
      </c>
      <c r="U88" s="15">
        <v>0</v>
      </c>
      <c r="V88" s="15">
        <v>0</v>
      </c>
      <c r="W88" s="15">
        <v>0</v>
      </c>
      <c r="X88" s="15">
        <v>0</v>
      </c>
      <c r="Y88" s="15">
        <v>0</v>
      </c>
    </row>
    <row r="89" spans="1:25" ht="12.75" customHeight="1" x14ac:dyDescent="0.2">
      <c r="A89" s="23" t="s">
        <v>82</v>
      </c>
      <c r="B89" s="2" t="str">
        <f>A89&amp;COUNTIF($A$2:$A89,A89)</f>
        <v>Imperial Nobility2</v>
      </c>
      <c r="C89" s="2" t="s">
        <v>319</v>
      </c>
      <c r="D89" s="2" t="str">
        <f t="shared" si="0"/>
        <v>Imperial NobilityLineman</v>
      </c>
      <c r="E89" s="2">
        <v>6</v>
      </c>
      <c r="F89" s="2">
        <v>3</v>
      </c>
      <c r="G89" s="2">
        <v>4</v>
      </c>
      <c r="H89" s="2">
        <v>4</v>
      </c>
      <c r="I89" s="2">
        <v>8</v>
      </c>
      <c r="J89" s="2" t="str">
        <f>IF('Pack Protajer'!$J$24="Español",V89,(IF('Pack Protajer'!$J$24="Deutsch",W89,(IF('Pack Protajer'!$J$24="Français",X89,U89)))))</f>
        <v>Zafarse</v>
      </c>
      <c r="K89" s="1">
        <v>45000</v>
      </c>
      <c r="L89" s="1">
        <f t="shared" si="1"/>
        <v>45</v>
      </c>
      <c r="M89" s="2">
        <v>16</v>
      </c>
      <c r="N89" s="2">
        <v>0</v>
      </c>
      <c r="O89" s="1" t="s">
        <v>170</v>
      </c>
      <c r="P89" s="1" t="s">
        <v>169</v>
      </c>
      <c r="Q89" s="1" t="s">
        <v>169</v>
      </c>
      <c r="R89" s="1">
        <v>0</v>
      </c>
      <c r="S89" s="2">
        <v>0</v>
      </c>
      <c r="T89" s="15" t="str">
        <f t="shared" si="7"/>
        <v>PM</v>
      </c>
      <c r="U89" s="15" t="s">
        <v>434</v>
      </c>
      <c r="V89" s="15" t="s">
        <v>435</v>
      </c>
      <c r="W89" s="15" t="s">
        <v>436</v>
      </c>
      <c r="X89" s="15" t="s">
        <v>437</v>
      </c>
      <c r="Y89" s="15"/>
    </row>
    <row r="90" spans="1:25" ht="12.75" customHeight="1" x14ac:dyDescent="0.2">
      <c r="A90" s="23" t="s">
        <v>82</v>
      </c>
      <c r="B90" s="2" t="str">
        <f>A90&amp;COUNTIF($A$2:$A90,A90)</f>
        <v>Imperial Nobility3</v>
      </c>
      <c r="C90" s="2" t="s">
        <v>241</v>
      </c>
      <c r="D90" s="2" t="str">
        <f t="shared" si="0"/>
        <v>Imperial NobilityThrower</v>
      </c>
      <c r="E90" s="2">
        <v>6</v>
      </c>
      <c r="F90" s="2">
        <v>3</v>
      </c>
      <c r="G90" s="2">
        <v>3</v>
      </c>
      <c r="H90" s="2">
        <v>3</v>
      </c>
      <c r="I90" s="2">
        <v>9</v>
      </c>
      <c r="J90" s="2" t="str">
        <f>IF('Pack Protajer'!$J$24="Español",V90,(IF('Pack Protajer'!$J$24="Deutsch",W90,(IF('Pack Protajer'!$J$24="Français",X90,U90)))))</f>
        <v>Pasar, Pase a la carrera</v>
      </c>
      <c r="K90" s="1">
        <v>75000</v>
      </c>
      <c r="L90" s="1">
        <f t="shared" si="1"/>
        <v>75</v>
      </c>
      <c r="M90" s="2">
        <v>2</v>
      </c>
      <c r="N90" s="2">
        <v>0</v>
      </c>
      <c r="O90" s="1" t="s">
        <v>170</v>
      </c>
      <c r="P90" s="1" t="s">
        <v>169</v>
      </c>
      <c r="Q90" s="1" t="s">
        <v>169</v>
      </c>
      <c r="R90" s="1" t="s">
        <v>170</v>
      </c>
      <c r="S90" s="2">
        <v>0</v>
      </c>
      <c r="T90" s="15" t="str">
        <f t="shared" si="7"/>
        <v>M</v>
      </c>
      <c r="U90" s="15" t="s">
        <v>438</v>
      </c>
      <c r="V90" s="15" t="s">
        <v>439</v>
      </c>
      <c r="W90" s="15" t="s">
        <v>440</v>
      </c>
      <c r="X90" s="15" t="s">
        <v>441</v>
      </c>
      <c r="Y90" s="15"/>
    </row>
    <row r="91" spans="1:25" ht="12.75" customHeight="1" x14ac:dyDescent="0.2">
      <c r="A91" s="23" t="s">
        <v>82</v>
      </c>
      <c r="B91" s="2" t="str">
        <f>A91&amp;COUNTIF($A$2:$A91,A91)</f>
        <v>Imperial Nobility4</v>
      </c>
      <c r="C91" s="2" t="s">
        <v>243</v>
      </c>
      <c r="D91" s="2" t="str">
        <f t="shared" si="0"/>
        <v>Imperial NobilityBlitzer</v>
      </c>
      <c r="E91" s="2">
        <v>7</v>
      </c>
      <c r="F91" s="2">
        <v>3</v>
      </c>
      <c r="G91" s="2">
        <v>3</v>
      </c>
      <c r="H91" s="2">
        <v>4</v>
      </c>
      <c r="I91" s="2">
        <v>9</v>
      </c>
      <c r="J91" s="2" t="str">
        <f>IF('Pack Protajer'!$J$24="Español",V91,(IF('Pack Protajer'!$J$24="Deutsch",W91,(IF('Pack Protajer'!$J$24="Français",X91,U91)))))</f>
        <v>Placar, Atrapar</v>
      </c>
      <c r="K91" s="1">
        <v>105000</v>
      </c>
      <c r="L91" s="1">
        <f t="shared" si="1"/>
        <v>105</v>
      </c>
      <c r="M91" s="2">
        <v>2</v>
      </c>
      <c r="N91" s="2">
        <v>0</v>
      </c>
      <c r="O91" s="1" t="s">
        <v>170</v>
      </c>
      <c r="P91" s="1" t="s">
        <v>170</v>
      </c>
      <c r="Q91" s="1" t="s">
        <v>169</v>
      </c>
      <c r="R91" s="1" t="s">
        <v>169</v>
      </c>
      <c r="S91" s="2">
        <v>0</v>
      </c>
      <c r="T91" s="15" t="str">
        <f t="shared" si="7"/>
        <v>M</v>
      </c>
      <c r="U91" s="15" t="s">
        <v>442</v>
      </c>
      <c r="V91" s="15" t="s">
        <v>443</v>
      </c>
      <c r="W91" s="15" t="s">
        <v>444</v>
      </c>
      <c r="X91" s="15" t="s">
        <v>445</v>
      </c>
      <c r="Y91" s="15"/>
    </row>
    <row r="92" spans="1:25" ht="12.75" customHeight="1" x14ac:dyDescent="0.2">
      <c r="A92" s="23" t="s">
        <v>82</v>
      </c>
      <c r="B92" s="2" t="str">
        <f>A92&amp;COUNTIF($A$2:$A92,A92)</f>
        <v>Imperial Nobility5</v>
      </c>
      <c r="C92" s="2" t="s">
        <v>446</v>
      </c>
      <c r="D92" s="2" t="str">
        <f t="shared" si="0"/>
        <v>Imperial NobilityBodyguard</v>
      </c>
      <c r="E92" s="2">
        <v>6</v>
      </c>
      <c r="F92" s="2">
        <v>3</v>
      </c>
      <c r="G92" s="2">
        <v>3</v>
      </c>
      <c r="H92" s="2">
        <v>5</v>
      </c>
      <c r="I92" s="2">
        <v>9</v>
      </c>
      <c r="J92" s="2" t="str">
        <f>IF('Pack Protajer'!$J$24="Español",V92,(IF('Pack Protajer'!$J$24="Deutsch",W92,(IF('Pack Protajer'!$J$24="Français",X92,U92)))))</f>
        <v>Mantenerse firme, Forcejear</v>
      </c>
      <c r="K92" s="1">
        <v>90000</v>
      </c>
      <c r="L92" s="1">
        <f t="shared" si="1"/>
        <v>90</v>
      </c>
      <c r="M92" s="2">
        <v>4</v>
      </c>
      <c r="N92" s="2">
        <v>0</v>
      </c>
      <c r="O92" s="1" t="s">
        <v>170</v>
      </c>
      <c r="P92" s="1" t="s">
        <v>169</v>
      </c>
      <c r="Q92" s="1" t="s">
        <v>170</v>
      </c>
      <c r="R92" s="1">
        <v>0</v>
      </c>
      <c r="S92" s="2">
        <v>0</v>
      </c>
      <c r="T92" s="15" t="str">
        <f t="shared" si="7"/>
        <v>PM</v>
      </c>
      <c r="U92" s="15" t="s">
        <v>447</v>
      </c>
      <c r="V92" s="15" t="s">
        <v>448</v>
      </c>
      <c r="W92" s="15" t="s">
        <v>449</v>
      </c>
      <c r="X92" s="15" t="s">
        <v>450</v>
      </c>
      <c r="Y92" s="15"/>
    </row>
    <row r="93" spans="1:25" ht="12.75" customHeight="1" x14ac:dyDescent="0.2">
      <c r="A93" s="23" t="s">
        <v>82</v>
      </c>
      <c r="B93" s="2" t="str">
        <f>A93&amp;COUNTIF($A$2:$A93,A93)</f>
        <v>Imperial Nobility6</v>
      </c>
      <c r="C93" s="2" t="s">
        <v>110</v>
      </c>
      <c r="D93" s="2" t="str">
        <f t="shared" si="0"/>
        <v>Imperial NobilityOgre</v>
      </c>
      <c r="E93" s="2">
        <v>5</v>
      </c>
      <c r="F93" s="2">
        <v>5</v>
      </c>
      <c r="G93" s="2">
        <v>4</v>
      </c>
      <c r="H93" s="2">
        <v>5</v>
      </c>
      <c r="I93" s="2">
        <v>10</v>
      </c>
      <c r="J93" s="2" t="str">
        <f>IF('Pack Protajer'!$J$24="Español",V93,(IF('Pack Protajer'!$J$24="Deutsch",W93,(IF('Pack Protajer'!$J$24="Français",X93,U93)))))</f>
        <v>Estúpido, Solitario (4+), Golpe mortífero (+1), Cabeza dura, Lanzar Compañero</v>
      </c>
      <c r="K93" s="1">
        <v>140000</v>
      </c>
      <c r="L93" s="1">
        <f t="shared" si="1"/>
        <v>140</v>
      </c>
      <c r="M93" s="2">
        <v>1</v>
      </c>
      <c r="N93" s="2">
        <v>1</v>
      </c>
      <c r="O93" s="1" t="s">
        <v>169</v>
      </c>
      <c r="P93" s="1" t="s">
        <v>169</v>
      </c>
      <c r="Q93" s="1" t="s">
        <v>170</v>
      </c>
      <c r="R93" s="1">
        <v>0</v>
      </c>
      <c r="S93" s="2">
        <v>0</v>
      </c>
      <c r="T93" s="15" t="str">
        <f t="shared" si="7"/>
        <v>PM</v>
      </c>
      <c r="U93" s="15" t="s">
        <v>270</v>
      </c>
      <c r="V93" s="15" t="s">
        <v>271</v>
      </c>
      <c r="W93" s="15" t="s">
        <v>272</v>
      </c>
      <c r="X93" s="15" t="s">
        <v>273</v>
      </c>
      <c r="Y93" s="15"/>
    </row>
    <row r="94" spans="1:25" ht="12.75" customHeight="1" x14ac:dyDescent="0.2">
      <c r="A94" s="23" t="s">
        <v>87</v>
      </c>
      <c r="B94" s="9" t="str">
        <f>A94&amp;COUNTIF($A$2:$A94,A94)</f>
        <v>Khorne1</v>
      </c>
      <c r="C94" s="9"/>
      <c r="D94" s="9" t="str">
        <f t="shared" si="0"/>
        <v>Khorne</v>
      </c>
      <c r="E94" s="9">
        <v>0</v>
      </c>
      <c r="F94" s="9">
        <v>0</v>
      </c>
      <c r="G94" s="9">
        <v>0</v>
      </c>
      <c r="H94" s="9">
        <v>0</v>
      </c>
      <c r="I94" s="9">
        <v>0</v>
      </c>
      <c r="J94" s="2">
        <f>IF('Pack Protajer'!$J$24="Español",V94,(IF('Pack Protajer'!$J$24="Deutsch",W94,(IF('Pack Protajer'!$J$24="Français",X94,U94)))))</f>
        <v>0</v>
      </c>
      <c r="K94" s="16">
        <v>0</v>
      </c>
      <c r="L94" s="1">
        <f t="shared" ref="L94:L150" si="10">K94/1000</f>
        <v>0</v>
      </c>
      <c r="M94" s="16">
        <v>0</v>
      </c>
      <c r="N94" s="16">
        <v>0</v>
      </c>
      <c r="O94" s="17"/>
      <c r="P94" s="17"/>
      <c r="Q94" s="17"/>
      <c r="R94" s="17"/>
      <c r="S94" s="17"/>
      <c r="T94" s="15" t="str">
        <f t="shared" si="7"/>
        <v/>
      </c>
      <c r="U94" s="15"/>
      <c r="V94" s="15"/>
      <c r="W94" s="15"/>
      <c r="X94" s="15"/>
      <c r="Y94" s="8"/>
    </row>
    <row r="95" spans="1:25" ht="12.75" customHeight="1" x14ac:dyDescent="0.2">
      <c r="A95" s="23" t="s">
        <v>87</v>
      </c>
      <c r="B95" s="9" t="str">
        <f>A95&amp;COUNTIF($A$2:$A95,A95)</f>
        <v>Khorne2</v>
      </c>
      <c r="C95" s="9" t="s">
        <v>451</v>
      </c>
      <c r="D95" s="9" t="str">
        <f t="shared" si="0"/>
        <v>KhorneBloodborn Marauder Lineman</v>
      </c>
      <c r="E95" s="9">
        <v>6</v>
      </c>
      <c r="F95" s="9">
        <v>3</v>
      </c>
      <c r="G95" s="9">
        <v>3</v>
      </c>
      <c r="H95" s="9">
        <v>4</v>
      </c>
      <c r="I95" s="9">
        <v>8</v>
      </c>
      <c r="J95" s="2" t="str">
        <f>IF('Pack Protajer'!$J$24="Español",V95,(IF('Pack Protajer'!$J$24="Deutsch",W95,(IF('Pack Protajer'!$J$24="Français",X95,U95)))))</f>
        <v>Furia</v>
      </c>
      <c r="K95" s="16">
        <v>50000</v>
      </c>
      <c r="L95" s="1">
        <f t="shared" si="10"/>
        <v>50</v>
      </c>
      <c r="M95" s="16">
        <v>16</v>
      </c>
      <c r="N95" s="16">
        <v>0</v>
      </c>
      <c r="O95" s="16" t="s">
        <v>170</v>
      </c>
      <c r="P95" s="16" t="s">
        <v>169</v>
      </c>
      <c r="Q95" s="16" t="s">
        <v>169</v>
      </c>
      <c r="R95" s="16">
        <v>0</v>
      </c>
      <c r="S95" s="16" t="s">
        <v>170</v>
      </c>
      <c r="T95" s="15" t="str">
        <f t="shared" si="7"/>
        <v>P</v>
      </c>
      <c r="U95" s="15" t="s">
        <v>315</v>
      </c>
      <c r="V95" s="15" t="s">
        <v>316</v>
      </c>
      <c r="W95" s="15" t="s">
        <v>317</v>
      </c>
      <c r="X95" s="15" t="s">
        <v>318</v>
      </c>
      <c r="Y95" s="8"/>
    </row>
    <row r="96" spans="1:25" ht="12.75" customHeight="1" x14ac:dyDescent="0.2">
      <c r="A96" s="23" t="s">
        <v>87</v>
      </c>
      <c r="B96" s="9" t="str">
        <f>A96&amp;COUNTIF($A$2:$A96,A96)</f>
        <v>Khorne3</v>
      </c>
      <c r="C96" s="9" t="s">
        <v>452</v>
      </c>
      <c r="D96" s="9" t="str">
        <f t="shared" si="0"/>
        <v>KhorneKhorngors</v>
      </c>
      <c r="E96" s="9">
        <v>6</v>
      </c>
      <c r="F96" s="9">
        <v>3</v>
      </c>
      <c r="G96" s="9">
        <v>3</v>
      </c>
      <c r="H96" s="9">
        <v>4</v>
      </c>
      <c r="I96" s="9">
        <v>9</v>
      </c>
      <c r="J96" s="2" t="str">
        <f>IF('Pack Protajer'!$J$24="Español",V96,(IF('Pack Protajer'!$J$24="Deutsch",W96,(IF('Pack Protajer'!$J$24="Français",X96,U96)))))</f>
        <v>Cuernos, Imparable</v>
      </c>
      <c r="K96" s="16">
        <v>70000</v>
      </c>
      <c r="L96" s="1">
        <f t="shared" si="10"/>
        <v>70</v>
      </c>
      <c r="M96" s="16">
        <v>4</v>
      </c>
      <c r="N96" s="16">
        <v>0</v>
      </c>
      <c r="O96" s="16" t="s">
        <v>170</v>
      </c>
      <c r="P96" s="16" t="s">
        <v>169</v>
      </c>
      <c r="Q96" s="16" t="s">
        <v>170</v>
      </c>
      <c r="R96" s="16" t="s">
        <v>169</v>
      </c>
      <c r="S96" s="16" t="s">
        <v>170</v>
      </c>
      <c r="T96" s="15" t="str">
        <f t="shared" si="7"/>
        <v>FULL</v>
      </c>
      <c r="U96" s="15" t="s">
        <v>453</v>
      </c>
      <c r="V96" s="15" t="s">
        <v>454</v>
      </c>
      <c r="W96" s="15" t="s">
        <v>455</v>
      </c>
      <c r="X96" s="15" t="s">
        <v>456</v>
      </c>
      <c r="Y96" s="8"/>
    </row>
    <row r="97" spans="1:25" ht="12.75" customHeight="1" x14ac:dyDescent="0.2">
      <c r="A97" s="23" t="s">
        <v>87</v>
      </c>
      <c r="B97" s="9" t="str">
        <f>A97&amp;COUNTIF($A$2:$A97,A97)</f>
        <v>Khorne4</v>
      </c>
      <c r="C97" s="9" t="s">
        <v>457</v>
      </c>
      <c r="D97" s="9" t="str">
        <f t="shared" si="0"/>
        <v>KhorneBloodseekers</v>
      </c>
      <c r="E97" s="9">
        <v>5</v>
      </c>
      <c r="F97" s="9">
        <v>4</v>
      </c>
      <c r="G97" s="9">
        <v>4</v>
      </c>
      <c r="H97" s="9">
        <v>6</v>
      </c>
      <c r="I97" s="9">
        <v>10</v>
      </c>
      <c r="J97" s="2" t="str">
        <f>IF('Pack Protajer'!$J$24="Español",V97,(IF('Pack Protajer'!$J$24="Deutsch",W97,(IF('Pack Protajer'!$J$24="Français",X97,U97)))))</f>
        <v>Furia</v>
      </c>
      <c r="K97" s="16">
        <v>110000</v>
      </c>
      <c r="L97" s="1">
        <f t="shared" si="10"/>
        <v>110</v>
      </c>
      <c r="M97" s="16">
        <v>4</v>
      </c>
      <c r="N97" s="16">
        <v>0</v>
      </c>
      <c r="O97" s="16" t="s">
        <v>170</v>
      </c>
      <c r="P97" s="16" t="s">
        <v>169</v>
      </c>
      <c r="Q97" s="16" t="s">
        <v>170</v>
      </c>
      <c r="R97" s="16">
        <v>0</v>
      </c>
      <c r="S97" s="16" t="s">
        <v>170</v>
      </c>
      <c r="T97" s="15" t="str">
        <f t="shared" si="7"/>
        <v>P</v>
      </c>
      <c r="U97" s="15" t="s">
        <v>315</v>
      </c>
      <c r="V97" s="15" t="s">
        <v>316</v>
      </c>
      <c r="W97" s="15" t="s">
        <v>317</v>
      </c>
      <c r="X97" s="15" t="s">
        <v>318</v>
      </c>
      <c r="Y97" s="8"/>
    </row>
    <row r="98" spans="1:25" ht="12.75" customHeight="1" x14ac:dyDescent="0.2">
      <c r="A98" s="23" t="s">
        <v>87</v>
      </c>
      <c r="B98" s="9" t="str">
        <f>A98&amp;COUNTIF($A$2:$A98,A98)</f>
        <v>Khorne5</v>
      </c>
      <c r="C98" s="9" t="s">
        <v>458</v>
      </c>
      <c r="D98" s="9" t="str">
        <f t="shared" si="0"/>
        <v>KhorneBloodspawn</v>
      </c>
      <c r="E98" s="9">
        <v>5</v>
      </c>
      <c r="F98" s="9">
        <v>5</v>
      </c>
      <c r="G98" s="9">
        <v>4</v>
      </c>
      <c r="H98" s="9">
        <v>0</v>
      </c>
      <c r="I98" s="9">
        <v>9</v>
      </c>
      <c r="J98" s="2" t="str">
        <f>IF('Pack Protajer'!$J$24="Español",V98,(IF('Pack Protajer'!$J$24="Deutsch",W98,(IF('Pack Protajer'!$J$24="Français",X98,U98)))))</f>
        <v>Garras, Furia, Solitario (4+), Golpe Mortífero (+1), Ira descontrolada</v>
      </c>
      <c r="K98" s="16">
        <v>160000</v>
      </c>
      <c r="L98" s="1">
        <f t="shared" si="10"/>
        <v>160</v>
      </c>
      <c r="M98" s="16">
        <v>1</v>
      </c>
      <c r="N98" s="16">
        <v>1</v>
      </c>
      <c r="O98" s="16" t="s">
        <v>169</v>
      </c>
      <c r="P98" s="16" t="s">
        <v>169</v>
      </c>
      <c r="Q98" s="16" t="s">
        <v>170</v>
      </c>
      <c r="R98" s="16">
        <v>0</v>
      </c>
      <c r="S98" s="16" t="s">
        <v>170</v>
      </c>
      <c r="T98" s="15" t="str">
        <f t="shared" si="7"/>
        <v>P</v>
      </c>
      <c r="U98" s="15" t="s">
        <v>459</v>
      </c>
      <c r="V98" s="15" t="s">
        <v>460</v>
      </c>
      <c r="W98" s="15" t="s">
        <v>461</v>
      </c>
      <c r="X98" s="15" t="s">
        <v>462</v>
      </c>
      <c r="Y98" s="8"/>
    </row>
    <row r="99" spans="1:25" ht="12.75" customHeight="1" x14ac:dyDescent="0.2">
      <c r="A99" s="23" t="s">
        <v>92</v>
      </c>
      <c r="B99" s="2" t="str">
        <f>A99&amp;COUNTIF($A$2:$A99,A99)</f>
        <v>Lizardman1</v>
      </c>
      <c r="C99" s="2" t="str">
        <f>""</f>
        <v/>
      </c>
      <c r="D99" s="2" t="str">
        <f t="shared" si="0"/>
        <v>Lizardman</v>
      </c>
      <c r="E99" s="2">
        <v>0</v>
      </c>
      <c r="F99" s="2">
        <v>0</v>
      </c>
      <c r="G99" s="2">
        <v>0</v>
      </c>
      <c r="H99" s="2">
        <v>0</v>
      </c>
      <c r="I99" s="2">
        <v>0</v>
      </c>
      <c r="J99" s="2">
        <f>IF('Pack Protajer'!$J$24="Español",V99,(IF('Pack Protajer'!$J$24="Deutsch",W99,(IF('Pack Protajer'!$J$24="Français",X99,U99)))))</f>
        <v>0</v>
      </c>
      <c r="K99" s="1">
        <v>0</v>
      </c>
      <c r="L99" s="1">
        <f t="shared" si="10"/>
        <v>0</v>
      </c>
      <c r="M99" s="1">
        <v>0</v>
      </c>
      <c r="N99" s="1">
        <v>0</v>
      </c>
      <c r="O99" s="1"/>
      <c r="P99" s="1"/>
      <c r="Q99" s="1"/>
      <c r="R99" s="1"/>
      <c r="S99" s="1"/>
      <c r="T99" s="15" t="str">
        <f t="shared" si="7"/>
        <v/>
      </c>
      <c r="U99" s="15">
        <v>0</v>
      </c>
      <c r="V99" s="15">
        <v>0</v>
      </c>
      <c r="W99" s="15">
        <v>0</v>
      </c>
      <c r="X99" s="15">
        <v>0</v>
      </c>
      <c r="Y99" s="15">
        <v>0</v>
      </c>
    </row>
    <row r="100" spans="1:25" ht="12.75" customHeight="1" x14ac:dyDescent="0.2">
      <c r="A100" s="23" t="s">
        <v>92</v>
      </c>
      <c r="B100" s="2" t="str">
        <f>A100&amp;COUNTIF($A$2:$A100,A100)</f>
        <v>Lizardman2</v>
      </c>
      <c r="C100" s="2" t="s">
        <v>463</v>
      </c>
      <c r="D100" s="2" t="str">
        <f t="shared" si="0"/>
        <v>LizardmanSkink</v>
      </c>
      <c r="E100" s="2">
        <v>8</v>
      </c>
      <c r="F100" s="2">
        <v>2</v>
      </c>
      <c r="G100" s="2">
        <v>3</v>
      </c>
      <c r="H100" s="2">
        <v>4</v>
      </c>
      <c r="I100" s="2">
        <v>8</v>
      </c>
      <c r="J100" s="2" t="str">
        <f>IF('Pack Protajer'!$J$24="Español",V100,(IF('Pack Protajer'!$J$24="Deutsch",W100,(IF('Pack Protajer'!$J$24="Français",X100,U100)))))</f>
        <v>Esquivar, Escurridizo</v>
      </c>
      <c r="K100" s="1">
        <v>60000</v>
      </c>
      <c r="L100" s="1">
        <f t="shared" si="10"/>
        <v>60</v>
      </c>
      <c r="M100" s="1">
        <v>16</v>
      </c>
      <c r="N100" s="1">
        <v>0</v>
      </c>
      <c r="O100" s="1" t="s">
        <v>169</v>
      </c>
      <c r="P100" s="1" t="s">
        <v>170</v>
      </c>
      <c r="Q100" s="1" t="s">
        <v>169</v>
      </c>
      <c r="R100" s="1" t="s">
        <v>169</v>
      </c>
      <c r="S100" s="1">
        <v>0</v>
      </c>
      <c r="T100" s="15" t="str">
        <f t="shared" si="7"/>
        <v>M</v>
      </c>
      <c r="U100" s="15" t="s">
        <v>464</v>
      </c>
      <c r="V100" s="15" t="s">
        <v>465</v>
      </c>
      <c r="W100" s="15" t="s">
        <v>466</v>
      </c>
      <c r="X100" s="15" t="s">
        <v>467</v>
      </c>
      <c r="Y100" s="15"/>
    </row>
    <row r="101" spans="1:25" ht="12.75" customHeight="1" x14ac:dyDescent="0.2">
      <c r="A101" s="23" t="s">
        <v>92</v>
      </c>
      <c r="B101" s="2" t="str">
        <f>A101&amp;COUNTIF($A$2:$A101,A101)</f>
        <v>Lizardman3</v>
      </c>
      <c r="C101" s="2" t="s">
        <v>468</v>
      </c>
      <c r="D101" s="2" t="str">
        <f t="shared" si="0"/>
        <v>LizardmanChameleon Skink</v>
      </c>
      <c r="E101" s="2">
        <v>7</v>
      </c>
      <c r="F101" s="2">
        <v>2</v>
      </c>
      <c r="G101" s="2">
        <v>3</v>
      </c>
      <c r="H101" s="2">
        <v>3</v>
      </c>
      <c r="I101" s="2">
        <v>8</v>
      </c>
      <c r="J101" s="2" t="str">
        <f>IF('Pack Protajer'!$J$24="Español",V101,(IF('Pack Protajer'!$J$24="Deutsch",W101,(IF('Pack Protajer'!$J$24="Français",X101,U101)))))</f>
        <v>Esquivar, Atento al balón, Perseguir, Escurridizo</v>
      </c>
      <c r="K101" s="1">
        <v>70000</v>
      </c>
      <c r="L101" s="1">
        <f t="shared" si="10"/>
        <v>70</v>
      </c>
      <c r="M101" s="2">
        <v>2</v>
      </c>
      <c r="N101" s="2">
        <v>0</v>
      </c>
      <c r="O101" s="1" t="s">
        <v>169</v>
      </c>
      <c r="P101" s="1" t="s">
        <v>170</v>
      </c>
      <c r="Q101" s="1" t="s">
        <v>169</v>
      </c>
      <c r="R101" s="1" t="s">
        <v>169</v>
      </c>
      <c r="S101" s="1">
        <v>0</v>
      </c>
      <c r="T101" s="15" t="str">
        <f t="shared" si="7"/>
        <v>M</v>
      </c>
      <c r="U101" s="15" t="s">
        <v>469</v>
      </c>
      <c r="V101" s="15" t="s">
        <v>470</v>
      </c>
      <c r="W101" s="15" t="s">
        <v>471</v>
      </c>
      <c r="X101" s="15" t="s">
        <v>472</v>
      </c>
      <c r="Y101" s="15"/>
    </row>
    <row r="102" spans="1:25" ht="12.75" customHeight="1" x14ac:dyDescent="0.2">
      <c r="A102" s="23" t="s">
        <v>92</v>
      </c>
      <c r="B102" s="2" t="str">
        <f>A102&amp;COUNTIF($A$2:$A102,A102)</f>
        <v>Lizardman4</v>
      </c>
      <c r="C102" s="2" t="s">
        <v>473</v>
      </c>
      <c r="D102" s="2" t="str">
        <f t="shared" si="0"/>
        <v>LizardmanSaurus</v>
      </c>
      <c r="E102" s="2">
        <v>6</v>
      </c>
      <c r="F102" s="2">
        <v>4</v>
      </c>
      <c r="G102" s="2">
        <v>5</v>
      </c>
      <c r="H102" s="2">
        <v>6</v>
      </c>
      <c r="I102" s="2">
        <v>10</v>
      </c>
      <c r="J102" s="2" t="str">
        <f>IF('Pack Protajer'!$J$24="Español",V102,(IF('Pack Protajer'!$J$24="Deutsch",W102,(IF('Pack Protajer'!$J$24="Français",X102,U102)))))</f>
        <v/>
      </c>
      <c r="K102" s="1">
        <v>85000</v>
      </c>
      <c r="L102" s="1">
        <f t="shared" si="10"/>
        <v>85</v>
      </c>
      <c r="M102" s="2">
        <v>6</v>
      </c>
      <c r="N102" s="2">
        <v>0</v>
      </c>
      <c r="O102" s="1" t="s">
        <v>170</v>
      </c>
      <c r="P102" s="1" t="s">
        <v>169</v>
      </c>
      <c r="Q102" s="1" t="s">
        <v>170</v>
      </c>
      <c r="R102" s="1">
        <v>0</v>
      </c>
      <c r="S102" s="1">
        <v>0</v>
      </c>
      <c r="T102" s="15" t="str">
        <f t="shared" si="7"/>
        <v>PM</v>
      </c>
      <c r="U102" s="15" t="str">
        <f t="shared" ref="U102:Y102" si="11">""</f>
        <v/>
      </c>
      <c r="V102" s="15" t="str">
        <f t="shared" si="11"/>
        <v/>
      </c>
      <c r="W102" s="15" t="str">
        <f t="shared" si="11"/>
        <v/>
      </c>
      <c r="X102" s="15" t="str">
        <f t="shared" si="11"/>
        <v/>
      </c>
      <c r="Y102" s="15" t="str">
        <f t="shared" si="11"/>
        <v/>
      </c>
    </row>
    <row r="103" spans="1:25" ht="12.75" customHeight="1" x14ac:dyDescent="0.2">
      <c r="A103" s="23" t="s">
        <v>92</v>
      </c>
      <c r="B103" s="2" t="str">
        <f>A103&amp;COUNTIF($A$2:$A103,A103)</f>
        <v>Lizardman5</v>
      </c>
      <c r="C103" s="2" t="s">
        <v>474</v>
      </c>
      <c r="D103" s="2" t="str">
        <f t="shared" si="0"/>
        <v>LizardmanKroxigor</v>
      </c>
      <c r="E103" s="2">
        <v>6</v>
      </c>
      <c r="F103" s="2">
        <v>5</v>
      </c>
      <c r="G103" s="2">
        <v>5</v>
      </c>
      <c r="H103" s="2">
        <v>0</v>
      </c>
      <c r="I103" s="2">
        <v>10</v>
      </c>
      <c r="J103" s="2" t="str">
        <f>IF('Pack Protajer'!$J$24="Español",V103,(IF('Pack Protajer'!$J$24="Deutsch",W103,(IF('Pack Protajer'!$J$24="Français",X103,U103)))))</f>
        <v>Estúpido, Solitario (4+), Golpe mortífero (+1), Cola prensil, Cabeza dura</v>
      </c>
      <c r="K103" s="1">
        <v>140000</v>
      </c>
      <c r="L103" s="1">
        <f t="shared" si="10"/>
        <v>140</v>
      </c>
      <c r="M103" s="2">
        <v>1</v>
      </c>
      <c r="N103" s="2">
        <v>1</v>
      </c>
      <c r="O103" s="1" t="s">
        <v>169</v>
      </c>
      <c r="P103" s="1" t="s">
        <v>169</v>
      </c>
      <c r="Q103" s="1" t="s">
        <v>170</v>
      </c>
      <c r="R103" s="12">
        <v>0</v>
      </c>
      <c r="S103" s="1">
        <v>0</v>
      </c>
      <c r="T103" s="15" t="str">
        <f t="shared" si="7"/>
        <v>PM</v>
      </c>
      <c r="U103" s="15" t="s">
        <v>475</v>
      </c>
      <c r="V103" s="15" t="s">
        <v>476</v>
      </c>
      <c r="W103" s="15" t="s">
        <v>477</v>
      </c>
      <c r="X103" s="15" t="s">
        <v>478</v>
      </c>
      <c r="Y103" s="15"/>
    </row>
    <row r="104" spans="1:25" ht="12.75" customHeight="1" x14ac:dyDescent="0.2">
      <c r="A104" s="23" t="s">
        <v>96</v>
      </c>
      <c r="B104" s="2" t="str">
        <f>A104&amp;COUNTIF($A$2:$A104,A104)</f>
        <v>Necromantic1</v>
      </c>
      <c r="C104" s="2" t="str">
        <f>""</f>
        <v/>
      </c>
      <c r="D104" s="2" t="str">
        <f t="shared" si="0"/>
        <v>Necromantic</v>
      </c>
      <c r="E104" s="2">
        <v>0</v>
      </c>
      <c r="F104" s="2">
        <v>0</v>
      </c>
      <c r="G104" s="2">
        <v>0</v>
      </c>
      <c r="H104" s="2">
        <v>0</v>
      </c>
      <c r="I104" s="2">
        <v>0</v>
      </c>
      <c r="J104" s="2">
        <f>IF('Pack Protajer'!$J$24="Español",V104,(IF('Pack Protajer'!$J$24="Deutsch",W104,(IF('Pack Protajer'!$J$24="Français",X104,U104)))))</f>
        <v>0</v>
      </c>
      <c r="K104" s="1">
        <v>0</v>
      </c>
      <c r="L104" s="1">
        <f t="shared" si="10"/>
        <v>0</v>
      </c>
      <c r="M104" s="1">
        <v>0</v>
      </c>
      <c r="N104" s="1">
        <v>0</v>
      </c>
      <c r="O104" s="1"/>
      <c r="P104" s="1"/>
      <c r="Q104" s="1"/>
      <c r="R104" s="1"/>
      <c r="S104" s="1"/>
      <c r="T104" s="15" t="str">
        <f t="shared" si="7"/>
        <v/>
      </c>
      <c r="U104" s="15">
        <v>0</v>
      </c>
      <c r="V104" s="15">
        <v>0</v>
      </c>
      <c r="W104" s="15">
        <v>0</v>
      </c>
      <c r="X104" s="15">
        <v>0</v>
      </c>
      <c r="Y104" s="15">
        <v>0</v>
      </c>
    </row>
    <row r="105" spans="1:25" ht="12.75" customHeight="1" x14ac:dyDescent="0.2">
      <c r="A105" s="23" t="s">
        <v>96</v>
      </c>
      <c r="B105" s="2" t="str">
        <f>A105&amp;COUNTIF($A$2:$A105,A105)</f>
        <v>Necromantic2</v>
      </c>
      <c r="C105" s="2" t="s">
        <v>479</v>
      </c>
      <c r="D105" s="2" t="str">
        <f t="shared" si="0"/>
        <v>NecromanticZombie</v>
      </c>
      <c r="E105" s="2">
        <v>4</v>
      </c>
      <c r="F105" s="2">
        <v>3</v>
      </c>
      <c r="G105" s="2">
        <v>4</v>
      </c>
      <c r="H105" s="2">
        <v>0</v>
      </c>
      <c r="I105" s="2">
        <v>9</v>
      </c>
      <c r="J105" s="2" t="str">
        <f>IF('Pack Protajer'!$J$24="Español",V105,(IF('Pack Protajer'!$J$24="Deutsch",W105,(IF('Pack Protajer'!$J$24="Français",X105,U105)))))</f>
        <v>Regeneración</v>
      </c>
      <c r="K105" s="1">
        <v>40000</v>
      </c>
      <c r="L105" s="1">
        <f t="shared" si="10"/>
        <v>40</v>
      </c>
      <c r="M105" s="1">
        <v>16</v>
      </c>
      <c r="N105" s="1">
        <v>0</v>
      </c>
      <c r="O105" s="1" t="s">
        <v>170</v>
      </c>
      <c r="P105" s="1" t="s">
        <v>169</v>
      </c>
      <c r="Q105" s="1" t="s">
        <v>169</v>
      </c>
      <c r="R105" s="12">
        <v>0</v>
      </c>
      <c r="S105" s="1">
        <v>0</v>
      </c>
      <c r="T105" s="15" t="str">
        <f t="shared" si="7"/>
        <v>PM</v>
      </c>
      <c r="U105" s="15" t="s">
        <v>480</v>
      </c>
      <c r="V105" s="15" t="s">
        <v>481</v>
      </c>
      <c r="W105" s="15" t="s">
        <v>480</v>
      </c>
      <c r="X105" s="15" t="s">
        <v>482</v>
      </c>
      <c r="Y105" s="15"/>
    </row>
    <row r="106" spans="1:25" ht="12.75" customHeight="1" x14ac:dyDescent="0.2">
      <c r="A106" s="23" t="s">
        <v>96</v>
      </c>
      <c r="B106" s="2" t="str">
        <f>A106&amp;COUNTIF($A$2:$A106,A106)</f>
        <v>Necromantic3</v>
      </c>
      <c r="C106" s="2" t="s">
        <v>483</v>
      </c>
      <c r="D106" s="2" t="str">
        <f t="shared" si="0"/>
        <v>NecromanticGhoul</v>
      </c>
      <c r="E106" s="2">
        <v>7</v>
      </c>
      <c r="F106" s="2">
        <v>3</v>
      </c>
      <c r="G106" s="2">
        <v>3</v>
      </c>
      <c r="H106" s="2">
        <v>4</v>
      </c>
      <c r="I106" s="2">
        <v>8</v>
      </c>
      <c r="J106" s="2" t="str">
        <f>IF('Pack Protajer'!$J$24="Español",V106,(IF('Pack Protajer'!$J$24="Deutsch",W106,(IF('Pack Protajer'!$J$24="Français",X106,U106)))))</f>
        <v>Esquivar</v>
      </c>
      <c r="K106" s="1">
        <v>75000</v>
      </c>
      <c r="L106" s="1">
        <f t="shared" si="10"/>
        <v>75</v>
      </c>
      <c r="M106" s="1">
        <v>2</v>
      </c>
      <c r="N106" s="1">
        <v>0</v>
      </c>
      <c r="O106" s="1" t="s">
        <v>170</v>
      </c>
      <c r="P106" s="1" t="s">
        <v>170</v>
      </c>
      <c r="Q106" s="1" t="s">
        <v>169</v>
      </c>
      <c r="R106" s="1" t="s">
        <v>169</v>
      </c>
      <c r="S106" s="1">
        <v>0</v>
      </c>
      <c r="T106" s="15" t="str">
        <f t="shared" si="7"/>
        <v>M</v>
      </c>
      <c r="U106" s="15" t="s">
        <v>237</v>
      </c>
      <c r="V106" s="15" t="s">
        <v>238</v>
      </c>
      <c r="W106" s="15" t="s">
        <v>239</v>
      </c>
      <c r="X106" s="15" t="s">
        <v>240</v>
      </c>
      <c r="Y106" s="15"/>
    </row>
    <row r="107" spans="1:25" ht="12.75" customHeight="1" x14ac:dyDescent="0.2">
      <c r="A107" s="23" t="s">
        <v>96</v>
      </c>
      <c r="B107" s="2" t="str">
        <f>A107&amp;COUNTIF($A$2:$A107,A107)</f>
        <v>Necromantic4</v>
      </c>
      <c r="C107" s="2" t="s">
        <v>484</v>
      </c>
      <c r="D107" s="2" t="str">
        <f t="shared" si="0"/>
        <v>NecromanticWraiths</v>
      </c>
      <c r="E107" s="2">
        <v>6</v>
      </c>
      <c r="F107" s="2">
        <v>3</v>
      </c>
      <c r="G107" s="2">
        <v>3</v>
      </c>
      <c r="H107" s="2">
        <v>0</v>
      </c>
      <c r="I107" s="2">
        <v>9</v>
      </c>
      <c r="J107" s="2" t="str">
        <f>IF('Pack Protajer'!$J$24="Español",V107,(IF('Pack Protajer'!$J$24="Deutsch",W107,(IF('Pack Protajer'!$J$24="Français",X107,U107)))))</f>
        <v>Placar, Apariencia asquerosa, Sin manos, Regeneración, Echarse a un lado</v>
      </c>
      <c r="K107" s="1">
        <v>95000</v>
      </c>
      <c r="L107" s="1">
        <f t="shared" si="10"/>
        <v>95</v>
      </c>
      <c r="M107" s="1">
        <v>2</v>
      </c>
      <c r="N107" s="1">
        <v>0</v>
      </c>
      <c r="O107" s="1" t="s">
        <v>170</v>
      </c>
      <c r="P107" s="1" t="s">
        <v>169</v>
      </c>
      <c r="Q107" s="1" t="s">
        <v>170</v>
      </c>
      <c r="R107" s="12">
        <v>0</v>
      </c>
      <c r="S107" s="1">
        <v>0</v>
      </c>
      <c r="T107" s="15" t="str">
        <f t="shared" si="7"/>
        <v>PM</v>
      </c>
      <c r="U107" s="15" t="s">
        <v>485</v>
      </c>
      <c r="V107" s="15" t="s">
        <v>486</v>
      </c>
      <c r="W107" s="15" t="s">
        <v>487</v>
      </c>
      <c r="X107" s="15" t="s">
        <v>488</v>
      </c>
      <c r="Y107" s="15"/>
    </row>
    <row r="108" spans="1:25" ht="12.75" customHeight="1" x14ac:dyDescent="0.2">
      <c r="A108" s="23" t="s">
        <v>96</v>
      </c>
      <c r="B108" s="2" t="str">
        <f>A108&amp;COUNTIF($A$2:$A108,A108)</f>
        <v>Necromantic5</v>
      </c>
      <c r="C108" s="2" t="s">
        <v>489</v>
      </c>
      <c r="D108" s="2" t="str">
        <f t="shared" si="0"/>
        <v>NecromanticFlesh Golem</v>
      </c>
      <c r="E108" s="2">
        <v>4</v>
      </c>
      <c r="F108" s="2">
        <v>4</v>
      </c>
      <c r="G108" s="2">
        <v>4</v>
      </c>
      <c r="H108" s="2">
        <v>0</v>
      </c>
      <c r="I108" s="2">
        <v>10</v>
      </c>
      <c r="J108" s="2" t="str">
        <f>IF('Pack Protajer'!$J$24="Español",V108,(IF('Pack Protajer'!$J$24="Deutsch",W108,(IF('Pack Protajer'!$J$24="Français",X108,U108)))))</f>
        <v>Regeneración, Mantenerse firme, Cabeza dura</v>
      </c>
      <c r="K108" s="1">
        <v>115000</v>
      </c>
      <c r="L108" s="1">
        <f t="shared" si="10"/>
        <v>115</v>
      </c>
      <c r="M108" s="1">
        <v>2</v>
      </c>
      <c r="N108" s="1">
        <v>0</v>
      </c>
      <c r="O108" s="1" t="s">
        <v>170</v>
      </c>
      <c r="P108" s="1" t="s">
        <v>169</v>
      </c>
      <c r="Q108" s="1" t="s">
        <v>170</v>
      </c>
      <c r="R108" s="12">
        <v>0</v>
      </c>
      <c r="S108" s="1">
        <v>0</v>
      </c>
      <c r="T108" s="15" t="str">
        <f t="shared" si="7"/>
        <v>PM</v>
      </c>
      <c r="U108" s="15" t="s">
        <v>490</v>
      </c>
      <c r="V108" s="15" t="s">
        <v>491</v>
      </c>
      <c r="W108" s="15" t="s">
        <v>492</v>
      </c>
      <c r="X108" s="15" t="s">
        <v>493</v>
      </c>
      <c r="Y108" s="15"/>
    </row>
    <row r="109" spans="1:25" ht="12.75" customHeight="1" x14ac:dyDescent="0.2">
      <c r="A109" s="23" t="s">
        <v>96</v>
      </c>
      <c r="B109" s="2" t="str">
        <f>A109&amp;COUNTIF($A$2:$A109,A109)</f>
        <v>Necromantic6</v>
      </c>
      <c r="C109" s="2" t="s">
        <v>494</v>
      </c>
      <c r="D109" s="2" t="str">
        <f t="shared" si="0"/>
        <v>NecromanticWerewolf</v>
      </c>
      <c r="E109" s="2">
        <v>8</v>
      </c>
      <c r="F109" s="2">
        <v>3</v>
      </c>
      <c r="G109" s="2">
        <v>3</v>
      </c>
      <c r="H109" s="2">
        <v>4</v>
      </c>
      <c r="I109" s="2">
        <v>9</v>
      </c>
      <c r="J109" s="2" t="str">
        <f>IF('Pack Protajer'!$J$24="Español",V109,(IF('Pack Protajer'!$J$24="Deutsch",W109,(IF('Pack Protajer'!$J$24="Français",X109,U109)))))</f>
        <v>Garras, Furia, Regeneración</v>
      </c>
      <c r="K109" s="1">
        <v>125000</v>
      </c>
      <c r="L109" s="1">
        <f t="shared" si="10"/>
        <v>125</v>
      </c>
      <c r="M109" s="2">
        <v>2</v>
      </c>
      <c r="N109" s="2">
        <v>0</v>
      </c>
      <c r="O109" s="1" t="s">
        <v>170</v>
      </c>
      <c r="P109" s="1" t="s">
        <v>170</v>
      </c>
      <c r="Q109" s="1" t="s">
        <v>169</v>
      </c>
      <c r="R109" s="1" t="s">
        <v>169</v>
      </c>
      <c r="S109" s="1">
        <v>0</v>
      </c>
      <c r="T109" s="15" t="str">
        <f t="shared" si="7"/>
        <v>M</v>
      </c>
      <c r="U109" s="15" t="s">
        <v>495</v>
      </c>
      <c r="V109" s="2" t="s">
        <v>496</v>
      </c>
      <c r="W109" s="15" t="s">
        <v>497</v>
      </c>
      <c r="X109" s="15" t="s">
        <v>498</v>
      </c>
      <c r="Y109" s="15"/>
    </row>
    <row r="110" spans="1:25" ht="12.75" customHeight="1" x14ac:dyDescent="0.2">
      <c r="A110" s="23" t="s">
        <v>103</v>
      </c>
      <c r="B110" s="2" t="str">
        <f>A110&amp;COUNTIF($A$2:$A110,A110)</f>
        <v>Norse1</v>
      </c>
      <c r="C110" s="2"/>
      <c r="D110" s="2" t="str">
        <f t="shared" si="0"/>
        <v>Norse</v>
      </c>
      <c r="E110" s="2">
        <v>0</v>
      </c>
      <c r="F110" s="2">
        <v>0</v>
      </c>
      <c r="G110" s="2">
        <v>0</v>
      </c>
      <c r="H110" s="2">
        <v>0</v>
      </c>
      <c r="I110" s="2">
        <v>0</v>
      </c>
      <c r="J110" s="2">
        <f>IF('Pack Protajer'!$J$24="Español",V110,(IF('Pack Protajer'!$J$24="Deutsch",W110,(IF('Pack Protajer'!$J$24="Français",X110,U110)))))</f>
        <v>0</v>
      </c>
      <c r="K110" s="1">
        <v>0</v>
      </c>
      <c r="L110" s="1">
        <f t="shared" si="10"/>
        <v>0</v>
      </c>
      <c r="M110" s="1">
        <v>0</v>
      </c>
      <c r="N110" s="1">
        <v>0</v>
      </c>
      <c r="O110" s="1"/>
      <c r="P110" s="1"/>
      <c r="Q110" s="1"/>
      <c r="R110" s="1"/>
      <c r="S110" s="1"/>
      <c r="T110" s="15" t="str">
        <f t="shared" si="7"/>
        <v/>
      </c>
      <c r="U110" s="15">
        <v>0</v>
      </c>
      <c r="V110" s="15">
        <v>0</v>
      </c>
      <c r="W110" s="15">
        <v>0</v>
      </c>
      <c r="X110" s="15">
        <v>0</v>
      </c>
      <c r="Y110" s="15">
        <v>0</v>
      </c>
    </row>
    <row r="111" spans="1:25" ht="12.75" customHeight="1" x14ac:dyDescent="0.2">
      <c r="A111" s="23" t="s">
        <v>103</v>
      </c>
      <c r="B111" s="2" t="str">
        <f>A111&amp;COUNTIF($A$2:$A111,A111)</f>
        <v>Norse2</v>
      </c>
      <c r="C111" s="2" t="s">
        <v>1133</v>
      </c>
      <c r="D111" s="2" t="str">
        <f t="shared" si="0"/>
        <v>NorseRaider Lineman</v>
      </c>
      <c r="E111" s="2">
        <v>6</v>
      </c>
      <c r="F111" s="2">
        <v>3</v>
      </c>
      <c r="G111" s="2">
        <v>3</v>
      </c>
      <c r="H111" s="2">
        <v>4</v>
      </c>
      <c r="I111" s="2">
        <v>8</v>
      </c>
      <c r="J111" s="2" t="str">
        <f>IF('Pack Protajer'!$J$24="Español",V111,(IF('Pack Protajer'!$J$24="Deutsch",W111,(IF('Pack Protajer'!$J$24="Français",X111,U111)))))</f>
        <v>Placar, Borracho, Cabeza dura</v>
      </c>
      <c r="K111" s="1">
        <v>50000</v>
      </c>
      <c r="L111" s="1">
        <f t="shared" si="10"/>
        <v>50</v>
      </c>
      <c r="M111" s="1">
        <v>16</v>
      </c>
      <c r="N111" s="1">
        <f>IF(M111&lt;10,1,0)</f>
        <v>0</v>
      </c>
      <c r="O111" s="1" t="s">
        <v>170</v>
      </c>
      <c r="P111" s="1" t="s">
        <v>169</v>
      </c>
      <c r="Q111" s="1" t="s">
        <v>169</v>
      </c>
      <c r="R111" s="1" t="s">
        <v>169</v>
      </c>
      <c r="S111" s="1">
        <v>0</v>
      </c>
      <c r="T111" s="15" t="str">
        <f t="shared" si="7"/>
        <v>M</v>
      </c>
      <c r="U111" s="15" t="s">
        <v>1134</v>
      </c>
      <c r="V111" s="15" t="s">
        <v>1135</v>
      </c>
      <c r="W111" s="15" t="s">
        <v>1136</v>
      </c>
      <c r="X111" s="15" t="s">
        <v>1137</v>
      </c>
      <c r="Y111" s="15"/>
    </row>
    <row r="112" spans="1:25" ht="12.75" customHeight="1" x14ac:dyDescent="0.2">
      <c r="A112" s="23" t="s">
        <v>103</v>
      </c>
      <c r="B112" s="2" t="str">
        <f>A112&amp;COUNTIF($A$2:$A112,A112)</f>
        <v>Norse3</v>
      </c>
      <c r="C112" s="2" t="s">
        <v>1138</v>
      </c>
      <c r="D112" s="2" t="str">
        <f t="shared" si="0"/>
        <v>NorseBeer Boar</v>
      </c>
      <c r="E112" s="2">
        <v>5</v>
      </c>
      <c r="F112" s="2">
        <v>1</v>
      </c>
      <c r="G112" s="2">
        <v>3</v>
      </c>
      <c r="H112" s="2">
        <v>0</v>
      </c>
      <c r="I112" s="2">
        <v>6</v>
      </c>
      <c r="J112" s="2" t="str">
        <f>IF('Pack Protajer'!$J$24="Español",V112,(IF('Pack Protajer'!$J$24="Deutsch",W112,(IF('Pack Protajer'!$J$24="Français",X112,U112)))))</f>
        <v>Esquivar, Sin manos, Recógeme, Escurridizo, Canijo</v>
      </c>
      <c r="K112" s="1">
        <v>20000</v>
      </c>
      <c r="L112" s="1">
        <f t="shared" si="10"/>
        <v>20</v>
      </c>
      <c r="M112" s="1">
        <v>2</v>
      </c>
      <c r="N112" s="1">
        <v>0</v>
      </c>
      <c r="O112" s="1">
        <v>0</v>
      </c>
      <c r="P112" s="1" t="s">
        <v>169</v>
      </c>
      <c r="Q112" s="1">
        <v>0</v>
      </c>
      <c r="R112" s="1">
        <v>0</v>
      </c>
      <c r="S112" s="1">
        <v>0</v>
      </c>
      <c r="T112" s="15" t="str">
        <f t="shared" si="7"/>
        <v>GPSM</v>
      </c>
      <c r="U112" s="15" t="s">
        <v>1139</v>
      </c>
      <c r="V112" s="15" t="s">
        <v>1140</v>
      </c>
      <c r="W112" s="15" t="s">
        <v>1141</v>
      </c>
      <c r="X112" s="15" t="s">
        <v>1142</v>
      </c>
      <c r="Y112" s="15"/>
    </row>
    <row r="113" spans="1:25" ht="12.75" customHeight="1" x14ac:dyDescent="0.2">
      <c r="A113" s="23" t="s">
        <v>103</v>
      </c>
      <c r="B113" s="2" t="str">
        <f>A113&amp;COUNTIF($A$2:$A113,A113)</f>
        <v>Norse4</v>
      </c>
      <c r="C113" s="2" t="s">
        <v>499</v>
      </c>
      <c r="D113" s="2" t="str">
        <f t="shared" si="0"/>
        <v>NorseBerserker</v>
      </c>
      <c r="E113" s="2">
        <v>6</v>
      </c>
      <c r="F113" s="2">
        <v>3</v>
      </c>
      <c r="G113" s="2">
        <v>3</v>
      </c>
      <c r="H113" s="2">
        <v>5</v>
      </c>
      <c r="I113" s="2">
        <v>8</v>
      </c>
      <c r="J113" s="2" t="str">
        <f>IF('Pack Protajer'!$J$24="Español",V113,(IF('Pack Protajer'!$J$24="Deutsch",W113,(IF('Pack Protajer'!$J$24="Français",X113,U113)))))</f>
        <v>Placar, Furia, En pie de un salto</v>
      </c>
      <c r="K113" s="1">
        <v>90000</v>
      </c>
      <c r="L113" s="1">
        <f t="shared" si="10"/>
        <v>90</v>
      </c>
      <c r="M113" s="1">
        <v>2</v>
      </c>
      <c r="N113" s="1">
        <v>0</v>
      </c>
      <c r="O113" s="1" t="s">
        <v>170</v>
      </c>
      <c r="P113" s="1" t="s">
        <v>169</v>
      </c>
      <c r="Q113" s="1" t="s">
        <v>170</v>
      </c>
      <c r="R113" s="1" t="s">
        <v>169</v>
      </c>
      <c r="S113" s="1">
        <v>0</v>
      </c>
      <c r="T113" s="15" t="str">
        <f t="shared" si="7"/>
        <v>M</v>
      </c>
      <c r="U113" s="15" t="s">
        <v>500</v>
      </c>
      <c r="V113" s="15" t="s">
        <v>501</v>
      </c>
      <c r="W113" s="15" t="s">
        <v>502</v>
      </c>
      <c r="X113" s="15" t="s">
        <v>503</v>
      </c>
      <c r="Y113" s="15"/>
    </row>
    <row r="114" spans="1:25" ht="12.75" customHeight="1" x14ac:dyDescent="0.2">
      <c r="A114" s="23" t="s">
        <v>103</v>
      </c>
      <c r="B114" s="2" t="str">
        <f>A114&amp;COUNTIF($A$2:$A114,A114)</f>
        <v>Norse5</v>
      </c>
      <c r="C114" s="2" t="s">
        <v>1148</v>
      </c>
      <c r="D114" s="2" t="str">
        <f t="shared" si="0"/>
        <v>NorseValkyrie</v>
      </c>
      <c r="E114" s="2">
        <v>7</v>
      </c>
      <c r="F114" s="2">
        <v>3</v>
      </c>
      <c r="G114" s="2">
        <v>3</v>
      </c>
      <c r="H114" s="2">
        <v>3</v>
      </c>
      <c r="I114" s="2">
        <v>8</v>
      </c>
      <c r="J114" s="2" t="str">
        <f>IF('Pack Protajer'!$J$24="Español",V114,(IF('Pack Protajer'!$J$24="Deutsch",W114,(IF('Pack Protajer'!$J$24="Français",X114,U114)))))</f>
        <v>Atrapar, Agallas, Pasar, Robar balón</v>
      </c>
      <c r="K114" s="1">
        <v>95000</v>
      </c>
      <c r="L114" s="1">
        <f t="shared" si="10"/>
        <v>95</v>
      </c>
      <c r="M114" s="1">
        <v>2</v>
      </c>
      <c r="N114" s="1">
        <v>0</v>
      </c>
      <c r="O114" s="1" t="s">
        <v>170</v>
      </c>
      <c r="P114" s="1" t="s">
        <v>170</v>
      </c>
      <c r="Q114" s="1" t="s">
        <v>169</v>
      </c>
      <c r="R114" s="1" t="s">
        <v>170</v>
      </c>
      <c r="S114" s="1">
        <v>0</v>
      </c>
      <c r="T114" s="15" t="str">
        <f t="shared" si="7"/>
        <v>M</v>
      </c>
      <c r="U114" s="15" t="s">
        <v>1143</v>
      </c>
      <c r="V114" s="15" t="s">
        <v>1144</v>
      </c>
      <c r="W114" s="15" t="s">
        <v>1145</v>
      </c>
      <c r="X114" s="15" t="s">
        <v>1146</v>
      </c>
      <c r="Y114" s="15"/>
    </row>
    <row r="115" spans="1:25" ht="12.75" customHeight="1" x14ac:dyDescent="0.2">
      <c r="A115" s="23" t="s">
        <v>103</v>
      </c>
      <c r="B115" s="2" t="str">
        <f>A115&amp;COUNTIF($A$2:$A115,A115)</f>
        <v>Norse6</v>
      </c>
      <c r="C115" s="2" t="s">
        <v>504</v>
      </c>
      <c r="D115" s="2" t="str">
        <f t="shared" si="0"/>
        <v>NorseUlfwerener</v>
      </c>
      <c r="E115" s="2">
        <v>6</v>
      </c>
      <c r="F115" s="2">
        <v>4</v>
      </c>
      <c r="G115" s="2">
        <v>4</v>
      </c>
      <c r="H115" s="2">
        <v>0</v>
      </c>
      <c r="I115" s="2">
        <v>9</v>
      </c>
      <c r="J115" s="2" t="str">
        <f>IF('Pack Protajer'!$J$24="Español",V115,(IF('Pack Protajer'!$J$24="Deutsch",W115,(IF('Pack Protajer'!$J$24="Français",X115,U115)))))</f>
        <v>Furia</v>
      </c>
      <c r="K115" s="1">
        <v>105000</v>
      </c>
      <c r="L115" s="1">
        <f t="shared" si="10"/>
        <v>105</v>
      </c>
      <c r="M115" s="1">
        <v>2</v>
      </c>
      <c r="N115" s="1">
        <v>0</v>
      </c>
      <c r="O115" s="1" t="s">
        <v>170</v>
      </c>
      <c r="P115" s="1" t="s">
        <v>169</v>
      </c>
      <c r="Q115" s="1" t="s">
        <v>170</v>
      </c>
      <c r="R115" s="1">
        <v>0</v>
      </c>
      <c r="S115" s="1">
        <v>0</v>
      </c>
      <c r="T115" s="15" t="str">
        <f t="shared" si="7"/>
        <v>PM</v>
      </c>
      <c r="U115" s="15" t="s">
        <v>315</v>
      </c>
      <c r="V115" s="15" t="s">
        <v>316</v>
      </c>
      <c r="W115" s="15" t="s">
        <v>317</v>
      </c>
      <c r="X115" s="15" t="s">
        <v>318</v>
      </c>
      <c r="Y115" s="15"/>
    </row>
    <row r="116" spans="1:25" ht="12.75" customHeight="1" x14ac:dyDescent="0.2">
      <c r="A116" s="23" t="s">
        <v>103</v>
      </c>
      <c r="B116" s="2" t="str">
        <f>A116&amp;COUNTIF($A$2:$A116,A116)</f>
        <v>Norse7</v>
      </c>
      <c r="C116" s="2" t="s">
        <v>1147</v>
      </c>
      <c r="D116" s="2" t="str">
        <f t="shared" si="0"/>
        <v>NorseYhetee</v>
      </c>
      <c r="E116" s="2">
        <v>5</v>
      </c>
      <c r="F116" s="2">
        <v>5</v>
      </c>
      <c r="G116" s="2">
        <v>4</v>
      </c>
      <c r="H116" s="2">
        <v>0</v>
      </c>
      <c r="I116" s="2">
        <v>9</v>
      </c>
      <c r="J116" s="2" t="str">
        <f>IF('Pack Protajer'!$J$24="Español",V116,(IF('Pack Protajer'!$J$24="Deutsch",W116,(IF('Pack Protajer'!$J$24="Français",X116,U116)))))</f>
        <v>Garras, Presencia perturbadora, Furia, Solitario (4+), Ira descontrolada</v>
      </c>
      <c r="K116" s="1">
        <v>140000</v>
      </c>
      <c r="L116" s="1">
        <f t="shared" si="10"/>
        <v>140</v>
      </c>
      <c r="M116" s="1">
        <v>1</v>
      </c>
      <c r="N116" s="1">
        <f>IF(M116&lt;10,1,0)</f>
        <v>1</v>
      </c>
      <c r="O116" s="1" t="s">
        <v>169</v>
      </c>
      <c r="P116" s="1" t="s">
        <v>170</v>
      </c>
      <c r="Q116" s="1" t="s">
        <v>170</v>
      </c>
      <c r="R116" s="1">
        <v>0</v>
      </c>
      <c r="S116" s="1">
        <v>0</v>
      </c>
      <c r="T116" s="15" t="str">
        <f t="shared" si="7"/>
        <v>PM</v>
      </c>
      <c r="U116" s="15" t="s">
        <v>505</v>
      </c>
      <c r="V116" s="15" t="s">
        <v>506</v>
      </c>
      <c r="W116" s="15" t="s">
        <v>507</v>
      </c>
      <c r="X116" s="15" t="s">
        <v>508</v>
      </c>
      <c r="Y116" s="15"/>
    </row>
    <row r="117" spans="1:25" ht="12.75" customHeight="1" x14ac:dyDescent="0.2">
      <c r="A117" s="23" t="s">
        <v>105</v>
      </c>
      <c r="B117" s="2" t="str">
        <f>A117&amp;COUNTIF($A$2:$A117,A117)</f>
        <v>Nurgle1</v>
      </c>
      <c r="C117" s="2" t="str">
        <f>""</f>
        <v/>
      </c>
      <c r="D117" s="2" t="str">
        <f t="shared" si="0"/>
        <v>Nurgle</v>
      </c>
      <c r="E117" s="2">
        <v>0</v>
      </c>
      <c r="F117" s="2">
        <v>0</v>
      </c>
      <c r="G117" s="2">
        <v>0</v>
      </c>
      <c r="H117" s="2">
        <v>0</v>
      </c>
      <c r="I117" s="2">
        <v>0</v>
      </c>
      <c r="J117" s="2">
        <f>IF('Pack Protajer'!$J$24="Español",V117,(IF('Pack Protajer'!$J$24="Deutsch",W117,(IF('Pack Protajer'!$J$24="Français",X117,U117)))))</f>
        <v>0</v>
      </c>
      <c r="K117" s="1">
        <v>0</v>
      </c>
      <c r="L117" s="1">
        <f t="shared" si="10"/>
        <v>0</v>
      </c>
      <c r="M117" s="1">
        <v>0</v>
      </c>
      <c r="N117" s="1">
        <v>0</v>
      </c>
      <c r="O117" s="1"/>
      <c r="P117" s="1"/>
      <c r="Q117" s="1"/>
      <c r="R117" s="1"/>
      <c r="S117" s="1"/>
      <c r="T117" s="15" t="str">
        <f t="shared" si="7"/>
        <v/>
      </c>
      <c r="U117" s="15">
        <v>0</v>
      </c>
      <c r="V117" s="15">
        <v>0</v>
      </c>
      <c r="W117" s="15">
        <v>0</v>
      </c>
      <c r="X117" s="15">
        <v>0</v>
      </c>
      <c r="Y117" s="15">
        <v>0</v>
      </c>
    </row>
    <row r="118" spans="1:25" ht="12.75" customHeight="1" x14ac:dyDescent="0.2">
      <c r="A118" s="23" t="s">
        <v>105</v>
      </c>
      <c r="B118" s="2" t="str">
        <f>A118&amp;COUNTIF($A$2:$A118,A118)</f>
        <v>Nurgle2</v>
      </c>
      <c r="C118" s="2" t="s">
        <v>509</v>
      </c>
      <c r="D118" s="2" t="str">
        <f t="shared" si="0"/>
        <v>NurgleRotter</v>
      </c>
      <c r="E118" s="2">
        <v>5</v>
      </c>
      <c r="F118" s="2">
        <v>3</v>
      </c>
      <c r="G118" s="2">
        <v>4</v>
      </c>
      <c r="H118" s="2">
        <v>6</v>
      </c>
      <c r="I118" s="2">
        <v>9</v>
      </c>
      <c r="J118" s="2" t="str">
        <f>IF('Pack Protajer'!$J$24="Español",V118,(IF('Pack Protajer'!$J$24="Deutsch",W118,(IF('Pack Protajer'!$J$24="Français",X118,U118)))))</f>
        <v>Descomposición, Infectado</v>
      </c>
      <c r="K118" s="1">
        <v>35000</v>
      </c>
      <c r="L118" s="1">
        <f t="shared" si="10"/>
        <v>35</v>
      </c>
      <c r="M118" s="1">
        <v>16</v>
      </c>
      <c r="N118" s="1">
        <v>0</v>
      </c>
      <c r="O118" s="1" t="s">
        <v>170</v>
      </c>
      <c r="P118" s="1" t="s">
        <v>169</v>
      </c>
      <c r="Q118" s="1" t="s">
        <v>169</v>
      </c>
      <c r="R118" s="1">
        <v>0</v>
      </c>
      <c r="S118" s="1" t="s">
        <v>170</v>
      </c>
      <c r="T118" s="15" t="str">
        <f t="shared" si="7"/>
        <v>P</v>
      </c>
      <c r="U118" s="15" t="s">
        <v>510</v>
      </c>
      <c r="V118" s="15" t="s">
        <v>511</v>
      </c>
      <c r="W118" s="15" t="s">
        <v>512</v>
      </c>
      <c r="X118" s="15" t="s">
        <v>513</v>
      </c>
      <c r="Y118" s="15"/>
    </row>
    <row r="119" spans="1:25" ht="12.75" customHeight="1" x14ac:dyDescent="0.2">
      <c r="A119" s="23" t="s">
        <v>105</v>
      </c>
      <c r="B119" s="2" t="str">
        <f>A119&amp;COUNTIF($A$2:$A119,A119)</f>
        <v>Nurgle3</v>
      </c>
      <c r="C119" s="2" t="s">
        <v>514</v>
      </c>
      <c r="D119" s="2" t="str">
        <f t="shared" si="0"/>
        <v>NurglePestigor</v>
      </c>
      <c r="E119" s="2">
        <v>6</v>
      </c>
      <c r="F119" s="2">
        <v>3</v>
      </c>
      <c r="G119" s="2">
        <v>3</v>
      </c>
      <c r="H119" s="2">
        <v>4</v>
      </c>
      <c r="I119" s="2">
        <v>9</v>
      </c>
      <c r="J119" s="2" t="str">
        <f>IF('Pack Protajer'!$J$24="Español",V119,(IF('Pack Protajer'!$J$24="Deutsch",W119,(IF('Pack Protajer'!$J$24="Français",X119,U119)))))</f>
        <v>Cuernos, Infectado, Regeneración</v>
      </c>
      <c r="K119" s="1">
        <v>75000</v>
      </c>
      <c r="L119" s="1">
        <f t="shared" si="10"/>
        <v>75</v>
      </c>
      <c r="M119" s="2">
        <v>4</v>
      </c>
      <c r="N119" s="2">
        <v>0</v>
      </c>
      <c r="O119" s="1" t="s">
        <v>170</v>
      </c>
      <c r="P119" s="1" t="s">
        <v>169</v>
      </c>
      <c r="Q119" s="1" t="s">
        <v>170</v>
      </c>
      <c r="R119" s="1" t="s">
        <v>169</v>
      </c>
      <c r="S119" s="1" t="s">
        <v>170</v>
      </c>
      <c r="T119" s="15" t="str">
        <f t="shared" si="7"/>
        <v>FULL</v>
      </c>
      <c r="U119" s="15" t="s">
        <v>515</v>
      </c>
      <c r="V119" s="15" t="s">
        <v>516</v>
      </c>
      <c r="W119" s="15" t="s">
        <v>517</v>
      </c>
      <c r="X119" s="15" t="s">
        <v>518</v>
      </c>
      <c r="Y119" s="15"/>
    </row>
    <row r="120" spans="1:25" ht="12.75" customHeight="1" x14ac:dyDescent="0.2">
      <c r="A120" s="23" t="s">
        <v>105</v>
      </c>
      <c r="B120" s="2" t="str">
        <f>A120&amp;COUNTIF($A$2:$A120,A120)</f>
        <v>Nurgle4</v>
      </c>
      <c r="C120" s="2" t="s">
        <v>519</v>
      </c>
      <c r="D120" s="2" t="str">
        <f t="shared" si="0"/>
        <v>NurgleBloater</v>
      </c>
      <c r="E120" s="2">
        <v>4</v>
      </c>
      <c r="F120" s="2">
        <v>4</v>
      </c>
      <c r="G120" s="2">
        <v>4</v>
      </c>
      <c r="H120" s="2">
        <v>6</v>
      </c>
      <c r="I120" s="2">
        <v>10</v>
      </c>
      <c r="J120" s="2" t="str">
        <f>IF('Pack Protajer'!$J$24="Español",V120,(IF('Pack Protajer'!$J$24="Deutsch",W120,(IF('Pack Protajer'!$J$24="Français",X120,U120)))))</f>
        <v>Presencia perturbadora, Apariencia asquerosa, Infectado, Regeneración</v>
      </c>
      <c r="K120" s="1">
        <v>115000</v>
      </c>
      <c r="L120" s="1">
        <f t="shared" si="10"/>
        <v>115</v>
      </c>
      <c r="M120" s="2">
        <v>4</v>
      </c>
      <c r="N120" s="2">
        <v>0</v>
      </c>
      <c r="O120" s="1" t="s">
        <v>170</v>
      </c>
      <c r="P120" s="1" t="s">
        <v>169</v>
      </c>
      <c r="Q120" s="1" t="s">
        <v>170</v>
      </c>
      <c r="R120" s="1">
        <v>0</v>
      </c>
      <c r="S120" s="1" t="s">
        <v>170</v>
      </c>
      <c r="T120" s="15" t="str">
        <f t="shared" si="7"/>
        <v>P</v>
      </c>
      <c r="U120" s="15" t="s">
        <v>520</v>
      </c>
      <c r="V120" s="15" t="s">
        <v>521</v>
      </c>
      <c r="W120" s="15" t="s">
        <v>522</v>
      </c>
      <c r="X120" s="15" t="s">
        <v>523</v>
      </c>
      <c r="Y120" s="15"/>
    </row>
    <row r="121" spans="1:25" ht="12.75" customHeight="1" x14ac:dyDescent="0.2">
      <c r="A121" s="23" t="s">
        <v>105</v>
      </c>
      <c r="B121" s="2" t="str">
        <f>A121&amp;COUNTIF($A$2:$A121,A121)</f>
        <v>Nurgle5</v>
      </c>
      <c r="C121" s="2" t="s">
        <v>524</v>
      </c>
      <c r="D121" s="2" t="str">
        <f t="shared" si="0"/>
        <v>NurgleRotspawn</v>
      </c>
      <c r="E121" s="2">
        <v>4</v>
      </c>
      <c r="F121" s="2">
        <v>5</v>
      </c>
      <c r="G121" s="2">
        <v>5</v>
      </c>
      <c r="H121" s="2">
        <v>0</v>
      </c>
      <c r="I121" s="2">
        <v>10</v>
      </c>
      <c r="J121" s="2" t="str">
        <f>IF('Pack Protajer'!$J$24="Español",V121,(IF('Pack Protajer'!$J$24="Deutsch",W121,(IF('Pack Protajer'!$J$24="Français",X121,U121)))))</f>
        <v>Presencia perturbadora, Apariencia asquerosa, Solitario (4+), Golpe mortífero (+1), Infectado, Realmente estúpido, Regeneración, Tentáculos</v>
      </c>
      <c r="K121" s="1">
        <v>140000</v>
      </c>
      <c r="L121" s="1">
        <f t="shared" si="10"/>
        <v>140</v>
      </c>
      <c r="M121" s="2">
        <v>1</v>
      </c>
      <c r="N121" s="2">
        <v>1</v>
      </c>
      <c r="O121" s="1" t="s">
        <v>169</v>
      </c>
      <c r="P121" s="1" t="s">
        <v>169</v>
      </c>
      <c r="Q121" s="1" t="s">
        <v>170</v>
      </c>
      <c r="R121" s="12">
        <v>0</v>
      </c>
      <c r="S121" s="1" t="s">
        <v>169</v>
      </c>
      <c r="T121" s="15" t="str">
        <f t="shared" si="7"/>
        <v>P</v>
      </c>
      <c r="U121" s="15" t="s">
        <v>525</v>
      </c>
      <c r="V121" s="15" t="s">
        <v>1544</v>
      </c>
      <c r="W121" s="15" t="s">
        <v>526</v>
      </c>
      <c r="X121" s="15" t="s">
        <v>527</v>
      </c>
      <c r="Y121" s="15"/>
    </row>
    <row r="122" spans="1:25" ht="12.75" customHeight="1" x14ac:dyDescent="0.2">
      <c r="A122" s="23" t="s">
        <v>110</v>
      </c>
      <c r="B122" s="2" t="str">
        <f>A122&amp;COUNTIF($A$2:$A122,A122)</f>
        <v>Ogre1</v>
      </c>
      <c r="C122" s="2" t="str">
        <f>""</f>
        <v/>
      </c>
      <c r="D122" s="2" t="str">
        <f t="shared" si="0"/>
        <v>Ogre</v>
      </c>
      <c r="E122" s="2">
        <v>0</v>
      </c>
      <c r="F122" s="2">
        <v>0</v>
      </c>
      <c r="G122" s="2">
        <v>0</v>
      </c>
      <c r="H122" s="2">
        <v>0</v>
      </c>
      <c r="I122" s="2">
        <v>0</v>
      </c>
      <c r="J122" s="2">
        <f>IF('Pack Protajer'!$J$24="Español",V122,(IF('Pack Protajer'!$J$24="Deutsch",W122,(IF('Pack Protajer'!$J$24="Français",X122,U122)))))</f>
        <v>0</v>
      </c>
      <c r="K122" s="1">
        <v>0</v>
      </c>
      <c r="L122" s="1">
        <f t="shared" si="10"/>
        <v>0</v>
      </c>
      <c r="M122" s="1">
        <v>0</v>
      </c>
      <c r="N122" s="1">
        <v>0</v>
      </c>
      <c r="O122" s="1"/>
      <c r="P122" s="1"/>
      <c r="Q122" s="1"/>
      <c r="R122" s="1"/>
      <c r="S122" s="1"/>
      <c r="T122" s="15" t="str">
        <f t="shared" si="7"/>
        <v/>
      </c>
      <c r="U122" s="15">
        <v>0</v>
      </c>
      <c r="V122" s="15">
        <v>0</v>
      </c>
      <c r="W122" s="15">
        <v>0</v>
      </c>
      <c r="X122" s="15">
        <v>0</v>
      </c>
      <c r="Y122" s="15">
        <v>0</v>
      </c>
    </row>
    <row r="123" spans="1:25" ht="12.75" customHeight="1" x14ac:dyDescent="0.2">
      <c r="A123" s="23" t="s">
        <v>110</v>
      </c>
      <c r="B123" s="2" t="str">
        <f>A123&amp;COUNTIF($A$2:$A123,A123)</f>
        <v>Ogre2</v>
      </c>
      <c r="C123" s="2" t="s">
        <v>528</v>
      </c>
      <c r="D123" s="2" t="str">
        <f t="shared" si="0"/>
        <v>OgreGnoblar</v>
      </c>
      <c r="E123" s="2">
        <v>5</v>
      </c>
      <c r="F123" s="2">
        <v>1</v>
      </c>
      <c r="G123" s="2">
        <v>3</v>
      </c>
      <c r="H123" s="2">
        <v>5</v>
      </c>
      <c r="I123" s="2">
        <v>6</v>
      </c>
      <c r="J123" s="2" t="str">
        <f>IF('Pack Protajer'!$J$24="Español",V123,(IF('Pack Protajer'!$J$24="Deutsch",W123,(IF('Pack Protajer'!$J$24="Français",X123,U123)))))</f>
        <v>Esquivar, Humanoide bala, Echarse a un lado, Escurridizo, Canijo</v>
      </c>
      <c r="K123" s="1">
        <v>15000</v>
      </c>
      <c r="L123" s="1">
        <v>0</v>
      </c>
      <c r="M123" s="2">
        <v>16</v>
      </c>
      <c r="N123" s="2">
        <v>0</v>
      </c>
      <c r="O123" s="1" t="s">
        <v>169</v>
      </c>
      <c r="P123" s="1" t="s">
        <v>170</v>
      </c>
      <c r="Q123" s="1" t="s">
        <v>169</v>
      </c>
      <c r="R123" s="1">
        <v>0</v>
      </c>
      <c r="S123" s="1">
        <v>0</v>
      </c>
      <c r="T123" s="15" t="str">
        <f t="shared" si="7"/>
        <v>PM</v>
      </c>
      <c r="U123" s="15" t="s">
        <v>529</v>
      </c>
      <c r="V123" s="15" t="s">
        <v>530</v>
      </c>
      <c r="W123" s="15" t="s">
        <v>531</v>
      </c>
      <c r="X123" s="15" t="s">
        <v>532</v>
      </c>
      <c r="Y123" s="15"/>
    </row>
    <row r="124" spans="1:25" ht="12.75" customHeight="1" x14ac:dyDescent="0.2">
      <c r="A124" s="23" t="s">
        <v>110</v>
      </c>
      <c r="B124" s="2" t="str">
        <f>A124&amp;COUNTIF($A$2:$A124,A124)</f>
        <v>Ogre3</v>
      </c>
      <c r="C124" s="2" t="s">
        <v>533</v>
      </c>
      <c r="D124" s="2" t="str">
        <f t="shared" si="0"/>
        <v xml:space="preserve">OgreOgre </v>
      </c>
      <c r="E124" s="2">
        <v>5</v>
      </c>
      <c r="F124" s="2">
        <v>5</v>
      </c>
      <c r="G124" s="2">
        <v>4</v>
      </c>
      <c r="H124" s="2">
        <v>5</v>
      </c>
      <c r="I124" s="2">
        <v>10</v>
      </c>
      <c r="J124" s="2" t="str">
        <f>IF('Pack Protajer'!$J$24="Español",V124,(IF('Pack Protajer'!$J$24="Deutsch",W124,(IF('Pack Protajer'!$J$24="Français",X124,U124)))))</f>
        <v>Estúpido, Golpe mortífero (+1), Cabeza dura, Lanzar Compañero</v>
      </c>
      <c r="K124" s="1">
        <v>140000</v>
      </c>
      <c r="L124" s="1">
        <f t="shared" si="10"/>
        <v>140</v>
      </c>
      <c r="M124" s="2">
        <v>5</v>
      </c>
      <c r="N124" s="2">
        <v>1</v>
      </c>
      <c r="O124" s="1" t="s">
        <v>169</v>
      </c>
      <c r="P124" s="1" t="s">
        <v>169</v>
      </c>
      <c r="Q124" s="1" t="s">
        <v>170</v>
      </c>
      <c r="R124" s="1" t="s">
        <v>169</v>
      </c>
      <c r="S124" s="1">
        <v>0</v>
      </c>
      <c r="T124" s="15" t="str">
        <f t="shared" si="7"/>
        <v>M</v>
      </c>
      <c r="U124" s="15" t="s">
        <v>534</v>
      </c>
      <c r="V124" s="2" t="s">
        <v>535</v>
      </c>
      <c r="W124" s="15" t="s">
        <v>536</v>
      </c>
      <c r="X124" s="15" t="s">
        <v>537</v>
      </c>
      <c r="Y124" s="15"/>
    </row>
    <row r="125" spans="1:25" ht="12.75" customHeight="1" x14ac:dyDescent="0.2">
      <c r="A125" s="23" t="s">
        <v>110</v>
      </c>
      <c r="B125" s="2" t="str">
        <f>A125&amp;COUNTIF($A$2:$A125,A125)</f>
        <v>Ogre4</v>
      </c>
      <c r="C125" s="2" t="s">
        <v>538</v>
      </c>
      <c r="D125" s="2" t="str">
        <f t="shared" si="0"/>
        <v>OgreRunt Punter</v>
      </c>
      <c r="E125" s="2">
        <v>5</v>
      </c>
      <c r="F125" s="2">
        <v>5</v>
      </c>
      <c r="G125" s="2">
        <v>4</v>
      </c>
      <c r="H125" s="2">
        <v>4</v>
      </c>
      <c r="I125" s="2">
        <v>10</v>
      </c>
      <c r="J125" s="2" t="str">
        <f>IF('Pack Protajer'!$J$24="Español",V125,(IF('Pack Protajer'!$J$24="Deutsch",W125,(IF('Pack Protajer'!$J$24="Français",X125,U125)))))</f>
        <v>Estúpido, Patear compañero, Golpe mortífero (+1), Cabeza dura</v>
      </c>
      <c r="K125" s="1">
        <v>145000</v>
      </c>
      <c r="L125" s="1">
        <f t="shared" si="10"/>
        <v>145</v>
      </c>
      <c r="M125" s="2">
        <v>1</v>
      </c>
      <c r="N125" s="2">
        <v>1</v>
      </c>
      <c r="O125" s="1" t="s">
        <v>169</v>
      </c>
      <c r="P125" s="1" t="s">
        <v>169</v>
      </c>
      <c r="Q125" s="1" t="s">
        <v>170</v>
      </c>
      <c r="R125" s="1" t="s">
        <v>170</v>
      </c>
      <c r="S125" s="1">
        <v>0</v>
      </c>
      <c r="T125" s="15" t="str">
        <f t="shared" si="7"/>
        <v>M</v>
      </c>
      <c r="U125" s="15" t="s">
        <v>539</v>
      </c>
      <c r="V125" s="2" t="s">
        <v>540</v>
      </c>
      <c r="W125" s="15" t="s">
        <v>541</v>
      </c>
      <c r="X125" s="15" t="s">
        <v>542</v>
      </c>
      <c r="Y125" s="15"/>
    </row>
    <row r="126" spans="1:25" ht="12.75" customHeight="1" x14ac:dyDescent="0.2">
      <c r="A126" s="23" t="s">
        <v>118</v>
      </c>
      <c r="B126" s="2" t="str">
        <f>A126&amp;COUNTIF($A$2:$A126,A126)</f>
        <v>Old World Alliance1</v>
      </c>
      <c r="C126" s="2" t="str">
        <f>""</f>
        <v/>
      </c>
      <c r="D126" s="2" t="str">
        <f t="shared" si="0"/>
        <v>Old World Alliance</v>
      </c>
      <c r="E126" s="2">
        <v>0</v>
      </c>
      <c r="F126" s="2">
        <v>0</v>
      </c>
      <c r="G126" s="2">
        <v>0</v>
      </c>
      <c r="H126" s="2">
        <v>0</v>
      </c>
      <c r="I126" s="2">
        <v>0</v>
      </c>
      <c r="J126" s="2">
        <f>IF('Pack Protajer'!$J$24="Español",V126,(IF('Pack Protajer'!$J$24="Deutsch",W126,(IF('Pack Protajer'!$J$24="Français",X126,U126)))))</f>
        <v>0</v>
      </c>
      <c r="K126" s="1">
        <v>0</v>
      </c>
      <c r="L126" s="1">
        <f t="shared" si="10"/>
        <v>0</v>
      </c>
      <c r="M126" s="1">
        <v>0</v>
      </c>
      <c r="N126" s="1">
        <v>0</v>
      </c>
      <c r="O126" s="2"/>
      <c r="P126" s="2"/>
      <c r="Q126" s="2"/>
      <c r="R126" s="2"/>
      <c r="S126" s="2"/>
      <c r="T126" s="15" t="str">
        <f t="shared" si="7"/>
        <v/>
      </c>
      <c r="U126" s="15">
        <v>0</v>
      </c>
      <c r="V126" s="15">
        <v>0</v>
      </c>
      <c r="W126" s="15">
        <v>0</v>
      </c>
      <c r="X126" s="15">
        <v>0</v>
      </c>
      <c r="Y126" s="15">
        <v>0</v>
      </c>
    </row>
    <row r="127" spans="1:25" ht="12.75" customHeight="1" x14ac:dyDescent="0.2">
      <c r="A127" s="23" t="s">
        <v>118</v>
      </c>
      <c r="B127" s="2" t="str">
        <f>A127&amp;COUNTIF($A$2:$A127,A127)</f>
        <v>Old World Alliance2</v>
      </c>
      <c r="C127" s="2" t="s">
        <v>319</v>
      </c>
      <c r="D127" s="2" t="str">
        <f t="shared" si="0"/>
        <v>Old World AllianceLineman</v>
      </c>
      <c r="E127" s="2">
        <v>6</v>
      </c>
      <c r="F127" s="2">
        <v>3</v>
      </c>
      <c r="G127" s="2">
        <v>3</v>
      </c>
      <c r="H127" s="2">
        <v>4</v>
      </c>
      <c r="I127" s="2">
        <v>9</v>
      </c>
      <c r="J127" s="2" t="str">
        <f>IF('Pack Protajer'!$J$24="Español",V127,(IF('Pack Protajer'!$J$24="Deutsch",W127,(IF('Pack Protajer'!$J$24="Français",X127,U127)))))</f>
        <v/>
      </c>
      <c r="K127" s="1">
        <v>50000</v>
      </c>
      <c r="L127" s="1">
        <f t="shared" si="10"/>
        <v>50</v>
      </c>
      <c r="M127" s="2">
        <v>12</v>
      </c>
      <c r="N127" s="2">
        <v>0</v>
      </c>
      <c r="O127" s="1" t="s">
        <v>170</v>
      </c>
      <c r="P127" s="1" t="s">
        <v>169</v>
      </c>
      <c r="Q127" s="1" t="s">
        <v>169</v>
      </c>
      <c r="R127" s="1">
        <v>0</v>
      </c>
      <c r="S127" s="1">
        <v>0</v>
      </c>
      <c r="T127" s="15" t="str">
        <f t="shared" si="7"/>
        <v>PM</v>
      </c>
      <c r="U127" s="15" t="str">
        <f t="shared" ref="U127:Y127" si="12">""</f>
        <v/>
      </c>
      <c r="V127" s="15" t="str">
        <f t="shared" si="12"/>
        <v/>
      </c>
      <c r="W127" s="15" t="str">
        <f t="shared" si="12"/>
        <v/>
      </c>
      <c r="X127" s="15" t="str">
        <f t="shared" si="12"/>
        <v/>
      </c>
      <c r="Y127" s="15" t="str">
        <f t="shared" si="12"/>
        <v/>
      </c>
    </row>
    <row r="128" spans="1:25" ht="12.75" customHeight="1" x14ac:dyDescent="0.2">
      <c r="A128" s="23" t="s">
        <v>118</v>
      </c>
      <c r="B128" s="2" t="str">
        <f>A128&amp;COUNTIF($A$2:$A128,A128)</f>
        <v>Old World Alliance3</v>
      </c>
      <c r="C128" s="2" t="s">
        <v>242</v>
      </c>
      <c r="D128" s="2" t="str">
        <f t="shared" si="0"/>
        <v>Old World AllianceCatcher</v>
      </c>
      <c r="E128" s="2">
        <v>8</v>
      </c>
      <c r="F128" s="2">
        <v>2</v>
      </c>
      <c r="G128" s="2">
        <v>3</v>
      </c>
      <c r="H128" s="2">
        <v>5</v>
      </c>
      <c r="I128" s="2">
        <v>8</v>
      </c>
      <c r="J128" s="2" t="str">
        <f>IF('Pack Protajer'!$J$24="Español",V128,(IF('Pack Protajer'!$J$24="Deutsch",W128,(IF('Pack Protajer'!$J$24="Français",X128,U128)))))</f>
        <v>Animosidad (todos los Enanos y Halflings), Atrapar, Esquivar</v>
      </c>
      <c r="K128" s="1">
        <v>65000</v>
      </c>
      <c r="L128" s="1">
        <f t="shared" si="10"/>
        <v>65</v>
      </c>
      <c r="M128" s="2">
        <v>1</v>
      </c>
      <c r="N128" s="2">
        <v>0</v>
      </c>
      <c r="O128" s="1" t="s">
        <v>170</v>
      </c>
      <c r="P128" s="1" t="s">
        <v>170</v>
      </c>
      <c r="Q128" s="1" t="s">
        <v>169</v>
      </c>
      <c r="R128" s="1">
        <v>0</v>
      </c>
      <c r="S128" s="1">
        <v>0</v>
      </c>
      <c r="T128" s="15" t="str">
        <f t="shared" si="7"/>
        <v>PM</v>
      </c>
      <c r="U128" s="15" t="s">
        <v>543</v>
      </c>
      <c r="V128" s="2" t="s">
        <v>544</v>
      </c>
      <c r="W128" s="15" t="s">
        <v>545</v>
      </c>
      <c r="X128" s="15" t="s">
        <v>546</v>
      </c>
      <c r="Y128" s="15"/>
    </row>
    <row r="129" spans="1:25" ht="12.75" customHeight="1" x14ac:dyDescent="0.2">
      <c r="A129" s="23" t="s">
        <v>118</v>
      </c>
      <c r="B129" s="2" t="str">
        <f>A129&amp;COUNTIF($A$2:$A129,A129)</f>
        <v>Old World Alliance4</v>
      </c>
      <c r="C129" s="2" t="s">
        <v>241</v>
      </c>
      <c r="D129" s="2" t="str">
        <f t="shared" si="0"/>
        <v>Old World AllianceThrower</v>
      </c>
      <c r="E129" s="2">
        <v>6</v>
      </c>
      <c r="F129" s="2">
        <v>3</v>
      </c>
      <c r="G129" s="2">
        <v>3</v>
      </c>
      <c r="H129" s="2">
        <v>3</v>
      </c>
      <c r="I129" s="2">
        <v>9</v>
      </c>
      <c r="J129" s="2" t="str">
        <f>IF('Pack Protajer'!$J$24="Español",V129,(IF('Pack Protajer'!$J$24="Deutsch",W129,(IF('Pack Protajer'!$J$24="Français",X129,U129)))))</f>
        <v>Animosidad (todos los Enanos y Halflings), Pasar, Manos seguras</v>
      </c>
      <c r="K129" s="1">
        <v>80000</v>
      </c>
      <c r="L129" s="1">
        <f t="shared" si="10"/>
        <v>80</v>
      </c>
      <c r="M129" s="2">
        <v>1</v>
      </c>
      <c r="N129" s="2">
        <v>0</v>
      </c>
      <c r="O129" s="1" t="s">
        <v>170</v>
      </c>
      <c r="P129" s="1" t="s">
        <v>169</v>
      </c>
      <c r="Q129" s="1" t="s">
        <v>169</v>
      </c>
      <c r="R129" s="1" t="s">
        <v>170</v>
      </c>
      <c r="S129" s="1">
        <v>0</v>
      </c>
      <c r="T129" s="15" t="str">
        <f t="shared" si="7"/>
        <v>M</v>
      </c>
      <c r="U129" s="15" t="s">
        <v>547</v>
      </c>
      <c r="V129" s="2" t="s">
        <v>548</v>
      </c>
      <c r="W129" s="15" t="s">
        <v>549</v>
      </c>
      <c r="X129" s="15" t="s">
        <v>550</v>
      </c>
      <c r="Y129" s="15"/>
    </row>
    <row r="130" spans="1:25" ht="12.75" customHeight="1" x14ac:dyDescent="0.2">
      <c r="A130" s="23" t="s">
        <v>118</v>
      </c>
      <c r="B130" s="2" t="str">
        <f>A130&amp;COUNTIF($A$2:$A130,A130)</f>
        <v>Old World Alliance5</v>
      </c>
      <c r="C130" s="2" t="s">
        <v>243</v>
      </c>
      <c r="D130" s="2" t="str">
        <f t="shared" si="0"/>
        <v>Old World AllianceBlitzer</v>
      </c>
      <c r="E130" s="2">
        <v>7</v>
      </c>
      <c r="F130" s="2">
        <v>3</v>
      </c>
      <c r="G130" s="2">
        <v>3</v>
      </c>
      <c r="H130" s="2">
        <v>4</v>
      </c>
      <c r="I130" s="2">
        <v>9</v>
      </c>
      <c r="J130" s="2" t="str">
        <f>IF('Pack Protajer'!$J$24="Español",V130,(IF('Pack Protajer'!$J$24="Deutsch",W130,(IF('Pack Protajer'!$J$24="Français",X130,U130)))))</f>
        <v>Animosidad (todos los Enanos y Halflings), Placar</v>
      </c>
      <c r="K130" s="1">
        <v>90000</v>
      </c>
      <c r="L130" s="1">
        <f t="shared" si="10"/>
        <v>90</v>
      </c>
      <c r="M130" s="2">
        <v>1</v>
      </c>
      <c r="N130" s="2">
        <v>0</v>
      </c>
      <c r="O130" s="1" t="s">
        <v>170</v>
      </c>
      <c r="P130" s="1" t="s">
        <v>169</v>
      </c>
      <c r="Q130" s="1" t="s">
        <v>170</v>
      </c>
      <c r="R130" s="1">
        <v>0</v>
      </c>
      <c r="S130" s="1">
        <v>0</v>
      </c>
      <c r="T130" s="15" t="str">
        <f t="shared" si="7"/>
        <v>PM</v>
      </c>
      <c r="U130" s="15" t="s">
        <v>551</v>
      </c>
      <c r="V130" s="2" t="s">
        <v>552</v>
      </c>
      <c r="W130" s="15" t="s">
        <v>553</v>
      </c>
      <c r="X130" s="15" t="s">
        <v>554</v>
      </c>
      <c r="Y130" s="15"/>
    </row>
    <row r="131" spans="1:25" ht="12.75" customHeight="1" x14ac:dyDescent="0.2">
      <c r="A131" s="23" t="s">
        <v>118</v>
      </c>
      <c r="B131" s="2" t="str">
        <f>A131&amp;COUNTIF($A$2:$A131,A131)</f>
        <v>Old World Alliance6</v>
      </c>
      <c r="C131" s="2" t="s">
        <v>403</v>
      </c>
      <c r="D131" s="2" t="str">
        <f t="shared" si="0"/>
        <v>Old World AllianceHalfling Hopeful</v>
      </c>
      <c r="E131" s="2">
        <v>5</v>
      </c>
      <c r="F131" s="2">
        <v>2</v>
      </c>
      <c r="G131" s="2">
        <v>3</v>
      </c>
      <c r="H131" s="2">
        <v>4</v>
      </c>
      <c r="I131" s="2">
        <v>7</v>
      </c>
      <c r="J131" s="2" t="str">
        <f>IF('Pack Protajer'!$J$24="Español",V131,(IF('Pack Protajer'!$J$24="Deutsch",W131,(IF('Pack Protajer'!$J$24="Français",X131,U131)))))</f>
        <v>Animosidad (todos los Enanos y Humanos), Esquivar, Humanoide bala, Escurridizo</v>
      </c>
      <c r="K131" s="1">
        <v>30000</v>
      </c>
      <c r="L131" s="1">
        <f t="shared" si="10"/>
        <v>30</v>
      </c>
      <c r="M131" s="2">
        <v>2</v>
      </c>
      <c r="N131" s="2">
        <v>0</v>
      </c>
      <c r="O131" s="1" t="s">
        <v>169</v>
      </c>
      <c r="P131" s="1" t="s">
        <v>170</v>
      </c>
      <c r="Q131" s="1" t="s">
        <v>169</v>
      </c>
      <c r="R131" s="1">
        <v>0</v>
      </c>
      <c r="S131" s="1">
        <v>0</v>
      </c>
      <c r="T131" s="15" t="str">
        <f t="shared" ref="T131:T194" si="13">IF(K131=0,"",(IF(O131=0,"GPSM",(IF(AND(R131=0,S131=0),"PM",(IF(S131=0,"M",(IF(R131=0,"P","FULL")))))))))</f>
        <v>PM</v>
      </c>
      <c r="U131" s="15" t="s">
        <v>555</v>
      </c>
      <c r="V131" s="2" t="s">
        <v>556</v>
      </c>
      <c r="W131" s="15" t="s">
        <v>557</v>
      </c>
      <c r="X131" s="15" t="s">
        <v>558</v>
      </c>
      <c r="Y131" s="15"/>
    </row>
    <row r="132" spans="1:25" ht="12.75" customHeight="1" x14ac:dyDescent="0.2">
      <c r="A132" s="23" t="s">
        <v>118</v>
      </c>
      <c r="B132" s="2" t="str">
        <f>A132&amp;COUNTIF($A$2:$A132,A132)</f>
        <v>Old World Alliance7</v>
      </c>
      <c r="C132" s="2" t="s">
        <v>559</v>
      </c>
      <c r="D132" s="2" t="str">
        <f t="shared" si="0"/>
        <v>Old World AllianceDwarf Blocker</v>
      </c>
      <c r="E132" s="2">
        <v>4</v>
      </c>
      <c r="F132" s="2">
        <v>3</v>
      </c>
      <c r="G132" s="2">
        <v>4</v>
      </c>
      <c r="H132" s="2">
        <v>5</v>
      </c>
      <c r="I132" s="2">
        <v>10</v>
      </c>
      <c r="J132" s="2" t="str">
        <f>IF('Pack Protajer'!$J$24="Español",V132,(IF('Pack Protajer'!$J$24="Deutsch",W132,(IF('Pack Protajer'!$J$24="Français",X132,U132)))))</f>
        <v>Llave de brazo, Luchador, Solitario (3+), Cabeza dura</v>
      </c>
      <c r="K132" s="1">
        <v>75000</v>
      </c>
      <c r="L132" s="1">
        <f t="shared" si="10"/>
        <v>75</v>
      </c>
      <c r="M132" s="7">
        <v>2</v>
      </c>
      <c r="N132" s="7">
        <v>0</v>
      </c>
      <c r="O132" s="1" t="s">
        <v>170</v>
      </c>
      <c r="P132" s="1" t="s">
        <v>169</v>
      </c>
      <c r="Q132" s="1" t="s">
        <v>170</v>
      </c>
      <c r="R132" s="1">
        <v>0</v>
      </c>
      <c r="S132" s="1">
        <v>0</v>
      </c>
      <c r="T132" s="15" t="str">
        <f t="shared" si="13"/>
        <v>PM</v>
      </c>
      <c r="U132" s="15" t="s">
        <v>560</v>
      </c>
      <c r="V132" s="2" t="s">
        <v>561</v>
      </c>
      <c r="W132" s="15" t="s">
        <v>562</v>
      </c>
      <c r="X132" s="15" t="s">
        <v>563</v>
      </c>
      <c r="Y132" s="15"/>
    </row>
    <row r="133" spans="1:25" ht="12.75" customHeight="1" x14ac:dyDescent="0.2">
      <c r="A133" s="23" t="s">
        <v>118</v>
      </c>
      <c r="B133" s="2" t="str">
        <f>A133&amp;COUNTIF($A$2:$A133,A133)</f>
        <v>Old World Alliance8</v>
      </c>
      <c r="C133" s="2" t="s">
        <v>564</v>
      </c>
      <c r="D133" s="2" t="str">
        <f t="shared" si="0"/>
        <v>Old World AllianceDwarf Runner</v>
      </c>
      <c r="E133" s="2">
        <v>6</v>
      </c>
      <c r="F133" s="2">
        <v>3</v>
      </c>
      <c r="G133" s="2">
        <v>3</v>
      </c>
      <c r="H133" s="2">
        <v>4</v>
      </c>
      <c r="I133" s="2">
        <v>9</v>
      </c>
      <c r="J133" s="2" t="str">
        <f>IF('Pack Protajer'!$J$24="Español",V133,(IF('Pack Protajer'!$J$24="Deutsch",W133,(IF('Pack Protajer'!$J$24="Français",X133,U133)))))</f>
        <v>Solitario (3+), Manos seguras, Cabeza dura</v>
      </c>
      <c r="K133" s="1">
        <v>85000</v>
      </c>
      <c r="L133" s="1">
        <f t="shared" si="10"/>
        <v>85</v>
      </c>
      <c r="M133" s="1">
        <v>1</v>
      </c>
      <c r="N133" s="1">
        <v>0</v>
      </c>
      <c r="O133" s="1" t="s">
        <v>170</v>
      </c>
      <c r="P133" s="1" t="s">
        <v>169</v>
      </c>
      <c r="Q133" s="1" t="s">
        <v>169</v>
      </c>
      <c r="R133" s="1" t="s">
        <v>170</v>
      </c>
      <c r="S133" s="1">
        <v>0</v>
      </c>
      <c r="T133" s="15" t="str">
        <f t="shared" si="13"/>
        <v>M</v>
      </c>
      <c r="U133" s="15" t="s">
        <v>565</v>
      </c>
      <c r="V133" s="2" t="s">
        <v>566</v>
      </c>
      <c r="W133" s="15" t="s">
        <v>567</v>
      </c>
      <c r="X133" s="15" t="s">
        <v>568</v>
      </c>
      <c r="Y133" s="15"/>
    </row>
    <row r="134" spans="1:25" ht="12.75" customHeight="1" x14ac:dyDescent="0.2">
      <c r="A134" s="23" t="s">
        <v>118</v>
      </c>
      <c r="B134" s="2" t="str">
        <f>A134&amp;COUNTIF($A$2:$A134,A134)</f>
        <v>Old World Alliance9</v>
      </c>
      <c r="C134" s="2" t="s">
        <v>569</v>
      </c>
      <c r="D134" s="2" t="str">
        <f t="shared" si="0"/>
        <v>Old World AllianceDwarf Blitzer</v>
      </c>
      <c r="E134" s="2">
        <v>5</v>
      </c>
      <c r="F134" s="2">
        <v>3</v>
      </c>
      <c r="G134" s="2">
        <v>3</v>
      </c>
      <c r="H134" s="2">
        <v>4</v>
      </c>
      <c r="I134" s="2">
        <v>10</v>
      </c>
      <c r="J134" s="2" t="str">
        <f>IF('Pack Protajer'!$J$24="Español",V134,(IF('Pack Protajer'!$J$24="Deutsch",W134,(IF('Pack Protajer'!$J$24="Français",X134,U134)))))</f>
        <v>Placar, Solitario (3+), Cabeza dura</v>
      </c>
      <c r="K134" s="1">
        <v>80000</v>
      </c>
      <c r="L134" s="1">
        <f t="shared" si="10"/>
        <v>80</v>
      </c>
      <c r="M134" s="1">
        <v>1</v>
      </c>
      <c r="N134" s="1">
        <v>0</v>
      </c>
      <c r="O134" s="1" t="s">
        <v>170</v>
      </c>
      <c r="P134" s="1" t="s">
        <v>169</v>
      </c>
      <c r="Q134" s="1" t="s">
        <v>170</v>
      </c>
      <c r="R134" s="1">
        <v>0</v>
      </c>
      <c r="S134" s="1">
        <v>0</v>
      </c>
      <c r="T134" s="15" t="str">
        <f t="shared" si="13"/>
        <v>PM</v>
      </c>
      <c r="U134" s="15" t="s">
        <v>570</v>
      </c>
      <c r="V134" s="2" t="s">
        <v>571</v>
      </c>
      <c r="W134" s="15" t="s">
        <v>572</v>
      </c>
      <c r="X134" s="15" t="s">
        <v>573</v>
      </c>
      <c r="Y134" s="15"/>
    </row>
    <row r="135" spans="1:25" ht="12.75" customHeight="1" x14ac:dyDescent="0.2">
      <c r="A135" s="23" t="s">
        <v>118</v>
      </c>
      <c r="B135" s="2" t="str">
        <f>A135&amp;COUNTIF($A$2:$A135,A135)</f>
        <v>Old World Alliance10</v>
      </c>
      <c r="C135" s="2" t="s">
        <v>574</v>
      </c>
      <c r="D135" s="2" t="str">
        <f t="shared" si="0"/>
        <v>Old World AllianceDwarf Troll Slayer</v>
      </c>
      <c r="E135" s="2">
        <v>5</v>
      </c>
      <c r="F135" s="2">
        <v>3</v>
      </c>
      <c r="G135" s="2">
        <v>4</v>
      </c>
      <c r="H135" s="2">
        <v>0</v>
      </c>
      <c r="I135" s="2">
        <v>9</v>
      </c>
      <c r="J135" s="2" t="str">
        <f>IF('Pack Protajer'!$J$24="Español",V135,(IF('Pack Protajer'!$J$24="Deutsch",W135,(IF('Pack Protajer'!$J$24="Français",X135,U135)))))</f>
        <v>Placar, Furia, Agallas, Solitario (3+), Cabeza dura</v>
      </c>
      <c r="K135" s="1">
        <v>95000</v>
      </c>
      <c r="L135" s="1">
        <f t="shared" si="10"/>
        <v>95</v>
      </c>
      <c r="M135" s="1">
        <v>1</v>
      </c>
      <c r="N135" s="1">
        <v>0</v>
      </c>
      <c r="O135" s="1" t="s">
        <v>170</v>
      </c>
      <c r="P135" s="1" t="s">
        <v>169</v>
      </c>
      <c r="Q135" s="1" t="s">
        <v>170</v>
      </c>
      <c r="R135" s="12">
        <v>0</v>
      </c>
      <c r="S135" s="1">
        <v>0</v>
      </c>
      <c r="T135" s="15" t="str">
        <f t="shared" si="13"/>
        <v>PM</v>
      </c>
      <c r="U135" s="15" t="s">
        <v>575</v>
      </c>
      <c r="V135" s="15" t="s">
        <v>576</v>
      </c>
      <c r="W135" s="15" t="s">
        <v>577</v>
      </c>
      <c r="X135" s="15" t="s">
        <v>578</v>
      </c>
      <c r="Y135" s="15"/>
    </row>
    <row r="136" spans="1:25" ht="12.75" customHeight="1" x14ac:dyDescent="0.2">
      <c r="A136" s="23" t="s">
        <v>118</v>
      </c>
      <c r="B136" s="2" t="str">
        <f>A136&amp;COUNTIF($A$2:$A136,A136)</f>
        <v>Old World Alliance11</v>
      </c>
      <c r="C136" s="2" t="s">
        <v>110</v>
      </c>
      <c r="D136" s="2" t="str">
        <f t="shared" si="0"/>
        <v>Old World AllianceOgre</v>
      </c>
      <c r="E136" s="2">
        <v>5</v>
      </c>
      <c r="F136" s="2">
        <v>5</v>
      </c>
      <c r="G136" s="2">
        <v>4</v>
      </c>
      <c r="H136" s="2">
        <v>5</v>
      </c>
      <c r="I136" s="2">
        <v>10</v>
      </c>
      <c r="J136" s="2" t="str">
        <f>IF('Pack Protajer'!$J$24="Español",V136,(IF('Pack Protajer'!$J$24="Deutsch",W136,(IF('Pack Protajer'!$J$24="Français",X136,U136)))))</f>
        <v>Estúpido, Solitario (4+), Golpe mortífero (+1), Cabeza dura, Lanzar Compañero</v>
      </c>
      <c r="K136" s="1">
        <v>140000</v>
      </c>
      <c r="L136" s="1">
        <f t="shared" si="10"/>
        <v>140</v>
      </c>
      <c r="M136" s="2">
        <v>1</v>
      </c>
      <c r="N136" s="2">
        <v>1</v>
      </c>
      <c r="O136" s="1" t="s">
        <v>169</v>
      </c>
      <c r="P136" s="1" t="s">
        <v>169</v>
      </c>
      <c r="Q136" s="1" t="s">
        <v>170</v>
      </c>
      <c r="R136" s="1">
        <v>0</v>
      </c>
      <c r="S136" s="1">
        <v>0</v>
      </c>
      <c r="T136" s="15" t="str">
        <f t="shared" si="13"/>
        <v>PM</v>
      </c>
      <c r="U136" s="15" t="s">
        <v>270</v>
      </c>
      <c r="V136" s="15" t="s">
        <v>271</v>
      </c>
      <c r="W136" s="15" t="s">
        <v>272</v>
      </c>
      <c r="X136" s="15" t="s">
        <v>273</v>
      </c>
      <c r="Y136" s="15"/>
    </row>
    <row r="137" spans="1:25" ht="12.75" customHeight="1" x14ac:dyDescent="0.2">
      <c r="A137" s="23" t="s">
        <v>118</v>
      </c>
      <c r="B137" s="2" t="str">
        <f>A137&amp;COUNTIF($A$2:$A137,A137)</f>
        <v>Old World Alliance12</v>
      </c>
      <c r="C137" s="2" t="s">
        <v>414</v>
      </c>
      <c r="D137" s="2" t="str">
        <f t="shared" si="0"/>
        <v>Old World AllianceForest Treeman</v>
      </c>
      <c r="E137" s="2">
        <v>2</v>
      </c>
      <c r="F137" s="2">
        <v>6</v>
      </c>
      <c r="G137" s="2">
        <v>5</v>
      </c>
      <c r="H137" s="2">
        <v>5</v>
      </c>
      <c r="I137" s="2">
        <v>11</v>
      </c>
      <c r="J137" s="2" t="str">
        <f>IF('Pack Protajer'!$J$24="Español",V137,(IF('Pack Protajer'!$J$24="Deutsch",W137,(IF('Pack Protajer'!$J$24="Français",X137,U137)))))</f>
        <v>Golpe mortífero (+1), Solitario (4+), Mantenerse firme, Brazo fuerte, Echar raíces, Cabeza dura, Lanzar compañero, ¡Tronco va!</v>
      </c>
      <c r="K137" s="1">
        <v>120000</v>
      </c>
      <c r="L137" s="1">
        <f t="shared" si="10"/>
        <v>120</v>
      </c>
      <c r="M137" s="1">
        <v>1</v>
      </c>
      <c r="N137" s="1">
        <v>1</v>
      </c>
      <c r="O137" s="1" t="s">
        <v>169</v>
      </c>
      <c r="P137" s="1" t="s">
        <v>169</v>
      </c>
      <c r="Q137" s="1" t="s">
        <v>170</v>
      </c>
      <c r="R137" s="1" t="s">
        <v>169</v>
      </c>
      <c r="S137" s="1">
        <v>0</v>
      </c>
      <c r="T137" s="15" t="str">
        <f t="shared" si="13"/>
        <v>M</v>
      </c>
      <c r="U137" s="11" t="s">
        <v>579</v>
      </c>
      <c r="V137" s="11" t="s">
        <v>580</v>
      </c>
      <c r="W137" s="11" t="s">
        <v>581</v>
      </c>
      <c r="X137" s="18" t="s">
        <v>582</v>
      </c>
      <c r="Y137" s="15"/>
    </row>
    <row r="138" spans="1:25" ht="12.75" customHeight="1" x14ac:dyDescent="0.2">
      <c r="A138" s="23" t="s">
        <v>123</v>
      </c>
      <c r="B138" s="2" t="str">
        <f>A138&amp;COUNTIF($A$2:$A138,A138)</f>
        <v>Orc1</v>
      </c>
      <c r="C138" s="2" t="str">
        <f>""</f>
        <v/>
      </c>
      <c r="D138" s="2" t="str">
        <f t="shared" si="0"/>
        <v>Orc</v>
      </c>
      <c r="E138" s="2">
        <v>0</v>
      </c>
      <c r="F138" s="2">
        <v>0</v>
      </c>
      <c r="G138" s="2">
        <v>0</v>
      </c>
      <c r="H138" s="2">
        <v>0</v>
      </c>
      <c r="I138" s="2">
        <v>0</v>
      </c>
      <c r="J138" s="2">
        <f>IF('Pack Protajer'!$J$24="Español",V138,(IF('Pack Protajer'!$J$24="Deutsch",W138,(IF('Pack Protajer'!$J$24="Français",X138,U138)))))</f>
        <v>0</v>
      </c>
      <c r="K138" s="1">
        <v>0</v>
      </c>
      <c r="L138" s="1">
        <f t="shared" si="10"/>
        <v>0</v>
      </c>
      <c r="M138" s="1">
        <v>0</v>
      </c>
      <c r="N138" s="1">
        <v>0</v>
      </c>
      <c r="O138" s="1"/>
      <c r="P138" s="1"/>
      <c r="Q138" s="1"/>
      <c r="R138" s="1"/>
      <c r="S138" s="1"/>
      <c r="T138" s="15" t="str">
        <f t="shared" si="13"/>
        <v/>
      </c>
      <c r="U138" s="15">
        <v>0</v>
      </c>
      <c r="V138" s="15">
        <v>0</v>
      </c>
      <c r="W138" s="15">
        <v>0</v>
      </c>
      <c r="X138" s="15">
        <v>0</v>
      </c>
      <c r="Y138" s="15">
        <v>0</v>
      </c>
    </row>
    <row r="139" spans="1:25" ht="12.75" customHeight="1" x14ac:dyDescent="0.2">
      <c r="A139" s="23" t="s">
        <v>123</v>
      </c>
      <c r="B139" s="2" t="str">
        <f>A139&amp;COUNTIF($A$2:$A139,A139)</f>
        <v>Orc2</v>
      </c>
      <c r="C139" s="2" t="s">
        <v>319</v>
      </c>
      <c r="D139" s="2" t="str">
        <f t="shared" si="0"/>
        <v>OrcLineman</v>
      </c>
      <c r="E139" s="2">
        <v>5</v>
      </c>
      <c r="F139" s="2">
        <v>3</v>
      </c>
      <c r="G139" s="2">
        <v>3</v>
      </c>
      <c r="H139" s="2">
        <v>4</v>
      </c>
      <c r="I139" s="2">
        <v>10</v>
      </c>
      <c r="J139" s="2" t="str">
        <f>IF('Pack Protajer'!$J$24="Español",V139,(IF('Pack Protajer'!$J$24="Deutsch",W139,(IF('Pack Protajer'!$J$24="Français",X139,U139)))))</f>
        <v>Animosidad (Orc Linemen)</v>
      </c>
      <c r="K139" s="1">
        <v>50000</v>
      </c>
      <c r="L139" s="1">
        <f t="shared" si="10"/>
        <v>50</v>
      </c>
      <c r="M139" s="2">
        <v>16</v>
      </c>
      <c r="N139" s="2">
        <v>0</v>
      </c>
      <c r="O139" s="1" t="s">
        <v>170</v>
      </c>
      <c r="P139" s="1" t="s">
        <v>169</v>
      </c>
      <c r="Q139" s="1" t="s">
        <v>169</v>
      </c>
      <c r="R139" s="1">
        <v>0</v>
      </c>
      <c r="S139" s="1">
        <v>0</v>
      </c>
      <c r="T139" s="15" t="str">
        <f t="shared" si="13"/>
        <v>PM</v>
      </c>
      <c r="U139" s="15" t="s">
        <v>583</v>
      </c>
      <c r="V139" s="15" t="s">
        <v>584</v>
      </c>
      <c r="W139" s="15" t="s">
        <v>585</v>
      </c>
      <c r="X139" s="15" t="s">
        <v>586</v>
      </c>
      <c r="Y139" s="15"/>
    </row>
    <row r="140" spans="1:25" ht="12.75" customHeight="1" x14ac:dyDescent="0.2">
      <c r="A140" s="23" t="s">
        <v>123</v>
      </c>
      <c r="B140" s="2" t="str">
        <f>A140&amp;COUNTIF($A$2:$A140,A140)</f>
        <v>Orc3</v>
      </c>
      <c r="C140" s="2" t="s">
        <v>587</v>
      </c>
      <c r="D140" s="2" t="str">
        <f t="shared" si="0"/>
        <v xml:space="preserve">OrcGoblin </v>
      </c>
      <c r="E140" s="2">
        <v>6</v>
      </c>
      <c r="F140" s="2">
        <v>2</v>
      </c>
      <c r="G140" s="2">
        <v>3</v>
      </c>
      <c r="H140" s="2">
        <v>4</v>
      </c>
      <c r="I140" s="2">
        <v>8</v>
      </c>
      <c r="J140" s="2" t="str">
        <f>IF('Pack Protajer'!$J$24="Español",V140,(IF('Pack Protajer'!$J$24="Deutsch",W140,(IF('Pack Protajer'!$J$24="Français",X140,U140)))))</f>
        <v>Esquivar, Humanoide bala, Escurridizo</v>
      </c>
      <c r="K140" s="1">
        <v>40000</v>
      </c>
      <c r="L140" s="1">
        <f t="shared" si="10"/>
        <v>40</v>
      </c>
      <c r="M140" s="2">
        <v>4</v>
      </c>
      <c r="N140" s="2">
        <v>0</v>
      </c>
      <c r="O140" s="1" t="s">
        <v>169</v>
      </c>
      <c r="P140" s="1" t="s">
        <v>170</v>
      </c>
      <c r="Q140" s="1" t="s">
        <v>169</v>
      </c>
      <c r="R140" s="1">
        <v>0</v>
      </c>
      <c r="S140" s="1">
        <v>0</v>
      </c>
      <c r="T140" s="15" t="str">
        <f t="shared" si="13"/>
        <v>PM</v>
      </c>
      <c r="U140" s="15" t="s">
        <v>368</v>
      </c>
      <c r="V140" s="15" t="s">
        <v>369</v>
      </c>
      <c r="W140" s="15" t="s">
        <v>370</v>
      </c>
      <c r="X140" s="15" t="s">
        <v>371</v>
      </c>
      <c r="Y140" s="15"/>
    </row>
    <row r="141" spans="1:25" ht="12.75" customHeight="1" x14ac:dyDescent="0.2">
      <c r="A141" s="23" t="s">
        <v>123</v>
      </c>
      <c r="B141" s="2" t="str">
        <f>A141&amp;COUNTIF($A$2:$A141,A141)</f>
        <v>Orc4</v>
      </c>
      <c r="C141" s="2" t="s">
        <v>241</v>
      </c>
      <c r="D141" s="2" t="str">
        <f t="shared" si="0"/>
        <v>OrcThrower</v>
      </c>
      <c r="E141" s="2">
        <v>5</v>
      </c>
      <c r="F141" s="2">
        <v>3</v>
      </c>
      <c r="G141" s="2">
        <v>3</v>
      </c>
      <c r="H141" s="2">
        <v>3</v>
      </c>
      <c r="I141" s="2">
        <v>9</v>
      </c>
      <c r="J141" s="2" t="str">
        <f>IF('Pack Protajer'!$J$24="Español",V141,(IF('Pack Protajer'!$J$24="Deutsch",W141,(IF('Pack Protajer'!$J$24="Français",X141,U141)))))</f>
        <v>Animosidad (todo el equipo), Pasar, Manos seguras</v>
      </c>
      <c r="K141" s="1">
        <v>65000</v>
      </c>
      <c r="L141" s="1">
        <f t="shared" si="10"/>
        <v>65</v>
      </c>
      <c r="M141" s="2">
        <v>2</v>
      </c>
      <c r="N141" s="2">
        <v>0</v>
      </c>
      <c r="O141" s="1" t="s">
        <v>170</v>
      </c>
      <c r="P141" s="1" t="s">
        <v>169</v>
      </c>
      <c r="Q141" s="1" t="s">
        <v>170</v>
      </c>
      <c r="R141" s="1" t="s">
        <v>170</v>
      </c>
      <c r="S141" s="1">
        <v>0</v>
      </c>
      <c r="T141" s="15" t="str">
        <f t="shared" si="13"/>
        <v>M</v>
      </c>
      <c r="U141" s="15" t="s">
        <v>1131</v>
      </c>
      <c r="V141" s="15" t="s">
        <v>588</v>
      </c>
      <c r="W141" s="15" t="s">
        <v>589</v>
      </c>
      <c r="X141" s="15" t="s">
        <v>590</v>
      </c>
      <c r="Y141" s="15"/>
    </row>
    <row r="142" spans="1:25" ht="12.75" customHeight="1" x14ac:dyDescent="0.2">
      <c r="A142" s="23" t="s">
        <v>123</v>
      </c>
      <c r="B142" s="2" t="str">
        <f>A142&amp;COUNTIF($A$2:$A142,A142)</f>
        <v>Orc5</v>
      </c>
      <c r="C142" s="2" t="s">
        <v>591</v>
      </c>
      <c r="D142" s="2" t="str">
        <f t="shared" si="0"/>
        <v>OrcBig Un</v>
      </c>
      <c r="E142" s="2">
        <v>5</v>
      </c>
      <c r="F142" s="2">
        <v>4</v>
      </c>
      <c r="G142" s="2">
        <v>4</v>
      </c>
      <c r="H142" s="2">
        <v>0</v>
      </c>
      <c r="I142" s="2">
        <v>10</v>
      </c>
      <c r="J142" s="2" t="str">
        <f>IF('Pack Protajer'!$J$24="Español",V142,(IF('Pack Protajer'!$J$24="Deutsch",W142,(IF('Pack Protajer'!$J$24="Français",X142,U142)))))</f>
        <v>Animosidad (Big Un Blockers)</v>
      </c>
      <c r="K142" s="1">
        <v>90000</v>
      </c>
      <c r="L142" s="1">
        <f t="shared" si="10"/>
        <v>90</v>
      </c>
      <c r="M142" s="2">
        <v>4</v>
      </c>
      <c r="N142" s="2">
        <v>0</v>
      </c>
      <c r="O142" s="1" t="s">
        <v>170</v>
      </c>
      <c r="P142" s="1" t="s">
        <v>169</v>
      </c>
      <c r="Q142" s="1" t="s">
        <v>170</v>
      </c>
      <c r="R142" s="12">
        <v>0</v>
      </c>
      <c r="S142" s="1">
        <v>0</v>
      </c>
      <c r="T142" s="15" t="str">
        <f t="shared" si="13"/>
        <v>PM</v>
      </c>
      <c r="U142" s="15" t="s">
        <v>592</v>
      </c>
      <c r="V142" s="15" t="s">
        <v>593</v>
      </c>
      <c r="W142" s="15" t="s">
        <v>594</v>
      </c>
      <c r="X142" s="15" t="s">
        <v>595</v>
      </c>
      <c r="Y142" s="15"/>
    </row>
    <row r="143" spans="1:25" ht="12.75" customHeight="1" x14ac:dyDescent="0.2">
      <c r="A143" s="23" t="s">
        <v>123</v>
      </c>
      <c r="B143" s="2" t="str">
        <f>A143&amp;COUNTIF($A$2:$A143,A143)</f>
        <v>Orc6</v>
      </c>
      <c r="C143" s="2" t="s">
        <v>243</v>
      </c>
      <c r="D143" s="2" t="str">
        <f t="shared" si="0"/>
        <v>OrcBlitzer</v>
      </c>
      <c r="E143" s="2">
        <v>6</v>
      </c>
      <c r="F143" s="2">
        <v>3</v>
      </c>
      <c r="G143" s="2">
        <v>3</v>
      </c>
      <c r="H143" s="2">
        <v>4</v>
      </c>
      <c r="I143" s="2">
        <v>10</v>
      </c>
      <c r="J143" s="2" t="str">
        <f>IF('Pack Protajer'!$J$24="Español",V143,(IF('Pack Protajer'!$J$24="Deutsch",W143,(IF('Pack Protajer'!$J$24="Français",X143,U143)))))</f>
        <v>Animosidad (todo el equipo), Placar</v>
      </c>
      <c r="K143" s="1">
        <v>80000</v>
      </c>
      <c r="L143" s="1">
        <f t="shared" si="10"/>
        <v>80</v>
      </c>
      <c r="M143" s="2">
        <v>4</v>
      </c>
      <c r="N143" s="2">
        <v>0</v>
      </c>
      <c r="O143" s="1" t="s">
        <v>170</v>
      </c>
      <c r="P143" s="1" t="s">
        <v>169</v>
      </c>
      <c r="Q143" s="1" t="s">
        <v>170</v>
      </c>
      <c r="R143" s="1" t="s">
        <v>169</v>
      </c>
      <c r="S143" s="1">
        <v>0</v>
      </c>
      <c r="T143" s="15" t="str">
        <f t="shared" si="13"/>
        <v>M</v>
      </c>
      <c r="U143" s="15" t="s">
        <v>1132</v>
      </c>
      <c r="V143" s="2" t="s">
        <v>596</v>
      </c>
      <c r="W143" s="15" t="s">
        <v>597</v>
      </c>
      <c r="X143" s="15" t="s">
        <v>598</v>
      </c>
      <c r="Y143" s="15"/>
    </row>
    <row r="144" spans="1:25" ht="12.75" customHeight="1" x14ac:dyDescent="0.2">
      <c r="A144" s="23" t="s">
        <v>123</v>
      </c>
      <c r="B144" s="2" t="str">
        <f>A144&amp;COUNTIF($A$2:$A144,A144)</f>
        <v>Orc7</v>
      </c>
      <c r="C144" s="2" t="s">
        <v>599</v>
      </c>
      <c r="D144" s="2" t="str">
        <f t="shared" si="0"/>
        <v>OrcUntrained Troll</v>
      </c>
      <c r="E144" s="2">
        <v>4</v>
      </c>
      <c r="F144" s="2">
        <v>5</v>
      </c>
      <c r="G144" s="2">
        <v>5</v>
      </c>
      <c r="H144" s="2">
        <v>5</v>
      </c>
      <c r="I144" s="2">
        <v>10</v>
      </c>
      <c r="J144" s="2" t="str">
        <f>IF('Pack Protajer'!$J$24="Español",V144,(IF('Pack Protajer'!$J$24="Deutsch",W144,(IF('Pack Protajer'!$J$24="Français",X144,U144)))))</f>
        <v>Siempre hambriento, Solitario (4+), Golpe mortífero (+1), Proyectil de vómito, Realmente estúpido, Regeneración, Lanzar compañero</v>
      </c>
      <c r="K144" s="1">
        <v>115000</v>
      </c>
      <c r="L144" s="1">
        <f t="shared" si="10"/>
        <v>115</v>
      </c>
      <c r="M144" s="2">
        <v>1</v>
      </c>
      <c r="N144" s="2">
        <v>1</v>
      </c>
      <c r="O144" s="1" t="s">
        <v>169</v>
      </c>
      <c r="P144" s="1" t="s">
        <v>169</v>
      </c>
      <c r="Q144" s="1" t="s">
        <v>170</v>
      </c>
      <c r="R144" s="1" t="s">
        <v>169</v>
      </c>
      <c r="S144" s="1">
        <v>0</v>
      </c>
      <c r="T144" s="15" t="str">
        <f t="shared" si="13"/>
        <v>M</v>
      </c>
      <c r="U144" s="15" t="s">
        <v>265</v>
      </c>
      <c r="V144" s="2" t="s">
        <v>266</v>
      </c>
      <c r="W144" s="15" t="s">
        <v>267</v>
      </c>
      <c r="X144" s="15" t="s">
        <v>268</v>
      </c>
      <c r="Y144" s="15"/>
    </row>
    <row r="145" spans="1:25" ht="12.75" customHeight="1" x14ac:dyDescent="0.2">
      <c r="A145" s="23" t="s">
        <v>128</v>
      </c>
      <c r="B145" s="2" t="str">
        <f>A145&amp;COUNTIF($A$2:$A145,A145)</f>
        <v>Shambling Undead1</v>
      </c>
      <c r="C145" s="2" t="str">
        <f>""</f>
        <v/>
      </c>
      <c r="D145" s="2" t="str">
        <f t="shared" si="0"/>
        <v>Shambling Undead</v>
      </c>
      <c r="E145" s="2">
        <v>0</v>
      </c>
      <c r="F145" s="2">
        <v>0</v>
      </c>
      <c r="G145" s="2">
        <v>0</v>
      </c>
      <c r="H145" s="2">
        <v>0</v>
      </c>
      <c r="I145" s="2">
        <v>0</v>
      </c>
      <c r="J145" s="2">
        <f>IF('Pack Protajer'!$J$24="Español",V145,(IF('Pack Protajer'!$J$24="Deutsch",W145,(IF('Pack Protajer'!$J$24="Français",X145,U145)))))</f>
        <v>0</v>
      </c>
      <c r="K145" s="1">
        <v>0</v>
      </c>
      <c r="L145" s="1">
        <f t="shared" si="10"/>
        <v>0</v>
      </c>
      <c r="M145" s="1">
        <v>0</v>
      </c>
      <c r="N145" s="1">
        <v>0</v>
      </c>
      <c r="O145" s="1"/>
      <c r="P145" s="1"/>
      <c r="Q145" s="1"/>
      <c r="R145" s="1"/>
      <c r="S145" s="1"/>
      <c r="T145" s="15" t="str">
        <f t="shared" si="13"/>
        <v/>
      </c>
      <c r="U145" s="15">
        <v>0</v>
      </c>
      <c r="V145" s="15">
        <v>0</v>
      </c>
      <c r="W145" s="15">
        <v>0</v>
      </c>
      <c r="X145" s="15">
        <v>0</v>
      </c>
      <c r="Y145" s="15">
        <v>0</v>
      </c>
    </row>
    <row r="146" spans="1:25" ht="12.75" customHeight="1" x14ac:dyDescent="0.2">
      <c r="A146" s="23" t="s">
        <v>128</v>
      </c>
      <c r="B146" s="2" t="str">
        <f>A146&amp;COUNTIF($A$2:$A146,A146)</f>
        <v>Shambling Undead2</v>
      </c>
      <c r="C146" s="2" t="s">
        <v>600</v>
      </c>
      <c r="D146" s="2" t="str">
        <f t="shared" si="0"/>
        <v>Shambling UndeadSkeleton</v>
      </c>
      <c r="E146" s="2">
        <v>5</v>
      </c>
      <c r="F146" s="2">
        <v>3</v>
      </c>
      <c r="G146" s="2">
        <v>4</v>
      </c>
      <c r="H146" s="2">
        <v>6</v>
      </c>
      <c r="I146" s="2">
        <v>8</v>
      </c>
      <c r="J146" s="2" t="str">
        <f>IF('Pack Protajer'!$J$24="Español",V146,(IF('Pack Protajer'!$J$24="Deutsch",W146,(IF('Pack Protajer'!$J$24="Français",X146,U146)))))</f>
        <v>Regeneración, Cabeza dura</v>
      </c>
      <c r="K146" s="1">
        <v>40000</v>
      </c>
      <c r="L146" s="1">
        <f t="shared" si="10"/>
        <v>40</v>
      </c>
      <c r="M146" s="2">
        <v>16</v>
      </c>
      <c r="N146" s="2">
        <v>0</v>
      </c>
      <c r="O146" s="1" t="s">
        <v>170</v>
      </c>
      <c r="P146" s="1" t="s">
        <v>169</v>
      </c>
      <c r="Q146" s="1" t="s">
        <v>169</v>
      </c>
      <c r="R146" s="1">
        <v>0</v>
      </c>
      <c r="S146" s="1">
        <v>0</v>
      </c>
      <c r="T146" s="15" t="str">
        <f t="shared" si="13"/>
        <v>PM</v>
      </c>
      <c r="U146" s="15" t="s">
        <v>601</v>
      </c>
      <c r="V146" s="2" t="s">
        <v>602</v>
      </c>
      <c r="W146" s="15" t="s">
        <v>603</v>
      </c>
      <c r="X146" s="15" t="s">
        <v>604</v>
      </c>
      <c r="Y146" s="15"/>
    </row>
    <row r="147" spans="1:25" ht="12.75" customHeight="1" x14ac:dyDescent="0.2">
      <c r="A147" s="23" t="s">
        <v>128</v>
      </c>
      <c r="B147" s="2" t="str">
        <f>A147&amp;COUNTIF($A$2:$A147,A147)</f>
        <v>Shambling Undead3</v>
      </c>
      <c r="C147" s="2" t="s">
        <v>479</v>
      </c>
      <c r="D147" s="2" t="str">
        <f t="shared" si="0"/>
        <v>Shambling UndeadZombie</v>
      </c>
      <c r="E147" s="2">
        <v>4</v>
      </c>
      <c r="F147" s="2">
        <v>3</v>
      </c>
      <c r="G147" s="2">
        <v>4</v>
      </c>
      <c r="H147" s="2">
        <v>0</v>
      </c>
      <c r="I147" s="2">
        <v>9</v>
      </c>
      <c r="J147" s="2" t="str">
        <f>IF('Pack Protajer'!$J$24="Español",V147,(IF('Pack Protajer'!$J$24="Deutsch",W147,(IF('Pack Protajer'!$J$24="Français",X147,U147)))))</f>
        <v>Regeneración</v>
      </c>
      <c r="K147" s="1">
        <v>40000</v>
      </c>
      <c r="L147" s="1">
        <f t="shared" si="10"/>
        <v>40</v>
      </c>
      <c r="M147" s="2">
        <v>16</v>
      </c>
      <c r="N147" s="2">
        <v>0</v>
      </c>
      <c r="O147" s="1" t="s">
        <v>170</v>
      </c>
      <c r="P147" s="1" t="s">
        <v>169</v>
      </c>
      <c r="Q147" s="1" t="s">
        <v>169</v>
      </c>
      <c r="R147" s="12">
        <v>0</v>
      </c>
      <c r="S147" s="1">
        <v>0</v>
      </c>
      <c r="T147" s="15" t="str">
        <f t="shared" si="13"/>
        <v>PM</v>
      </c>
      <c r="U147" s="15" t="s">
        <v>480</v>
      </c>
      <c r="V147" s="2" t="s">
        <v>481</v>
      </c>
      <c r="W147" s="15" t="s">
        <v>480</v>
      </c>
      <c r="X147" s="15" t="s">
        <v>482</v>
      </c>
      <c r="Y147" s="15"/>
    </row>
    <row r="148" spans="1:25" ht="12.75" customHeight="1" x14ac:dyDescent="0.2">
      <c r="A148" s="23" t="s">
        <v>128</v>
      </c>
      <c r="B148" s="2" t="str">
        <f>A148&amp;COUNTIF($A$2:$A148,A148)</f>
        <v>Shambling Undead4</v>
      </c>
      <c r="C148" s="2" t="s">
        <v>483</v>
      </c>
      <c r="D148" s="2" t="str">
        <f t="shared" si="0"/>
        <v>Shambling UndeadGhoul</v>
      </c>
      <c r="E148" s="2">
        <v>7</v>
      </c>
      <c r="F148" s="2">
        <v>3</v>
      </c>
      <c r="G148" s="2">
        <v>3</v>
      </c>
      <c r="H148" s="2">
        <v>4</v>
      </c>
      <c r="I148" s="2">
        <v>8</v>
      </c>
      <c r="J148" s="2" t="str">
        <f>IF('Pack Protajer'!$J$24="Español",V148,(IF('Pack Protajer'!$J$24="Deutsch",W148,(IF('Pack Protajer'!$J$24="Français",X148,U148)))))</f>
        <v>Esquivar</v>
      </c>
      <c r="K148" s="1">
        <v>75000</v>
      </c>
      <c r="L148" s="1">
        <f t="shared" si="10"/>
        <v>75</v>
      </c>
      <c r="M148" s="2">
        <v>4</v>
      </c>
      <c r="N148" s="2">
        <v>0</v>
      </c>
      <c r="O148" s="1" t="s">
        <v>170</v>
      </c>
      <c r="P148" s="1" t="s">
        <v>170</v>
      </c>
      <c r="Q148" s="1" t="s">
        <v>169</v>
      </c>
      <c r="R148" s="1" t="s">
        <v>169</v>
      </c>
      <c r="S148" s="1">
        <v>0</v>
      </c>
      <c r="T148" s="15" t="str">
        <f t="shared" si="13"/>
        <v>M</v>
      </c>
      <c r="U148" s="15" t="s">
        <v>237</v>
      </c>
      <c r="V148" s="15" t="s">
        <v>238</v>
      </c>
      <c r="W148" s="15" t="s">
        <v>239</v>
      </c>
      <c r="X148" s="15" t="s">
        <v>240</v>
      </c>
      <c r="Y148" s="15"/>
    </row>
    <row r="149" spans="1:25" ht="12.75" customHeight="1" x14ac:dyDescent="0.2">
      <c r="A149" s="23" t="s">
        <v>128</v>
      </c>
      <c r="B149" s="2" t="str">
        <f>A149&amp;COUNTIF($A$2:$A149,A149)</f>
        <v>Shambling Undead5</v>
      </c>
      <c r="C149" s="2" t="s">
        <v>605</v>
      </c>
      <c r="D149" s="2" t="str">
        <f t="shared" si="0"/>
        <v>Shambling UndeadWight</v>
      </c>
      <c r="E149" s="2">
        <v>6</v>
      </c>
      <c r="F149" s="2">
        <v>3</v>
      </c>
      <c r="G149" s="2">
        <v>3</v>
      </c>
      <c r="H149" s="2">
        <v>5</v>
      </c>
      <c r="I149" s="2">
        <v>9</v>
      </c>
      <c r="J149" s="2" t="str">
        <f>IF('Pack Protajer'!$J$24="Español",V149,(IF('Pack Protajer'!$J$24="Deutsch",W149,(IF('Pack Protajer'!$J$24="Français",X149,U149)))))</f>
        <v>Placar, Regeneración</v>
      </c>
      <c r="K149" s="1">
        <v>90000</v>
      </c>
      <c r="L149" s="1">
        <f t="shared" si="10"/>
        <v>90</v>
      </c>
      <c r="M149" s="2">
        <v>2</v>
      </c>
      <c r="N149" s="2">
        <v>0</v>
      </c>
      <c r="O149" s="1" t="s">
        <v>170</v>
      </c>
      <c r="P149" s="1" t="s">
        <v>169</v>
      </c>
      <c r="Q149" s="1" t="s">
        <v>170</v>
      </c>
      <c r="R149" s="1" t="s">
        <v>169</v>
      </c>
      <c r="S149" s="1">
        <v>0</v>
      </c>
      <c r="T149" s="15" t="str">
        <f t="shared" si="13"/>
        <v>M</v>
      </c>
      <c r="U149" s="15" t="s">
        <v>606</v>
      </c>
      <c r="V149" s="15" t="s">
        <v>607</v>
      </c>
      <c r="W149" s="15" t="s">
        <v>606</v>
      </c>
      <c r="X149" s="15" t="s">
        <v>608</v>
      </c>
      <c r="Y149" s="15"/>
    </row>
    <row r="150" spans="1:25" ht="12.75" customHeight="1" x14ac:dyDescent="0.2">
      <c r="A150" s="23" t="s">
        <v>128</v>
      </c>
      <c r="B150" s="2" t="str">
        <f>A150&amp;COUNTIF($A$2:$A150,A150)</f>
        <v>Shambling Undead6</v>
      </c>
      <c r="C150" s="2" t="s">
        <v>609</v>
      </c>
      <c r="D150" s="2" t="str">
        <f t="shared" si="0"/>
        <v>Shambling UndeadMummy</v>
      </c>
      <c r="E150" s="2">
        <v>3</v>
      </c>
      <c r="F150" s="2">
        <v>5</v>
      </c>
      <c r="G150" s="2">
        <v>5</v>
      </c>
      <c r="H150" s="2">
        <v>0</v>
      </c>
      <c r="I150" s="2">
        <v>10</v>
      </c>
      <c r="J150" s="2" t="str">
        <f>IF('Pack Protajer'!$J$24="Español",V150,(IF('Pack Protajer'!$J$24="Deutsch",W150,(IF('Pack Protajer'!$J$24="Français",X150,U150)))))</f>
        <v>Golpe mortífero (+1), Regeneración</v>
      </c>
      <c r="K150" s="1">
        <v>125000</v>
      </c>
      <c r="L150" s="1">
        <f t="shared" si="10"/>
        <v>125</v>
      </c>
      <c r="M150" s="1">
        <v>2</v>
      </c>
      <c r="N150" s="1">
        <v>0</v>
      </c>
      <c r="O150" s="1" t="s">
        <v>169</v>
      </c>
      <c r="P150" s="1" t="s">
        <v>169</v>
      </c>
      <c r="Q150" s="1" t="s">
        <v>170</v>
      </c>
      <c r="R150" s="12">
        <v>0</v>
      </c>
      <c r="S150" s="1">
        <v>0</v>
      </c>
      <c r="T150" s="15" t="str">
        <f t="shared" si="13"/>
        <v>PM</v>
      </c>
      <c r="U150" s="15" t="s">
        <v>610</v>
      </c>
      <c r="V150" s="2" t="s">
        <v>611</v>
      </c>
      <c r="W150" s="15" t="s">
        <v>612</v>
      </c>
      <c r="X150" s="15" t="s">
        <v>613</v>
      </c>
      <c r="Y150" s="15"/>
    </row>
    <row r="151" spans="1:25" ht="12.75" customHeight="1" x14ac:dyDescent="0.2">
      <c r="A151" s="23" t="s">
        <v>134</v>
      </c>
      <c r="B151" s="2" t="str">
        <f>A151&amp;COUNTIF($A$2:$A151,A151)</f>
        <v>Slann1</v>
      </c>
      <c r="C151" s="2" t="str">
        <f>""</f>
        <v/>
      </c>
      <c r="D151" s="2" t="str">
        <f t="shared" si="0"/>
        <v>Slann</v>
      </c>
      <c r="E151" s="2">
        <v>0</v>
      </c>
      <c r="F151" s="2">
        <v>0</v>
      </c>
      <c r="G151" s="2">
        <v>0</v>
      </c>
      <c r="H151" s="2">
        <v>0</v>
      </c>
      <c r="I151" s="2">
        <v>0</v>
      </c>
      <c r="J151" s="2" t="str">
        <f>IF('Pack Protajer'!$J$24="Español",V151,(IF('Pack Protajer'!$J$24="Deutsch",W151,(IF('Pack Protajer'!$J$24="Français",X151,U151)))))</f>
        <v>Regeneración</v>
      </c>
      <c r="K151" s="1">
        <v>0</v>
      </c>
      <c r="L151" s="1">
        <f t="shared" ref="L151:L194" si="14">K151/1000</f>
        <v>0</v>
      </c>
      <c r="M151" s="1">
        <v>0</v>
      </c>
      <c r="N151" s="1">
        <v>0</v>
      </c>
      <c r="O151" s="1"/>
      <c r="P151" s="1"/>
      <c r="Q151" s="1"/>
      <c r="R151" s="12"/>
      <c r="S151" s="1"/>
      <c r="T151" s="15" t="str">
        <f t="shared" si="13"/>
        <v/>
      </c>
      <c r="U151" s="15" t="s">
        <v>480</v>
      </c>
      <c r="V151" s="2" t="s">
        <v>481</v>
      </c>
      <c r="W151" s="15" t="s">
        <v>480</v>
      </c>
      <c r="X151" s="15" t="s">
        <v>482</v>
      </c>
      <c r="Y151" s="15">
        <v>0</v>
      </c>
    </row>
    <row r="152" spans="1:25" ht="12.75" customHeight="1" x14ac:dyDescent="0.2">
      <c r="A152" s="23" t="s">
        <v>134</v>
      </c>
      <c r="B152" s="2" t="str">
        <f>A152&amp;COUNTIF($A$2:$A152,A152)</f>
        <v>Slann2</v>
      </c>
      <c r="C152" s="2" t="s">
        <v>319</v>
      </c>
      <c r="D152" s="2" t="str">
        <f t="shared" si="0"/>
        <v>SlannLineman</v>
      </c>
      <c r="E152" s="2">
        <v>6</v>
      </c>
      <c r="F152" s="2">
        <v>3</v>
      </c>
      <c r="G152" s="2">
        <v>3</v>
      </c>
      <c r="H152" s="2">
        <v>4</v>
      </c>
      <c r="I152" s="2">
        <v>9</v>
      </c>
      <c r="J152" s="2" t="str">
        <f>IF('Pack Protajer'!$J$24="Español",V152,(IF('Pack Protajer'!$J$24="Deutsch",W152,(IF('Pack Protajer'!$J$24="Français",X152,U152)))))</f>
        <v>Pogo saltarín, Piernas muy largas</v>
      </c>
      <c r="K152" s="1">
        <v>60000</v>
      </c>
      <c r="L152" s="1">
        <f t="shared" si="14"/>
        <v>60</v>
      </c>
      <c r="M152" s="2">
        <v>16</v>
      </c>
      <c r="N152" s="2">
        <v>0</v>
      </c>
      <c r="O152" s="1" t="s">
        <v>170</v>
      </c>
      <c r="P152" s="1" t="s">
        <v>169</v>
      </c>
      <c r="Q152" s="1" t="s">
        <v>169</v>
      </c>
      <c r="R152" s="1">
        <v>0</v>
      </c>
      <c r="S152" s="1">
        <v>0</v>
      </c>
      <c r="T152" s="15" t="str">
        <f t="shared" si="13"/>
        <v>PM</v>
      </c>
      <c r="U152" s="15" t="s">
        <v>614</v>
      </c>
      <c r="V152" s="2" t="s">
        <v>615</v>
      </c>
      <c r="W152" s="15" t="s">
        <v>616</v>
      </c>
      <c r="X152" s="15" t="s">
        <v>617</v>
      </c>
      <c r="Y152" s="15"/>
    </row>
    <row r="153" spans="1:25" ht="12.75" customHeight="1" x14ac:dyDescent="0.2">
      <c r="A153" s="23" t="s">
        <v>134</v>
      </c>
      <c r="B153" s="2" t="str">
        <f>A153&amp;COUNTIF($A$2:$A153,A153)</f>
        <v>Slann3</v>
      </c>
      <c r="C153" s="2" t="s">
        <v>242</v>
      </c>
      <c r="D153" s="2" t="str">
        <f t="shared" si="0"/>
        <v>SlannCatcher</v>
      </c>
      <c r="E153" s="2">
        <v>7</v>
      </c>
      <c r="F153" s="2">
        <v>2</v>
      </c>
      <c r="G153" s="2">
        <v>2</v>
      </c>
      <c r="H153" s="2">
        <v>4</v>
      </c>
      <c r="I153" s="2">
        <v>8</v>
      </c>
      <c r="J153" s="2" t="str">
        <f>IF('Pack Protajer'!$J$24="Español",V153,(IF('Pack Protajer'!$J$24="Deutsch",W153,(IF('Pack Protajer'!$J$24="Français",X153,U153)))))</f>
        <v>Recepción heroica, Pogo saltarín, Piernas muy largas</v>
      </c>
      <c r="K153" s="1">
        <v>80000</v>
      </c>
      <c r="L153" s="1">
        <f t="shared" si="14"/>
        <v>80</v>
      </c>
      <c r="M153" s="2">
        <v>4</v>
      </c>
      <c r="N153" s="2">
        <v>0</v>
      </c>
      <c r="O153" s="1" t="s">
        <v>170</v>
      </c>
      <c r="P153" s="1" t="s">
        <v>170</v>
      </c>
      <c r="Q153" s="1" t="s">
        <v>169</v>
      </c>
      <c r="R153" s="1" t="s">
        <v>169</v>
      </c>
      <c r="S153" s="1">
        <v>0</v>
      </c>
      <c r="T153" s="15" t="str">
        <f t="shared" si="13"/>
        <v>M</v>
      </c>
      <c r="U153" s="15" t="s">
        <v>618</v>
      </c>
      <c r="V153" s="15" t="s">
        <v>619</v>
      </c>
      <c r="W153" s="15" t="s">
        <v>620</v>
      </c>
      <c r="X153" s="15" t="s">
        <v>621</v>
      </c>
      <c r="Y153" s="15"/>
    </row>
    <row r="154" spans="1:25" ht="12.75" customHeight="1" x14ac:dyDescent="0.2">
      <c r="A154" s="23" t="s">
        <v>134</v>
      </c>
      <c r="B154" s="2" t="str">
        <f>A154&amp;COUNTIF($A$2:$A154,A154)</f>
        <v>Slann4</v>
      </c>
      <c r="C154" s="2" t="s">
        <v>243</v>
      </c>
      <c r="D154" s="2" t="str">
        <f t="shared" si="0"/>
        <v>SlannBlitzer</v>
      </c>
      <c r="E154" s="2">
        <v>7</v>
      </c>
      <c r="F154" s="2">
        <v>3</v>
      </c>
      <c r="G154" s="2">
        <v>3</v>
      </c>
      <c r="H154" s="2">
        <v>4</v>
      </c>
      <c r="I154" s="2">
        <v>9</v>
      </c>
      <c r="J154" s="2" t="str">
        <f>IF('Pack Protajer'!$J$24="Español",V154,(IF('Pack Protajer'!$J$24="Deutsch",W154,(IF('Pack Protajer'!$J$24="Français",X154,U154)))))</f>
        <v>Placaje heroico, En pie de un salto, Pogo saltarín, Piernas muy largas</v>
      </c>
      <c r="K154" s="1">
        <v>110000</v>
      </c>
      <c r="L154" s="1">
        <f t="shared" si="14"/>
        <v>110</v>
      </c>
      <c r="M154" s="2">
        <v>4</v>
      </c>
      <c r="N154" s="2">
        <v>0</v>
      </c>
      <c r="O154" s="1" t="s">
        <v>170</v>
      </c>
      <c r="P154" s="1" t="s">
        <v>170</v>
      </c>
      <c r="Q154" s="1" t="s">
        <v>170</v>
      </c>
      <c r="R154" s="1" t="s">
        <v>169</v>
      </c>
      <c r="S154" s="1">
        <v>0</v>
      </c>
      <c r="T154" s="15" t="str">
        <f t="shared" si="13"/>
        <v>M</v>
      </c>
      <c r="U154" s="15" t="s">
        <v>622</v>
      </c>
      <c r="V154" s="15" t="s">
        <v>623</v>
      </c>
      <c r="W154" s="15" t="s">
        <v>624</v>
      </c>
      <c r="X154" s="15" t="s">
        <v>625</v>
      </c>
      <c r="Y154" s="15"/>
    </row>
    <row r="155" spans="1:25" ht="12.75" customHeight="1" x14ac:dyDescent="0.2">
      <c r="A155" s="23" t="s">
        <v>134</v>
      </c>
      <c r="B155" s="2" t="str">
        <f>A155&amp;COUNTIF($A$2:$A155,A155)</f>
        <v>Slann5</v>
      </c>
      <c r="C155" s="2" t="s">
        <v>474</v>
      </c>
      <c r="D155" s="2" t="str">
        <f t="shared" si="0"/>
        <v>SlannKroxigor</v>
      </c>
      <c r="E155" s="2">
        <v>6</v>
      </c>
      <c r="F155" s="2">
        <v>5</v>
      </c>
      <c r="G155" s="2">
        <v>5</v>
      </c>
      <c r="H155" s="2">
        <v>0</v>
      </c>
      <c r="I155" s="2">
        <v>10</v>
      </c>
      <c r="J155" s="2" t="str">
        <f>IF('Pack Protajer'!$J$24="Español",V155,(IF('Pack Protajer'!$J$24="Deutsch",W155,(IF('Pack Protajer'!$J$24="Français",X155,U155)))))</f>
        <v>Estúpido, Solitario (4+), Golpe mortífero (+1), Cola prensil, Cabeza dura</v>
      </c>
      <c r="K155" s="1">
        <v>140000</v>
      </c>
      <c r="L155" s="1">
        <f t="shared" si="14"/>
        <v>140</v>
      </c>
      <c r="M155" s="2">
        <v>1</v>
      </c>
      <c r="N155" s="2">
        <v>1</v>
      </c>
      <c r="O155" s="1" t="s">
        <v>169</v>
      </c>
      <c r="P155" s="1" t="s">
        <v>169</v>
      </c>
      <c r="Q155" s="1" t="s">
        <v>170</v>
      </c>
      <c r="R155" s="12">
        <v>0</v>
      </c>
      <c r="S155" s="1">
        <v>0</v>
      </c>
      <c r="T155" s="15" t="str">
        <f t="shared" si="13"/>
        <v>PM</v>
      </c>
      <c r="U155" s="15" t="s">
        <v>626</v>
      </c>
      <c r="V155" s="15" t="s">
        <v>476</v>
      </c>
      <c r="W155" s="15" t="s">
        <v>627</v>
      </c>
      <c r="X155" s="15" t="s">
        <v>628</v>
      </c>
      <c r="Y155" s="15"/>
    </row>
    <row r="156" spans="1:25" ht="12.75" customHeight="1" x14ac:dyDescent="0.2">
      <c r="A156" s="23" t="s">
        <v>138</v>
      </c>
      <c r="B156" s="2" t="str">
        <f>A156&amp;COUNTIF($A$2:$A156,A156)</f>
        <v>Skaven1</v>
      </c>
      <c r="C156" s="2" t="str">
        <f>""</f>
        <v/>
      </c>
      <c r="D156" s="2" t="str">
        <f t="shared" si="0"/>
        <v>Skaven</v>
      </c>
      <c r="E156" s="2">
        <v>0</v>
      </c>
      <c r="F156" s="2">
        <v>0</v>
      </c>
      <c r="G156" s="2">
        <v>0</v>
      </c>
      <c r="H156" s="2">
        <v>0</v>
      </c>
      <c r="I156" s="2">
        <v>0</v>
      </c>
      <c r="J156" s="2">
        <f>IF('Pack Protajer'!$J$24="Español",V156,(IF('Pack Protajer'!$J$24="Deutsch",W156,(IF('Pack Protajer'!$J$24="Français",X156,U156)))))</f>
        <v>0</v>
      </c>
      <c r="K156" s="1">
        <v>0</v>
      </c>
      <c r="L156" s="1">
        <f t="shared" si="14"/>
        <v>0</v>
      </c>
      <c r="M156" s="1">
        <v>0</v>
      </c>
      <c r="N156" s="1">
        <v>0</v>
      </c>
      <c r="O156" s="1"/>
      <c r="P156" s="1"/>
      <c r="Q156" s="1"/>
      <c r="R156" s="1"/>
      <c r="S156" s="1"/>
      <c r="T156" s="15" t="str">
        <f t="shared" si="13"/>
        <v/>
      </c>
      <c r="U156" s="15">
        <v>0</v>
      </c>
      <c r="V156" s="15">
        <v>0</v>
      </c>
      <c r="W156" s="15">
        <v>0</v>
      </c>
      <c r="X156" s="15">
        <v>0</v>
      </c>
      <c r="Y156" s="15">
        <v>0</v>
      </c>
    </row>
    <row r="157" spans="1:25" ht="12.75" customHeight="1" x14ac:dyDescent="0.2">
      <c r="A157" s="23" t="s">
        <v>138</v>
      </c>
      <c r="B157" s="2" t="str">
        <f>A157&amp;COUNTIF($A$2:$A157,A157)</f>
        <v>Skaven2</v>
      </c>
      <c r="C157" s="2" t="s">
        <v>319</v>
      </c>
      <c r="D157" s="2" t="str">
        <f t="shared" si="0"/>
        <v>SkavenLineman</v>
      </c>
      <c r="E157" s="2">
        <v>7</v>
      </c>
      <c r="F157" s="2">
        <v>3</v>
      </c>
      <c r="G157" s="2">
        <v>3</v>
      </c>
      <c r="H157" s="2">
        <v>4</v>
      </c>
      <c r="I157" s="2">
        <v>8</v>
      </c>
      <c r="J157" s="2" t="str">
        <f>IF('Pack Protajer'!$J$24="Español",V157,(IF('Pack Protajer'!$J$24="Deutsch",W157,(IF('Pack Protajer'!$J$24="Français",X157,U157)))))</f>
        <v/>
      </c>
      <c r="K157" s="1">
        <v>50000</v>
      </c>
      <c r="L157" s="1">
        <f t="shared" si="14"/>
        <v>50</v>
      </c>
      <c r="M157" s="2">
        <v>16</v>
      </c>
      <c r="N157" s="2">
        <v>0</v>
      </c>
      <c r="O157" s="1" t="s">
        <v>170</v>
      </c>
      <c r="P157" s="1" t="s">
        <v>169</v>
      </c>
      <c r="Q157" s="1" t="s">
        <v>169</v>
      </c>
      <c r="R157" s="1">
        <v>0</v>
      </c>
      <c r="S157" s="1" t="s">
        <v>169</v>
      </c>
      <c r="T157" s="15" t="str">
        <f t="shared" si="13"/>
        <v>P</v>
      </c>
      <c r="U157" s="15" t="str">
        <f t="shared" ref="U157:Y157" si="15">""</f>
        <v/>
      </c>
      <c r="V157" s="15" t="str">
        <f t="shared" si="15"/>
        <v/>
      </c>
      <c r="W157" s="15" t="str">
        <f t="shared" si="15"/>
        <v/>
      </c>
      <c r="X157" s="15" t="str">
        <f t="shared" si="15"/>
        <v/>
      </c>
      <c r="Y157" s="15" t="str">
        <f t="shared" si="15"/>
        <v/>
      </c>
    </row>
    <row r="158" spans="1:25" ht="12.75" customHeight="1" x14ac:dyDescent="0.2">
      <c r="A158" s="23" t="s">
        <v>138</v>
      </c>
      <c r="B158" s="2" t="str">
        <f>A158&amp;COUNTIF($A$2:$A158,A158)</f>
        <v>Skaven3</v>
      </c>
      <c r="C158" s="2" t="s">
        <v>241</v>
      </c>
      <c r="D158" s="2" t="str">
        <f t="shared" si="0"/>
        <v>SkavenThrower</v>
      </c>
      <c r="E158" s="2">
        <v>7</v>
      </c>
      <c r="F158" s="2">
        <v>3</v>
      </c>
      <c r="G158" s="2">
        <v>3</v>
      </c>
      <c r="H158" s="2">
        <v>2</v>
      </c>
      <c r="I158" s="2">
        <v>8</v>
      </c>
      <c r="J158" s="2" t="str">
        <f>IF('Pack Protajer'!$J$24="Español",V158,(IF('Pack Protajer'!$J$24="Deutsch",W158,(IF('Pack Protajer'!$J$24="Français",X158,U158)))))</f>
        <v>Pasar, Manos seguras</v>
      </c>
      <c r="K158" s="1">
        <v>85000</v>
      </c>
      <c r="L158" s="1">
        <f t="shared" si="14"/>
        <v>85</v>
      </c>
      <c r="M158" s="2">
        <v>2</v>
      </c>
      <c r="N158" s="2">
        <v>0</v>
      </c>
      <c r="O158" s="1" t="s">
        <v>170</v>
      </c>
      <c r="P158" s="1" t="s">
        <v>169</v>
      </c>
      <c r="Q158" s="1" t="s">
        <v>169</v>
      </c>
      <c r="R158" s="1" t="s">
        <v>170</v>
      </c>
      <c r="S158" s="1" t="s">
        <v>169</v>
      </c>
      <c r="T158" s="15" t="str">
        <f t="shared" si="13"/>
        <v>FULL</v>
      </c>
      <c r="U158" s="15" t="s">
        <v>430</v>
      </c>
      <c r="V158" s="2" t="s">
        <v>431</v>
      </c>
      <c r="W158" s="15" t="s">
        <v>432</v>
      </c>
      <c r="X158" s="15" t="s">
        <v>433</v>
      </c>
      <c r="Y158" s="15"/>
    </row>
    <row r="159" spans="1:25" ht="12.75" customHeight="1" x14ac:dyDescent="0.2">
      <c r="A159" s="23" t="s">
        <v>138</v>
      </c>
      <c r="B159" s="2" t="str">
        <f>A159&amp;COUNTIF($A$2:$A159,A159)</f>
        <v>Skaven4</v>
      </c>
      <c r="C159" s="2" t="s">
        <v>629</v>
      </c>
      <c r="D159" s="2" t="str">
        <f t="shared" si="0"/>
        <v>SkavenGutter Runner</v>
      </c>
      <c r="E159" s="2">
        <v>9</v>
      </c>
      <c r="F159" s="2">
        <v>2</v>
      </c>
      <c r="G159" s="2">
        <v>2</v>
      </c>
      <c r="H159" s="2">
        <v>4</v>
      </c>
      <c r="I159" s="2">
        <v>8</v>
      </c>
      <c r="J159" s="2" t="str">
        <f>IF('Pack Protajer'!$J$24="Español",V159,(IF('Pack Protajer'!$J$24="Deutsch",W159,(IF('Pack Protajer'!$J$24="Français",X159,U159)))))</f>
        <v>Esquivar</v>
      </c>
      <c r="K159" s="1">
        <v>85000</v>
      </c>
      <c r="L159" s="1">
        <f t="shared" si="14"/>
        <v>85</v>
      </c>
      <c r="M159" s="2">
        <v>4</v>
      </c>
      <c r="N159" s="2">
        <v>0</v>
      </c>
      <c r="O159" s="1" t="s">
        <v>170</v>
      </c>
      <c r="P159" s="1" t="s">
        <v>170</v>
      </c>
      <c r="Q159" s="1" t="s">
        <v>169</v>
      </c>
      <c r="R159" s="1" t="s">
        <v>169</v>
      </c>
      <c r="S159" s="1" t="s">
        <v>169</v>
      </c>
      <c r="T159" s="15" t="str">
        <f t="shared" si="13"/>
        <v>FULL</v>
      </c>
      <c r="U159" s="15" t="s">
        <v>237</v>
      </c>
      <c r="V159" s="15" t="s">
        <v>238</v>
      </c>
      <c r="W159" s="15" t="s">
        <v>239</v>
      </c>
      <c r="X159" s="15" t="s">
        <v>240</v>
      </c>
      <c r="Y159" s="15"/>
    </row>
    <row r="160" spans="1:25" ht="12.75" customHeight="1" x14ac:dyDescent="0.2">
      <c r="A160" s="23" t="s">
        <v>138</v>
      </c>
      <c r="B160" s="2" t="str">
        <f>A160&amp;COUNTIF($A$2:$A160,A160)</f>
        <v>Skaven5</v>
      </c>
      <c r="C160" s="2" t="s">
        <v>243</v>
      </c>
      <c r="D160" s="2" t="str">
        <f t="shared" si="0"/>
        <v>SkavenBlitzer</v>
      </c>
      <c r="E160" s="2">
        <v>7</v>
      </c>
      <c r="F160" s="2">
        <v>3</v>
      </c>
      <c r="G160" s="2">
        <v>3</v>
      </c>
      <c r="H160" s="2">
        <v>5</v>
      </c>
      <c r="I160" s="2">
        <v>9</v>
      </c>
      <c r="J160" s="2" t="str">
        <f>IF('Pack Protajer'!$J$24="Español",V160,(IF('Pack Protajer'!$J$24="Deutsch",W160,(IF('Pack Protajer'!$J$24="Français",X160,U160)))))</f>
        <v>Placar</v>
      </c>
      <c r="K160" s="1">
        <v>90000</v>
      </c>
      <c r="L160" s="1">
        <f t="shared" si="14"/>
        <v>90</v>
      </c>
      <c r="M160" s="2">
        <v>2</v>
      </c>
      <c r="N160" s="2">
        <v>0</v>
      </c>
      <c r="O160" s="1" t="s">
        <v>170</v>
      </c>
      <c r="P160" s="1" t="s">
        <v>169</v>
      </c>
      <c r="Q160" s="1" t="s">
        <v>170</v>
      </c>
      <c r="R160" s="1" t="s">
        <v>169</v>
      </c>
      <c r="S160" s="1" t="s">
        <v>169</v>
      </c>
      <c r="T160" s="15" t="str">
        <f t="shared" si="13"/>
        <v>FULL</v>
      </c>
      <c r="U160" s="15" t="s">
        <v>330</v>
      </c>
      <c r="V160" s="2" t="s">
        <v>331</v>
      </c>
      <c r="W160" s="15" t="s">
        <v>330</v>
      </c>
      <c r="X160" s="15" t="s">
        <v>332</v>
      </c>
      <c r="Y160" s="15"/>
    </row>
    <row r="161" spans="1:25" ht="12.75" customHeight="1" x14ac:dyDescent="0.2">
      <c r="A161" s="23" t="s">
        <v>138</v>
      </c>
      <c r="B161" s="2" t="str">
        <f>A161&amp;COUNTIF($A$2:$A161,A161)</f>
        <v>Skaven6</v>
      </c>
      <c r="C161" s="2" t="s">
        <v>630</v>
      </c>
      <c r="D161" s="2" t="str">
        <f t="shared" si="0"/>
        <v>SkavenRat Ogre</v>
      </c>
      <c r="E161" s="2">
        <v>6</v>
      </c>
      <c r="F161" s="2">
        <v>5</v>
      </c>
      <c r="G161" s="2">
        <v>4</v>
      </c>
      <c r="H161" s="2">
        <v>0</v>
      </c>
      <c r="I161" s="2">
        <v>9</v>
      </c>
      <c r="J161" s="2" t="str">
        <f>IF('Pack Protajer'!$J$24="Español",V161,(IF('Pack Protajer'!$J$24="Deutsch",W161,(IF('Pack Protajer'!$J$24="Français",X161,U161)))))</f>
        <v>Ferocidad animal, Furia, Solitario (4+), Golpe mortífero (+1), Cola prensil</v>
      </c>
      <c r="K161" s="1">
        <v>150000</v>
      </c>
      <c r="L161" s="1">
        <f t="shared" si="14"/>
        <v>150</v>
      </c>
      <c r="M161" s="2">
        <v>1</v>
      </c>
      <c r="N161" s="2">
        <v>1</v>
      </c>
      <c r="O161" s="1" t="s">
        <v>169</v>
      </c>
      <c r="P161" s="1" t="s">
        <v>169</v>
      </c>
      <c r="Q161" s="1" t="s">
        <v>170</v>
      </c>
      <c r="R161" s="12">
        <v>0</v>
      </c>
      <c r="S161" s="1" t="s">
        <v>169</v>
      </c>
      <c r="T161" s="15" t="str">
        <f t="shared" si="13"/>
        <v>P</v>
      </c>
      <c r="U161" s="15" t="s">
        <v>311</v>
      </c>
      <c r="V161" s="2" t="s">
        <v>312</v>
      </c>
      <c r="W161" s="15" t="s">
        <v>313</v>
      </c>
      <c r="X161" s="15" t="s">
        <v>314</v>
      </c>
      <c r="Y161" s="15"/>
    </row>
    <row r="162" spans="1:25" ht="12.75" customHeight="1" x14ac:dyDescent="0.2">
      <c r="A162" s="23" t="s">
        <v>149</v>
      </c>
      <c r="B162" s="2" t="str">
        <f>A162&amp;COUNTIF($A$2:$A162,A162)</f>
        <v>Tomb King1</v>
      </c>
      <c r="C162" s="2" t="str">
        <f>""</f>
        <v/>
      </c>
      <c r="D162" s="2" t="str">
        <f t="shared" si="0"/>
        <v>Tomb King</v>
      </c>
      <c r="E162" s="2">
        <v>0</v>
      </c>
      <c r="F162" s="2">
        <v>0</v>
      </c>
      <c r="G162" s="2">
        <v>0</v>
      </c>
      <c r="H162" s="2">
        <v>0</v>
      </c>
      <c r="I162" s="2">
        <v>0</v>
      </c>
      <c r="J162" s="2">
        <f>IF('Pack Protajer'!$J$24="Español",V162,(IF('Pack Protajer'!$J$24="Deutsch",W162,(IF('Pack Protajer'!$J$24="Français",X162,U162)))))</f>
        <v>0</v>
      </c>
      <c r="K162" s="1">
        <v>0</v>
      </c>
      <c r="L162" s="1">
        <f t="shared" si="14"/>
        <v>0</v>
      </c>
      <c r="M162" s="1">
        <v>0</v>
      </c>
      <c r="N162" s="1">
        <v>0</v>
      </c>
      <c r="O162" s="1"/>
      <c r="P162" s="1"/>
      <c r="Q162" s="1"/>
      <c r="R162" s="1"/>
      <c r="S162" s="1"/>
      <c r="T162" s="15" t="str">
        <f t="shared" si="13"/>
        <v/>
      </c>
      <c r="U162" s="15">
        <v>0</v>
      </c>
      <c r="V162" s="15">
        <v>0</v>
      </c>
      <c r="W162" s="15">
        <v>0</v>
      </c>
      <c r="X162" s="15">
        <v>0</v>
      </c>
      <c r="Y162" s="15">
        <v>0</v>
      </c>
    </row>
    <row r="163" spans="1:25" ht="12.75" customHeight="1" x14ac:dyDescent="0.2">
      <c r="A163" s="23" t="s">
        <v>149</v>
      </c>
      <c r="B163" s="2" t="str">
        <f>A163&amp;COUNTIF($A$2:$A163,A163)</f>
        <v>Tomb King2</v>
      </c>
      <c r="C163" s="2" t="s">
        <v>600</v>
      </c>
      <c r="D163" s="2" t="str">
        <f t="shared" si="0"/>
        <v>Tomb KingSkeleton</v>
      </c>
      <c r="E163" s="2">
        <v>5</v>
      </c>
      <c r="F163" s="2">
        <v>3</v>
      </c>
      <c r="G163" s="2">
        <v>4</v>
      </c>
      <c r="H163" s="2">
        <v>6</v>
      </c>
      <c r="I163" s="2">
        <v>8</v>
      </c>
      <c r="J163" s="2" t="str">
        <f>IF('Pack Protajer'!$J$24="Español",V163,(IF('Pack Protajer'!$J$24="Deutsch",W163,(IF('Pack Protajer'!$J$24="Français",X163,U163)))))</f>
        <v>Regeneración, Cabeza dura</v>
      </c>
      <c r="K163" s="1">
        <v>40000</v>
      </c>
      <c r="L163" s="1">
        <f t="shared" si="14"/>
        <v>40</v>
      </c>
      <c r="M163" s="2">
        <v>16</v>
      </c>
      <c r="N163" s="2">
        <v>0</v>
      </c>
      <c r="O163" s="1" t="s">
        <v>170</v>
      </c>
      <c r="P163" s="1" t="s">
        <v>169</v>
      </c>
      <c r="Q163" s="1" t="s">
        <v>169</v>
      </c>
      <c r="R163" s="1">
        <v>0</v>
      </c>
      <c r="S163" s="1">
        <v>0</v>
      </c>
      <c r="T163" s="15" t="str">
        <f t="shared" si="13"/>
        <v>PM</v>
      </c>
      <c r="U163" s="15" t="s">
        <v>601</v>
      </c>
      <c r="V163" s="2" t="s">
        <v>602</v>
      </c>
      <c r="W163" s="15" t="s">
        <v>603</v>
      </c>
      <c r="X163" s="15" t="s">
        <v>604</v>
      </c>
      <c r="Y163" s="15"/>
    </row>
    <row r="164" spans="1:25" ht="12.75" customHeight="1" x14ac:dyDescent="0.2">
      <c r="A164" s="23" t="s">
        <v>149</v>
      </c>
      <c r="B164" s="2" t="str">
        <f>A164&amp;COUNTIF($A$2:$A164,A164)</f>
        <v>Tomb King3</v>
      </c>
      <c r="C164" s="2" t="s">
        <v>631</v>
      </c>
      <c r="D164" s="2" t="str">
        <f t="shared" si="0"/>
        <v>Tomb KingAnointed Throwers</v>
      </c>
      <c r="E164" s="2">
        <v>6</v>
      </c>
      <c r="F164" s="2">
        <v>3</v>
      </c>
      <c r="G164" s="2">
        <v>4</v>
      </c>
      <c r="H164" s="2">
        <v>3</v>
      </c>
      <c r="I164" s="2">
        <v>8</v>
      </c>
      <c r="J164" s="2" t="str">
        <f>IF('Pack Protajer'!$J$24="Español",V164,(IF('Pack Protajer'!$J$24="Deutsch",W164,(IF('Pack Protajer'!$J$24="Français",X164,U164)))))</f>
        <v>Pasar, Regeneración, Manos seguras, Cabeza dura</v>
      </c>
      <c r="K164" s="1">
        <v>70000</v>
      </c>
      <c r="L164" s="1">
        <f t="shared" si="14"/>
        <v>70</v>
      </c>
      <c r="M164" s="2">
        <v>2</v>
      </c>
      <c r="N164" s="2">
        <v>0</v>
      </c>
      <c r="O164" s="1" t="s">
        <v>170</v>
      </c>
      <c r="P164" s="1" t="s">
        <v>169</v>
      </c>
      <c r="Q164" s="1" t="s">
        <v>169</v>
      </c>
      <c r="R164" s="1" t="s">
        <v>170</v>
      </c>
      <c r="S164" s="1">
        <v>0</v>
      </c>
      <c r="T164" s="15" t="str">
        <f t="shared" si="13"/>
        <v>M</v>
      </c>
      <c r="U164" s="15" t="s">
        <v>632</v>
      </c>
      <c r="V164" s="15" t="s">
        <v>633</v>
      </c>
      <c r="W164" s="15" t="s">
        <v>634</v>
      </c>
      <c r="X164" s="15" t="s">
        <v>635</v>
      </c>
      <c r="Y164" s="15"/>
    </row>
    <row r="165" spans="1:25" ht="12.75" customHeight="1" x14ac:dyDescent="0.2">
      <c r="A165" s="23" t="s">
        <v>149</v>
      </c>
      <c r="B165" s="2" t="str">
        <f>A165&amp;COUNTIF($A$2:$A165,A165)</f>
        <v>Tomb King4</v>
      </c>
      <c r="C165" s="2" t="s">
        <v>636</v>
      </c>
      <c r="D165" s="2" t="str">
        <f t="shared" si="0"/>
        <v>Tomb KingAnointed Blitzers</v>
      </c>
      <c r="E165" s="2">
        <v>6</v>
      </c>
      <c r="F165" s="2">
        <v>3</v>
      </c>
      <c r="G165" s="2">
        <v>4</v>
      </c>
      <c r="H165" s="2">
        <v>6</v>
      </c>
      <c r="I165" s="2">
        <v>9</v>
      </c>
      <c r="J165" s="2" t="str">
        <f>IF('Pack Protajer'!$J$24="Español",V165,(IF('Pack Protajer'!$J$24="Deutsch",W165,(IF('Pack Protajer'!$J$24="Français",X165,U165)))))</f>
        <v>Placar, Regeneración, Cabeza dura</v>
      </c>
      <c r="K165" s="1">
        <v>90000</v>
      </c>
      <c r="L165" s="1">
        <f t="shared" si="14"/>
        <v>90</v>
      </c>
      <c r="M165" s="1">
        <v>2</v>
      </c>
      <c r="N165" s="1">
        <v>0</v>
      </c>
      <c r="O165" s="1" t="s">
        <v>170</v>
      </c>
      <c r="P165" s="1" t="s">
        <v>169</v>
      </c>
      <c r="Q165" s="1" t="s">
        <v>170</v>
      </c>
      <c r="R165" s="1" t="s">
        <v>169</v>
      </c>
      <c r="S165" s="1">
        <v>0</v>
      </c>
      <c r="T165" s="15" t="str">
        <f t="shared" si="13"/>
        <v>M</v>
      </c>
      <c r="U165" s="15" t="s">
        <v>637</v>
      </c>
      <c r="V165" s="2" t="s">
        <v>638</v>
      </c>
      <c r="W165" s="15" t="s">
        <v>639</v>
      </c>
      <c r="X165" s="15" t="s">
        <v>640</v>
      </c>
      <c r="Y165" s="15"/>
    </row>
    <row r="166" spans="1:25" ht="12.75" customHeight="1" x14ac:dyDescent="0.2">
      <c r="A166" s="23" t="s">
        <v>149</v>
      </c>
      <c r="B166" s="2" t="str">
        <f>A166&amp;COUNTIF($A$2:$A166,A166)</f>
        <v>Tomb King5</v>
      </c>
      <c r="C166" s="2" t="s">
        <v>641</v>
      </c>
      <c r="D166" s="2" t="str">
        <f t="shared" si="0"/>
        <v>Tomb KingTomb Guardian</v>
      </c>
      <c r="E166" s="2">
        <v>4</v>
      </c>
      <c r="F166" s="2">
        <v>5</v>
      </c>
      <c r="G166" s="2">
        <v>5</v>
      </c>
      <c r="H166" s="2">
        <v>0</v>
      </c>
      <c r="I166" s="2">
        <v>10</v>
      </c>
      <c r="J166" s="2" t="str">
        <f>IF('Pack Protajer'!$J$24="Español",V166,(IF('Pack Protajer'!$J$24="Deutsch",W166,(IF('Pack Protajer'!$J$24="Français",X166,U166)))))</f>
        <v>Descomposición, Regeneración</v>
      </c>
      <c r="K166" s="1">
        <v>100000</v>
      </c>
      <c r="L166" s="1">
        <f t="shared" si="14"/>
        <v>100</v>
      </c>
      <c r="M166" s="1">
        <v>4</v>
      </c>
      <c r="N166" s="1">
        <v>0</v>
      </c>
      <c r="O166" s="1" t="s">
        <v>169</v>
      </c>
      <c r="P166" s="1" t="s">
        <v>169</v>
      </c>
      <c r="Q166" s="1" t="s">
        <v>170</v>
      </c>
      <c r="R166" s="12">
        <v>0</v>
      </c>
      <c r="S166" s="1">
        <v>0</v>
      </c>
      <c r="T166" s="15" t="str">
        <f t="shared" si="13"/>
        <v>PM</v>
      </c>
      <c r="U166" s="15" t="s">
        <v>642</v>
      </c>
      <c r="V166" s="2" t="s">
        <v>643</v>
      </c>
      <c r="W166" s="15" t="s">
        <v>644</v>
      </c>
      <c r="X166" s="15" t="s">
        <v>645</v>
      </c>
      <c r="Y166" s="15"/>
    </row>
    <row r="167" spans="1:25" ht="12.75" customHeight="1" x14ac:dyDescent="0.2">
      <c r="A167" s="23" t="s">
        <v>144</v>
      </c>
      <c r="B167" s="2" t="str">
        <f>A167&amp;COUNTIF($A$2:$A167,A167)</f>
        <v>Snotling1</v>
      </c>
      <c r="C167" s="2" t="str">
        <f>""</f>
        <v/>
      </c>
      <c r="D167" s="2" t="str">
        <f t="shared" si="0"/>
        <v>Snotling</v>
      </c>
      <c r="E167" s="2">
        <v>0</v>
      </c>
      <c r="F167" s="2">
        <v>0</v>
      </c>
      <c r="G167" s="2">
        <v>0</v>
      </c>
      <c r="H167" s="2">
        <v>0</v>
      </c>
      <c r="I167" s="2">
        <v>0</v>
      </c>
      <c r="J167" s="2">
        <f>IF('Pack Protajer'!$J$24="Español",V167,(IF('Pack Protajer'!$J$24="Deutsch",W167,(IF('Pack Protajer'!$J$24="Français",X167,U167)))))</f>
        <v>0</v>
      </c>
      <c r="K167" s="1">
        <v>0</v>
      </c>
      <c r="L167" s="1">
        <f t="shared" si="14"/>
        <v>0</v>
      </c>
      <c r="M167" s="1">
        <v>0</v>
      </c>
      <c r="N167" s="1">
        <v>0</v>
      </c>
      <c r="O167" s="1"/>
      <c r="P167" s="1"/>
      <c r="Q167" s="1"/>
      <c r="R167" s="1"/>
      <c r="S167" s="1"/>
      <c r="T167" s="15" t="str">
        <f t="shared" si="13"/>
        <v/>
      </c>
      <c r="U167" s="15">
        <v>0</v>
      </c>
      <c r="V167" s="15">
        <v>0</v>
      </c>
      <c r="W167" s="15">
        <v>0</v>
      </c>
      <c r="X167" s="15">
        <v>0</v>
      </c>
      <c r="Y167" s="15">
        <v>0</v>
      </c>
    </row>
    <row r="168" spans="1:25" ht="12.75" customHeight="1" x14ac:dyDescent="0.2">
      <c r="A168" s="23" t="s">
        <v>144</v>
      </c>
      <c r="B168" s="2" t="str">
        <f>A168&amp;COUNTIF($A$2:$A168,A168)</f>
        <v>Snotling2</v>
      </c>
      <c r="C168" s="2" t="s">
        <v>144</v>
      </c>
      <c r="D168" s="2" t="str">
        <f t="shared" si="0"/>
        <v>SnotlingSnotling</v>
      </c>
      <c r="E168" s="2">
        <v>5</v>
      </c>
      <c r="F168" s="2">
        <v>1</v>
      </c>
      <c r="G168" s="2">
        <v>3</v>
      </c>
      <c r="H168" s="2">
        <v>5</v>
      </c>
      <c r="I168" s="2">
        <v>6</v>
      </c>
      <c r="J168" s="2" t="str">
        <f>IF('Pack Protajer'!$J$24="Español",V168,(IF('Pack Protajer'!$J$24="Deutsch",W168,(IF('Pack Protajer'!$J$24="Français",X168,U168)))))</f>
        <v>Esquivar, Humanoide bala, Echarse a un lado, Escurridizo, Colocarse, Canijo</v>
      </c>
      <c r="K168" s="1">
        <v>15000</v>
      </c>
      <c r="L168" s="1">
        <f t="shared" si="14"/>
        <v>15</v>
      </c>
      <c r="M168" s="1">
        <v>16</v>
      </c>
      <c r="N168" s="1">
        <v>0</v>
      </c>
      <c r="O168" s="1" t="s">
        <v>169</v>
      </c>
      <c r="P168" s="1" t="s">
        <v>170</v>
      </c>
      <c r="Q168" s="1" t="s">
        <v>169</v>
      </c>
      <c r="R168" s="1">
        <v>0</v>
      </c>
      <c r="S168" s="1">
        <v>0</v>
      </c>
      <c r="T168" s="15" t="str">
        <f t="shared" si="13"/>
        <v>PM</v>
      </c>
      <c r="U168" s="15" t="s">
        <v>646</v>
      </c>
      <c r="V168" s="2" t="s">
        <v>647</v>
      </c>
      <c r="W168" s="15" t="s">
        <v>648</v>
      </c>
      <c r="X168" s="15" t="s">
        <v>649</v>
      </c>
      <c r="Y168" s="15"/>
    </row>
    <row r="169" spans="1:25" ht="12.75" customHeight="1" x14ac:dyDescent="0.2">
      <c r="A169" s="23" t="s">
        <v>144</v>
      </c>
      <c r="B169" s="2" t="str">
        <f>A169&amp;COUNTIF($A$2:$A169,A169)</f>
        <v>Snotling3</v>
      </c>
      <c r="C169" s="2" t="s">
        <v>650</v>
      </c>
      <c r="D169" s="2" t="str">
        <f t="shared" si="0"/>
        <v>SnotlingFungus Flinga</v>
      </c>
      <c r="E169" s="2">
        <v>5</v>
      </c>
      <c r="F169" s="2">
        <v>1</v>
      </c>
      <c r="G169" s="2">
        <v>3</v>
      </c>
      <c r="H169" s="2">
        <v>4</v>
      </c>
      <c r="I169" s="2">
        <v>6</v>
      </c>
      <c r="J169" s="2" t="str">
        <f>IF('Pack Protajer'!$J$24="Español",V169,(IF('Pack Protajer'!$J$24="Deutsch",W169,(IF('Pack Protajer'!$J$24="Français",X169,U169)))))</f>
        <v>Bombardero, Esquivar, Humanoide bala, Arma secreta, Echarse a un lado, Escurridizo</v>
      </c>
      <c r="K169" s="1">
        <v>30000</v>
      </c>
      <c r="L169" s="1">
        <f t="shared" si="14"/>
        <v>30</v>
      </c>
      <c r="M169" s="1">
        <v>2</v>
      </c>
      <c r="N169" s="1">
        <v>0</v>
      </c>
      <c r="O169" s="1" t="s">
        <v>169</v>
      </c>
      <c r="P169" s="1" t="s">
        <v>170</v>
      </c>
      <c r="Q169" s="1" t="s">
        <v>169</v>
      </c>
      <c r="R169" s="1" t="s">
        <v>170</v>
      </c>
      <c r="S169" s="1">
        <v>0</v>
      </c>
      <c r="T169" s="15" t="str">
        <f t="shared" si="13"/>
        <v>M</v>
      </c>
      <c r="U169" s="15" t="s">
        <v>651</v>
      </c>
      <c r="V169" s="2" t="s">
        <v>652</v>
      </c>
      <c r="W169" s="15" t="s">
        <v>653</v>
      </c>
      <c r="X169" s="15" t="s">
        <v>654</v>
      </c>
      <c r="Y169" s="15"/>
    </row>
    <row r="170" spans="1:25" ht="12.75" customHeight="1" x14ac:dyDescent="0.2">
      <c r="A170" s="23" t="s">
        <v>144</v>
      </c>
      <c r="B170" s="2" t="str">
        <f>A170&amp;COUNTIF($A$2:$A170,A170)</f>
        <v>Snotling4</v>
      </c>
      <c r="C170" s="2" t="s">
        <v>655</v>
      </c>
      <c r="D170" s="2" t="str">
        <f t="shared" si="0"/>
        <v>SnotlingFun-hoppa</v>
      </c>
      <c r="E170" s="2">
        <v>6</v>
      </c>
      <c r="F170" s="2">
        <v>1</v>
      </c>
      <c r="G170" s="2">
        <v>3</v>
      </c>
      <c r="H170" s="2">
        <v>5</v>
      </c>
      <c r="I170" s="2">
        <v>6</v>
      </c>
      <c r="J170" s="2" t="str">
        <f>IF('Pack Protajer'!$J$24="Español",V170,(IF('Pack Protajer'!$J$24="Deutsch",W170,(IF('Pack Protajer'!$J$24="Français",X170,U170)))))</f>
        <v>Esquivar, Pogo saltarín, Humanoide bala, Echarse a un lado, Escurridizo</v>
      </c>
      <c r="K170" s="1">
        <v>20000</v>
      </c>
      <c r="L170" s="1">
        <f t="shared" si="14"/>
        <v>20</v>
      </c>
      <c r="M170" s="1">
        <v>2</v>
      </c>
      <c r="N170" s="1">
        <v>0</v>
      </c>
      <c r="O170" s="1" t="s">
        <v>169</v>
      </c>
      <c r="P170" s="1" t="s">
        <v>170</v>
      </c>
      <c r="Q170" s="1" t="s">
        <v>169</v>
      </c>
      <c r="R170" s="1">
        <v>0</v>
      </c>
      <c r="S170" s="1">
        <v>0</v>
      </c>
      <c r="T170" s="15" t="str">
        <f t="shared" si="13"/>
        <v>PM</v>
      </c>
      <c r="U170" s="15" t="s">
        <v>656</v>
      </c>
      <c r="V170" s="2" t="s">
        <v>657</v>
      </c>
      <c r="W170" s="15" t="s">
        <v>658</v>
      </c>
      <c r="X170" s="15" t="s">
        <v>659</v>
      </c>
      <c r="Y170" s="15"/>
    </row>
    <row r="171" spans="1:25" ht="12.75" customHeight="1" x14ac:dyDescent="0.2">
      <c r="A171" s="23" t="s">
        <v>144</v>
      </c>
      <c r="B171" s="2" t="str">
        <f>A171&amp;COUNTIF($A$2:$A171,A171)</f>
        <v>Snotling5</v>
      </c>
      <c r="C171" s="2" t="s">
        <v>660</v>
      </c>
      <c r="D171" s="2" t="str">
        <f t="shared" si="0"/>
        <v>SnotlingStilty Runna</v>
      </c>
      <c r="E171" s="2">
        <v>6</v>
      </c>
      <c r="F171" s="2">
        <v>1</v>
      </c>
      <c r="G171" s="2">
        <v>3</v>
      </c>
      <c r="H171" s="2">
        <v>5</v>
      </c>
      <c r="I171" s="2">
        <v>6</v>
      </c>
      <c r="J171" s="2" t="str">
        <f>IF('Pack Protajer'!$J$24="Español",V171,(IF('Pack Protajer'!$J$24="Deutsch",W171,(IF('Pack Protajer'!$J$24="Français",X171,U171)))))</f>
        <v>Esquivar, Humanoide bala, Echarse a un lado, Carrera, Escurridizo</v>
      </c>
      <c r="K171" s="1">
        <v>20000</v>
      </c>
      <c r="L171" s="1">
        <f t="shared" si="14"/>
        <v>20</v>
      </c>
      <c r="M171" s="1">
        <v>2</v>
      </c>
      <c r="N171" s="1">
        <v>0</v>
      </c>
      <c r="O171" s="1" t="s">
        <v>169</v>
      </c>
      <c r="P171" s="1" t="s">
        <v>170</v>
      </c>
      <c r="Q171" s="1" t="s">
        <v>169</v>
      </c>
      <c r="R171" s="1">
        <v>0</v>
      </c>
      <c r="S171" s="1">
        <v>0</v>
      </c>
      <c r="T171" s="15" t="str">
        <f t="shared" si="13"/>
        <v>PM</v>
      </c>
      <c r="U171" s="15" t="s">
        <v>661</v>
      </c>
      <c r="V171" s="15" t="s">
        <v>662</v>
      </c>
      <c r="W171" s="15" t="s">
        <v>663</v>
      </c>
      <c r="X171" s="15" t="s">
        <v>664</v>
      </c>
      <c r="Y171" s="15"/>
    </row>
    <row r="172" spans="1:25" ht="12.75" customHeight="1" x14ac:dyDescent="0.2">
      <c r="A172" s="23" t="s">
        <v>144</v>
      </c>
      <c r="B172" s="2" t="str">
        <f>A172&amp;COUNTIF($A$2:$A172,A172)</f>
        <v>Snotling6</v>
      </c>
      <c r="C172" s="2" t="s">
        <v>665</v>
      </c>
      <c r="D172" s="2" t="str">
        <f t="shared" si="0"/>
        <v>SnotlingPump Wagon</v>
      </c>
      <c r="E172" s="2">
        <v>4</v>
      </c>
      <c r="F172" s="2">
        <v>5</v>
      </c>
      <c r="G172" s="2">
        <v>5</v>
      </c>
      <c r="H172" s="2">
        <v>0</v>
      </c>
      <c r="I172" s="2">
        <v>9</v>
      </c>
      <c r="J172" s="2" t="str">
        <f>IF('Pack Protajer'!$J$24="Español",V172,(IF('Pack Protajer'!$J$24="Deutsch",W172,(IF('Pack Protajer'!$J$24="Français",X172,U172)))))</f>
        <v>Juego sucio (+1), Imparable, Golpe mortífero (+1), Realmente estúpido, Arma secreta, Mantenerse firme</v>
      </c>
      <c r="K172" s="1">
        <v>105000</v>
      </c>
      <c r="L172" s="1">
        <f t="shared" si="14"/>
        <v>105</v>
      </c>
      <c r="M172" s="1">
        <v>2</v>
      </c>
      <c r="N172" s="1">
        <v>1</v>
      </c>
      <c r="O172" s="1" t="s">
        <v>169</v>
      </c>
      <c r="P172" s="1" t="s">
        <v>169</v>
      </c>
      <c r="Q172" s="1" t="s">
        <v>170</v>
      </c>
      <c r="R172" s="12">
        <v>0</v>
      </c>
      <c r="S172" s="1">
        <v>0</v>
      </c>
      <c r="T172" s="15" t="str">
        <f t="shared" si="13"/>
        <v>PM</v>
      </c>
      <c r="U172" s="15" t="s">
        <v>666</v>
      </c>
      <c r="V172" s="2" t="s">
        <v>667</v>
      </c>
      <c r="W172" s="15" t="s">
        <v>668</v>
      </c>
      <c r="X172" s="15" t="s">
        <v>669</v>
      </c>
      <c r="Y172" s="15"/>
    </row>
    <row r="173" spans="1:25" ht="12.75" customHeight="1" x14ac:dyDescent="0.2">
      <c r="A173" s="23" t="s">
        <v>144</v>
      </c>
      <c r="B173" s="2" t="str">
        <f>A173&amp;COUNTIF($A$2:$A173,A173)</f>
        <v>Snotling7</v>
      </c>
      <c r="C173" s="2" t="s">
        <v>253</v>
      </c>
      <c r="D173" s="2" t="str">
        <f t="shared" si="0"/>
        <v>SnotlingTrained Troll</v>
      </c>
      <c r="E173" s="2">
        <v>4</v>
      </c>
      <c r="F173" s="2">
        <v>5</v>
      </c>
      <c r="G173" s="2">
        <v>5</v>
      </c>
      <c r="H173" s="2">
        <v>5</v>
      </c>
      <c r="I173" s="2">
        <v>10</v>
      </c>
      <c r="J173" s="2" t="str">
        <f>IF('Pack Protajer'!$J$24="Español",V173,(IF('Pack Protajer'!$J$24="Deutsch",W173,(IF('Pack Protajer'!$J$24="Français",X173,U173)))))</f>
        <v>Siempre hambriento, Solitario (3+), Golpe mortífero (+1), Proyectil de vómito, Realmente estúpido, Regeneración, Lanzar compañero</v>
      </c>
      <c r="K173" s="1">
        <v>115000</v>
      </c>
      <c r="L173" s="1">
        <f t="shared" si="14"/>
        <v>115</v>
      </c>
      <c r="M173" s="1">
        <v>2</v>
      </c>
      <c r="N173" s="1">
        <v>1</v>
      </c>
      <c r="O173" s="1" t="s">
        <v>169</v>
      </c>
      <c r="P173" s="1" t="s">
        <v>169</v>
      </c>
      <c r="Q173" s="1" t="s">
        <v>170</v>
      </c>
      <c r="R173" s="1" t="s">
        <v>169</v>
      </c>
      <c r="S173" s="1">
        <v>0</v>
      </c>
      <c r="T173" s="15" t="str">
        <f t="shared" si="13"/>
        <v>M</v>
      </c>
      <c r="U173" s="15" t="s">
        <v>254</v>
      </c>
      <c r="V173" s="2" t="s">
        <v>255</v>
      </c>
      <c r="W173" s="15" t="s">
        <v>256</v>
      </c>
      <c r="X173" s="15" t="s">
        <v>257</v>
      </c>
      <c r="Y173" s="15"/>
    </row>
    <row r="174" spans="1:25" ht="12.75" customHeight="1" x14ac:dyDescent="0.2">
      <c r="A174" s="23" t="s">
        <v>154</v>
      </c>
      <c r="B174" s="2" t="str">
        <f>A174&amp;COUNTIF($A$2:$A174,A174)</f>
        <v>Underworld Denizens1</v>
      </c>
      <c r="C174" s="2" t="str">
        <f>""</f>
        <v/>
      </c>
      <c r="D174" s="2" t="str">
        <f t="shared" si="0"/>
        <v>Underworld Denizens</v>
      </c>
      <c r="E174" s="2">
        <v>0</v>
      </c>
      <c r="F174" s="2">
        <v>0</v>
      </c>
      <c r="G174" s="2">
        <v>0</v>
      </c>
      <c r="H174" s="2">
        <v>0</v>
      </c>
      <c r="I174" s="2">
        <v>0</v>
      </c>
      <c r="J174" s="2">
        <f>IF('Pack Protajer'!$J$24="Español",V174,(IF('Pack Protajer'!$J$24="Deutsch",W174,(IF('Pack Protajer'!$J$24="Français",X174,U174)))))</f>
        <v>0</v>
      </c>
      <c r="K174" s="1">
        <v>0</v>
      </c>
      <c r="L174" s="1">
        <f t="shared" si="14"/>
        <v>0</v>
      </c>
      <c r="M174" s="1">
        <v>0</v>
      </c>
      <c r="N174" s="1">
        <v>0</v>
      </c>
      <c r="O174" s="1"/>
      <c r="P174" s="1"/>
      <c r="Q174" s="1"/>
      <c r="R174" s="1"/>
      <c r="S174" s="1"/>
      <c r="T174" s="15" t="str">
        <f t="shared" si="13"/>
        <v/>
      </c>
      <c r="U174" s="15">
        <v>0</v>
      </c>
      <c r="V174" s="15">
        <v>0</v>
      </c>
      <c r="W174" s="15">
        <v>0</v>
      </c>
      <c r="X174" s="15">
        <v>0</v>
      </c>
      <c r="Y174" s="15">
        <v>0</v>
      </c>
    </row>
    <row r="175" spans="1:25" ht="12.75" customHeight="1" x14ac:dyDescent="0.2">
      <c r="A175" s="23" t="s">
        <v>154</v>
      </c>
      <c r="B175" s="2" t="str">
        <f>A175&amp;COUNTIF($A$2:$A175,A175)</f>
        <v>Underworld Denizens2</v>
      </c>
      <c r="C175" s="2" t="s">
        <v>62</v>
      </c>
      <c r="D175" s="2" t="str">
        <f t="shared" si="0"/>
        <v>Underworld DenizensGoblin</v>
      </c>
      <c r="E175" s="2">
        <v>6</v>
      </c>
      <c r="F175" s="2">
        <v>2</v>
      </c>
      <c r="G175" s="2">
        <v>3</v>
      </c>
      <c r="H175" s="2">
        <v>4</v>
      </c>
      <c r="I175" s="2">
        <v>8</v>
      </c>
      <c r="J175" s="2" t="str">
        <f>IF('Pack Protajer'!$J$24="Español",V175,(IF('Pack Protajer'!$J$24="Deutsch",W175,(IF('Pack Protajer'!$J$24="Français",X175,U175)))))</f>
        <v>Esquivar, Humanoide bala, Escurridizo</v>
      </c>
      <c r="K175" s="1">
        <v>40000</v>
      </c>
      <c r="L175" s="1">
        <f t="shared" si="14"/>
        <v>40</v>
      </c>
      <c r="M175" s="2">
        <v>12</v>
      </c>
      <c r="N175" s="2">
        <v>0</v>
      </c>
      <c r="O175" s="1" t="s">
        <v>169</v>
      </c>
      <c r="P175" s="1" t="s">
        <v>170</v>
      </c>
      <c r="Q175" s="1" t="s">
        <v>169</v>
      </c>
      <c r="R175" s="1">
        <v>0</v>
      </c>
      <c r="S175" s="1" t="s">
        <v>170</v>
      </c>
      <c r="T175" s="15" t="str">
        <f t="shared" si="13"/>
        <v>P</v>
      </c>
      <c r="U175" s="15" t="s">
        <v>368</v>
      </c>
      <c r="V175" s="2" t="s">
        <v>369</v>
      </c>
      <c r="W175" s="15" t="s">
        <v>370</v>
      </c>
      <c r="X175" s="15" t="s">
        <v>371</v>
      </c>
      <c r="Y175" s="15"/>
    </row>
    <row r="176" spans="1:25" ht="12.75" customHeight="1" x14ac:dyDescent="0.2">
      <c r="A176" s="23" t="s">
        <v>154</v>
      </c>
      <c r="B176" s="2" t="str">
        <f>A176&amp;COUNTIF($A$2:$A176,A176)</f>
        <v>Underworld Denizens3</v>
      </c>
      <c r="C176" s="2" t="s">
        <v>144</v>
      </c>
      <c r="D176" s="2" t="str">
        <f t="shared" si="0"/>
        <v>Underworld DenizensSnotling</v>
      </c>
      <c r="E176" s="2">
        <v>5</v>
      </c>
      <c r="F176" s="2">
        <v>1</v>
      </c>
      <c r="G176" s="2">
        <v>3</v>
      </c>
      <c r="H176" s="2">
        <v>5</v>
      </c>
      <c r="I176" s="2">
        <v>6</v>
      </c>
      <c r="J176" s="2" t="str">
        <f>IF('Pack Protajer'!$J$24="Español",V176,(IF('Pack Protajer'!$J$24="Deutsch",W176,(IF('Pack Protajer'!$J$24="Français",X176,U176)))))</f>
        <v>Esquivar, Humanoide bala, Echarse a un lado, Escurridizo, Colocarse, Canijo</v>
      </c>
      <c r="K176" s="1">
        <v>15000</v>
      </c>
      <c r="L176" s="1">
        <f t="shared" si="14"/>
        <v>15</v>
      </c>
      <c r="M176" s="1">
        <v>6</v>
      </c>
      <c r="N176" s="1">
        <v>0</v>
      </c>
      <c r="O176" s="1" t="s">
        <v>169</v>
      </c>
      <c r="P176" s="1" t="s">
        <v>170</v>
      </c>
      <c r="Q176" s="1" t="s">
        <v>169</v>
      </c>
      <c r="R176" s="1">
        <v>0</v>
      </c>
      <c r="S176" s="1" t="s">
        <v>170</v>
      </c>
      <c r="T176" s="15" t="str">
        <f t="shared" si="13"/>
        <v>P</v>
      </c>
      <c r="U176" s="15" t="s">
        <v>646</v>
      </c>
      <c r="V176" s="15" t="s">
        <v>647</v>
      </c>
      <c r="W176" s="15" t="s">
        <v>648</v>
      </c>
      <c r="X176" s="15" t="s">
        <v>649</v>
      </c>
      <c r="Y176" s="15"/>
    </row>
    <row r="177" spans="1:25" ht="12.75" customHeight="1" x14ac:dyDescent="0.2">
      <c r="A177" s="23" t="s">
        <v>154</v>
      </c>
      <c r="B177" s="2" t="str">
        <f>A177&amp;COUNTIF($A$2:$A177,A177)</f>
        <v>Underworld Denizens4</v>
      </c>
      <c r="C177" s="2" t="s">
        <v>670</v>
      </c>
      <c r="D177" s="2" t="str">
        <f t="shared" si="0"/>
        <v>Underworld DenizensSkaven Clanrat</v>
      </c>
      <c r="E177" s="2">
        <v>7</v>
      </c>
      <c r="F177" s="2">
        <v>3</v>
      </c>
      <c r="G177" s="2">
        <v>3</v>
      </c>
      <c r="H177" s="2">
        <v>4</v>
      </c>
      <c r="I177" s="2">
        <v>8</v>
      </c>
      <c r="J177" s="2" t="str">
        <f>IF('Pack Protajer'!$J$24="Español",V177,(IF('Pack Protajer'!$J$24="Deutsch",W177,(IF('Pack Protajer'!$J$24="Français",X177,U177)))))</f>
        <v>Animosidad (Underworld Goblin Linemen)</v>
      </c>
      <c r="K177" s="1">
        <v>50000</v>
      </c>
      <c r="L177" s="1">
        <f t="shared" si="14"/>
        <v>50</v>
      </c>
      <c r="M177" s="2">
        <v>3</v>
      </c>
      <c r="N177" s="2">
        <v>0</v>
      </c>
      <c r="O177" s="1" t="s">
        <v>170</v>
      </c>
      <c r="P177" s="1" t="s">
        <v>169</v>
      </c>
      <c r="Q177" s="1" t="s">
        <v>169</v>
      </c>
      <c r="R177" s="1">
        <v>0</v>
      </c>
      <c r="S177" s="1" t="s">
        <v>170</v>
      </c>
      <c r="T177" s="15" t="str">
        <f t="shared" si="13"/>
        <v>P</v>
      </c>
      <c r="U177" s="15" t="s">
        <v>671</v>
      </c>
      <c r="V177" s="15" t="s">
        <v>672</v>
      </c>
      <c r="W177" s="15" t="s">
        <v>673</v>
      </c>
      <c r="X177" s="15" t="s">
        <v>674</v>
      </c>
      <c r="Y177" s="15"/>
    </row>
    <row r="178" spans="1:25" ht="12.75" customHeight="1" x14ac:dyDescent="0.2">
      <c r="A178" s="23" t="s">
        <v>154</v>
      </c>
      <c r="B178" s="2" t="str">
        <f>A178&amp;COUNTIF($A$2:$A178,A178)</f>
        <v>Underworld Denizens5</v>
      </c>
      <c r="C178" s="2" t="s">
        <v>675</v>
      </c>
      <c r="D178" s="2" t="str">
        <f t="shared" si="0"/>
        <v>Underworld DenizensSkaven Thrower</v>
      </c>
      <c r="E178" s="2">
        <v>7</v>
      </c>
      <c r="F178" s="2">
        <v>3</v>
      </c>
      <c r="G178" s="2">
        <v>3</v>
      </c>
      <c r="H178" s="2">
        <v>2</v>
      </c>
      <c r="I178" s="2">
        <v>8</v>
      </c>
      <c r="J178" s="2" t="str">
        <f>IF('Pack Protajer'!$J$24="Español",V178,(IF('Pack Protajer'!$J$24="Deutsch",W178,(IF('Pack Protajer'!$J$24="Français",X178,U178)))))</f>
        <v>Animosidad (Underworld Goblin Linemen), Pasar, Manos seguras</v>
      </c>
      <c r="K178" s="1">
        <v>85000</v>
      </c>
      <c r="L178" s="1">
        <f t="shared" si="14"/>
        <v>85</v>
      </c>
      <c r="M178" s="2">
        <v>1</v>
      </c>
      <c r="N178" s="2">
        <v>0</v>
      </c>
      <c r="O178" s="1" t="s">
        <v>170</v>
      </c>
      <c r="P178" s="1" t="s">
        <v>169</v>
      </c>
      <c r="Q178" s="1" t="s">
        <v>169</v>
      </c>
      <c r="R178" s="1" t="s">
        <v>170</v>
      </c>
      <c r="S178" s="1" t="s">
        <v>170</v>
      </c>
      <c r="T178" s="15" t="str">
        <f t="shared" si="13"/>
        <v>FULL</v>
      </c>
      <c r="U178" s="15" t="s">
        <v>676</v>
      </c>
      <c r="V178" s="2" t="s">
        <v>677</v>
      </c>
      <c r="W178" s="15" t="s">
        <v>678</v>
      </c>
      <c r="X178" s="15" t="s">
        <v>679</v>
      </c>
      <c r="Y178" s="15"/>
    </row>
    <row r="179" spans="1:25" ht="12.75" customHeight="1" x14ac:dyDescent="0.2">
      <c r="A179" s="23" t="s">
        <v>154</v>
      </c>
      <c r="B179" s="2" t="str">
        <f>A179&amp;COUNTIF($A$2:$A179,A179)</f>
        <v>Underworld Denizens6</v>
      </c>
      <c r="C179" s="2" t="s">
        <v>629</v>
      </c>
      <c r="D179" s="2" t="str">
        <f t="shared" si="0"/>
        <v>Underworld DenizensGutter Runner</v>
      </c>
      <c r="E179" s="2">
        <v>9</v>
      </c>
      <c r="F179" s="2">
        <v>2</v>
      </c>
      <c r="G179" s="2">
        <v>2</v>
      </c>
      <c r="H179" s="2">
        <v>4</v>
      </c>
      <c r="I179" s="2">
        <v>8</v>
      </c>
      <c r="J179" s="2" t="str">
        <f>IF('Pack Protajer'!$J$24="Español",V179,(IF('Pack Protajer'!$J$24="Deutsch",W179,(IF('Pack Protajer'!$J$24="Français",X179,U179)))))</f>
        <v>Animosidad (Underworld Goblin Linemen), Esquivar</v>
      </c>
      <c r="K179" s="1">
        <v>85000</v>
      </c>
      <c r="L179" s="1">
        <f t="shared" si="14"/>
        <v>85</v>
      </c>
      <c r="M179" s="2">
        <v>1</v>
      </c>
      <c r="N179" s="2">
        <v>0</v>
      </c>
      <c r="O179" s="1" t="s">
        <v>170</v>
      </c>
      <c r="P179" s="1" t="s">
        <v>170</v>
      </c>
      <c r="Q179" s="1" t="s">
        <v>169</v>
      </c>
      <c r="R179" s="1" t="s">
        <v>169</v>
      </c>
      <c r="S179" s="1" t="s">
        <v>170</v>
      </c>
      <c r="T179" s="15" t="str">
        <f t="shared" si="13"/>
        <v>FULL</v>
      </c>
      <c r="U179" s="15" t="s">
        <v>680</v>
      </c>
      <c r="V179" s="2" t="s">
        <v>681</v>
      </c>
      <c r="W179" s="15" t="s">
        <v>682</v>
      </c>
      <c r="X179" s="15" t="s">
        <v>683</v>
      </c>
      <c r="Y179" s="15"/>
    </row>
    <row r="180" spans="1:25" ht="12.75" customHeight="1" x14ac:dyDescent="0.2">
      <c r="A180" s="23" t="s">
        <v>154</v>
      </c>
      <c r="B180" s="2" t="str">
        <f>A180&amp;COUNTIF($A$2:$A180,A180)</f>
        <v>Underworld Denizens7</v>
      </c>
      <c r="C180" s="2" t="s">
        <v>684</v>
      </c>
      <c r="D180" s="2" t="str">
        <f t="shared" si="0"/>
        <v>Underworld DenizensSkaven Blitzer</v>
      </c>
      <c r="E180" s="2">
        <v>7</v>
      </c>
      <c r="F180" s="2">
        <v>3</v>
      </c>
      <c r="G180" s="2">
        <v>3</v>
      </c>
      <c r="H180" s="2">
        <v>5</v>
      </c>
      <c r="I180" s="2">
        <v>9</v>
      </c>
      <c r="J180" s="2" t="str">
        <f>IF('Pack Protajer'!$J$24="Español",V180,(IF('Pack Protajer'!$J$24="Deutsch",W180,(IF('Pack Protajer'!$J$24="Français",X180,U180)))))</f>
        <v>Animosidad (Underworld Goblin Linemen), Placar</v>
      </c>
      <c r="K180" s="1">
        <v>90000</v>
      </c>
      <c r="L180" s="1">
        <f t="shared" si="14"/>
        <v>90</v>
      </c>
      <c r="M180" s="2">
        <v>1</v>
      </c>
      <c r="N180" s="2">
        <v>0</v>
      </c>
      <c r="O180" s="1" t="s">
        <v>170</v>
      </c>
      <c r="P180" s="1" t="s">
        <v>169</v>
      </c>
      <c r="Q180" s="1" t="s">
        <v>170</v>
      </c>
      <c r="R180" s="1" t="s">
        <v>169</v>
      </c>
      <c r="S180" s="1" t="s">
        <v>170</v>
      </c>
      <c r="T180" s="15" t="str">
        <f t="shared" si="13"/>
        <v>FULL</v>
      </c>
      <c r="U180" s="15" t="s">
        <v>685</v>
      </c>
      <c r="V180" s="15" t="s">
        <v>686</v>
      </c>
      <c r="W180" s="15" t="s">
        <v>687</v>
      </c>
      <c r="X180" s="15" t="s">
        <v>688</v>
      </c>
      <c r="Y180" s="15"/>
    </row>
    <row r="181" spans="1:25" ht="12.75" customHeight="1" x14ac:dyDescent="0.2">
      <c r="A181" s="23" t="s">
        <v>154</v>
      </c>
      <c r="B181" s="2" t="str">
        <f>A181&amp;COUNTIF($A$2:$A181,A181)</f>
        <v>Underworld Denizens8</v>
      </c>
      <c r="C181" s="2" t="s">
        <v>689</v>
      </c>
      <c r="D181" s="2" t="str">
        <f t="shared" si="0"/>
        <v>Underworld DenizensUnderworld Troll</v>
      </c>
      <c r="E181" s="2">
        <v>4</v>
      </c>
      <c r="F181" s="2">
        <v>5</v>
      </c>
      <c r="G181" s="2">
        <v>5</v>
      </c>
      <c r="H181" s="2">
        <v>5</v>
      </c>
      <c r="I181" s="2">
        <v>10</v>
      </c>
      <c r="J181" s="2" t="str">
        <f>IF('Pack Protajer'!$J$24="Español",V181,(IF('Pack Protajer'!$J$24="Deutsch",W181,(IF('Pack Protajer'!$J$24="Français",X181,U181)))))</f>
        <v>Siempre hambriento, Solitario (4+), Golpe mortífero (+1), Proyectil de vómito, Realmente estúpido, Regeneración, Lanzar compañero</v>
      </c>
      <c r="K181" s="1">
        <v>115000</v>
      </c>
      <c r="L181" s="1">
        <f t="shared" si="14"/>
        <v>115</v>
      </c>
      <c r="M181" s="2">
        <v>1</v>
      </c>
      <c r="N181" s="2">
        <v>1</v>
      </c>
      <c r="O181" s="1" t="s">
        <v>169</v>
      </c>
      <c r="P181" s="1" t="s">
        <v>169</v>
      </c>
      <c r="Q181" s="1" t="s">
        <v>170</v>
      </c>
      <c r="R181" s="1" t="s">
        <v>169</v>
      </c>
      <c r="S181" s="1" t="s">
        <v>170</v>
      </c>
      <c r="T181" s="15" t="str">
        <f t="shared" si="13"/>
        <v>FULL</v>
      </c>
      <c r="U181" s="15" t="s">
        <v>265</v>
      </c>
      <c r="V181" s="2" t="s">
        <v>266</v>
      </c>
      <c r="W181" s="15" t="s">
        <v>267</v>
      </c>
      <c r="X181" s="15" t="s">
        <v>268</v>
      </c>
      <c r="Y181" s="15"/>
    </row>
    <row r="182" spans="1:25" ht="12.75" customHeight="1" x14ac:dyDescent="0.2">
      <c r="A182" s="23" t="s">
        <v>154</v>
      </c>
      <c r="B182" s="2" t="str">
        <f>A182&amp;COUNTIF($A$2:$A182,A182)</f>
        <v>Underworld Denizens9</v>
      </c>
      <c r="C182" s="2" t="s">
        <v>690</v>
      </c>
      <c r="D182" s="2" t="str">
        <f t="shared" si="0"/>
        <v>Underworld DenizensMutant Rat Ogre</v>
      </c>
      <c r="E182" s="2">
        <v>6</v>
      </c>
      <c r="F182" s="2">
        <v>5</v>
      </c>
      <c r="G182" s="2">
        <v>4</v>
      </c>
      <c r="H182" s="2">
        <v>0</v>
      </c>
      <c r="I182" s="2">
        <v>9</v>
      </c>
      <c r="J182" s="2" t="str">
        <f>IF('Pack Protajer'!$J$24="Español",V182,(IF('Pack Protajer'!$J$24="Deutsch",W182,(IF('Pack Protajer'!$J$24="Français",X182,U182)))))</f>
        <v>Ferocidad animal, Furia, Solitario (4+), Golpe mortífero (+1), Cola prensil</v>
      </c>
      <c r="K182" s="1">
        <v>150000</v>
      </c>
      <c r="L182" s="1">
        <f t="shared" si="14"/>
        <v>150</v>
      </c>
      <c r="M182" s="2">
        <v>1</v>
      </c>
      <c r="N182" s="2">
        <v>1</v>
      </c>
      <c r="O182" s="1" t="s">
        <v>169</v>
      </c>
      <c r="P182" s="1" t="s">
        <v>169</v>
      </c>
      <c r="Q182" s="1" t="s">
        <v>170</v>
      </c>
      <c r="R182" s="12">
        <v>0</v>
      </c>
      <c r="S182" s="1" t="s">
        <v>170</v>
      </c>
      <c r="T182" s="15" t="str">
        <f t="shared" si="13"/>
        <v>P</v>
      </c>
      <c r="U182" s="15" t="s">
        <v>311</v>
      </c>
      <c r="V182" s="2" t="s">
        <v>312</v>
      </c>
      <c r="W182" s="15" t="s">
        <v>313</v>
      </c>
      <c r="X182" s="15" t="s">
        <v>314</v>
      </c>
      <c r="Y182" s="15"/>
    </row>
    <row r="183" spans="1:25" ht="12.75" customHeight="1" x14ac:dyDescent="0.2">
      <c r="A183" s="23" t="s">
        <v>159</v>
      </c>
      <c r="B183" s="2" t="str">
        <f>A183&amp;COUNTIF($A$2:$A183,A183)</f>
        <v>Vampire1</v>
      </c>
      <c r="C183" s="2"/>
      <c r="D183" s="2" t="str">
        <f t="shared" si="0"/>
        <v>Vampire</v>
      </c>
      <c r="E183" s="2">
        <v>0</v>
      </c>
      <c r="F183" s="2">
        <v>0</v>
      </c>
      <c r="G183" s="2">
        <v>0</v>
      </c>
      <c r="H183" s="2">
        <v>0</v>
      </c>
      <c r="I183" s="2">
        <v>0</v>
      </c>
      <c r="J183" s="2">
        <f>IF('Pack Protajer'!$J$24="Español",V183,(IF('Pack Protajer'!$J$24="Deutsch",W183,(IF('Pack Protajer'!$J$24="Français",X183,U183)))))</f>
        <v>0</v>
      </c>
      <c r="K183" s="1">
        <v>0</v>
      </c>
      <c r="L183" s="1">
        <f t="shared" si="14"/>
        <v>0</v>
      </c>
      <c r="M183" s="2">
        <v>0</v>
      </c>
      <c r="N183" s="2">
        <v>0</v>
      </c>
      <c r="O183" s="1"/>
      <c r="P183" s="1"/>
      <c r="Q183" s="1"/>
      <c r="R183" s="1"/>
      <c r="S183" s="1"/>
      <c r="T183" s="15" t="str">
        <f t="shared" si="13"/>
        <v/>
      </c>
      <c r="U183" s="15"/>
      <c r="V183" s="15"/>
      <c r="W183" s="15"/>
      <c r="X183" s="15"/>
      <c r="Y183" s="15"/>
    </row>
    <row r="184" spans="1:25" ht="12.75" customHeight="1" x14ac:dyDescent="0.2">
      <c r="A184" s="23" t="s">
        <v>159</v>
      </c>
      <c r="B184" s="2" t="str">
        <f>A184&amp;COUNTIF($A$2:$A184,A184)</f>
        <v>Vampire2</v>
      </c>
      <c r="C184" s="2" t="s">
        <v>691</v>
      </c>
      <c r="D184" s="2" t="str">
        <f t="shared" si="0"/>
        <v>VampireThrall</v>
      </c>
      <c r="E184" s="2">
        <v>6</v>
      </c>
      <c r="F184" s="2">
        <v>3</v>
      </c>
      <c r="G184" s="2">
        <v>3</v>
      </c>
      <c r="H184" s="2">
        <v>4</v>
      </c>
      <c r="I184" s="2">
        <v>8</v>
      </c>
      <c r="J184" s="2" t="str">
        <f>IF('Pack Protajer'!$J$24="Español",V184,(IF('Pack Protajer'!$J$24="Deutsch",W184,(IF('Pack Protajer'!$J$24="Français",X184,U184)))))</f>
        <v/>
      </c>
      <c r="K184" s="1">
        <v>40000</v>
      </c>
      <c r="L184" s="1">
        <f t="shared" si="14"/>
        <v>40</v>
      </c>
      <c r="M184" s="2">
        <v>16</v>
      </c>
      <c r="N184" s="2">
        <v>0</v>
      </c>
      <c r="O184" s="1" t="s">
        <v>170</v>
      </c>
      <c r="P184" s="1" t="s">
        <v>169</v>
      </c>
      <c r="Q184" s="1" t="s">
        <v>169</v>
      </c>
      <c r="R184" s="1" t="s">
        <v>169</v>
      </c>
      <c r="S184" s="1">
        <v>0</v>
      </c>
      <c r="T184" s="15" t="str">
        <f t="shared" si="13"/>
        <v>M</v>
      </c>
      <c r="U184" s="15" t="str">
        <f t="shared" ref="U184:Y184" si="16">""</f>
        <v/>
      </c>
      <c r="V184" s="15" t="str">
        <f t="shared" si="16"/>
        <v/>
      </c>
      <c r="W184" s="15" t="str">
        <f t="shared" si="16"/>
        <v/>
      </c>
      <c r="X184" s="15" t="str">
        <f t="shared" si="16"/>
        <v/>
      </c>
      <c r="Y184" s="15" t="str">
        <f t="shared" si="16"/>
        <v/>
      </c>
    </row>
    <row r="185" spans="1:25" ht="12.75" customHeight="1" x14ac:dyDescent="0.2">
      <c r="A185" s="23" t="s">
        <v>159</v>
      </c>
      <c r="B185" s="2" t="str">
        <f>A185&amp;COUNTIF($A$2:$A185,A185)</f>
        <v>Vampire3</v>
      </c>
      <c r="C185" s="2" t="s">
        <v>1330</v>
      </c>
      <c r="D185" s="2" t="str">
        <f t="shared" si="0"/>
        <v>VampireVampire Runner</v>
      </c>
      <c r="E185" s="2">
        <v>8</v>
      </c>
      <c r="F185" s="2">
        <v>3</v>
      </c>
      <c r="G185" s="2">
        <v>2</v>
      </c>
      <c r="H185" s="2">
        <v>4</v>
      </c>
      <c r="I185" s="2">
        <v>8</v>
      </c>
      <c r="J185" s="2" t="str">
        <f>IF('Pack Protajer'!$J$24="Español",V185,(IF('Pack Protajer'!$J$24="Deutsch",W185,(IF('Pack Protajer'!$J$24="Français",X185,U185)))))</f>
        <v>Mirada hipnótica, Regeneración, Sed de sangre (2+)</v>
      </c>
      <c r="K185" s="1">
        <v>100000</v>
      </c>
      <c r="L185" s="1">
        <f t="shared" si="14"/>
        <v>100</v>
      </c>
      <c r="M185" s="2">
        <v>2</v>
      </c>
      <c r="N185" s="2">
        <v>0</v>
      </c>
      <c r="O185" s="1" t="s">
        <v>170</v>
      </c>
      <c r="P185" s="1" t="s">
        <v>170</v>
      </c>
      <c r="Q185" s="1" t="s">
        <v>169</v>
      </c>
      <c r="R185" s="1" t="s">
        <v>169</v>
      </c>
      <c r="S185" s="1">
        <v>0</v>
      </c>
      <c r="T185" s="15" t="str">
        <f t="shared" si="13"/>
        <v>M</v>
      </c>
      <c r="U185" s="15" t="s">
        <v>1336</v>
      </c>
      <c r="V185" s="15" t="s">
        <v>1334</v>
      </c>
      <c r="W185" s="15" t="s">
        <v>1344</v>
      </c>
      <c r="X185" s="15" t="s">
        <v>1346</v>
      </c>
      <c r="Y185" s="15"/>
    </row>
    <row r="186" spans="1:25" ht="12.75" customHeight="1" x14ac:dyDescent="0.2">
      <c r="A186" s="23" t="s">
        <v>159</v>
      </c>
      <c r="B186" s="2" t="str">
        <f>A186&amp;COUNTIF($A$2:$A186,A186)</f>
        <v>Vampire4</v>
      </c>
      <c r="C186" s="2" t="s">
        <v>1331</v>
      </c>
      <c r="D186" s="2" t="str">
        <f t="shared" si="0"/>
        <v>VampireVampire Thrower</v>
      </c>
      <c r="E186" s="2">
        <v>6</v>
      </c>
      <c r="F186" s="2">
        <v>4</v>
      </c>
      <c r="G186" s="2">
        <v>2</v>
      </c>
      <c r="H186" s="2">
        <v>2</v>
      </c>
      <c r="I186" s="2">
        <v>9</v>
      </c>
      <c r="J186" s="2" t="str">
        <f>IF('Pack Protajer'!$J$24="Español",V186,(IF('Pack Protajer'!$J$24="Deutsch",W186,(IF('Pack Protajer'!$J$24="Français",X186,U186)))))</f>
        <v>Pasar, Mirada hipnótica, Regeneración, Sed de sangre (2+)</v>
      </c>
      <c r="K186" s="1">
        <v>110000</v>
      </c>
      <c r="L186" s="1">
        <f t="shared" si="14"/>
        <v>110</v>
      </c>
      <c r="M186" s="2">
        <v>2</v>
      </c>
      <c r="N186" s="2">
        <v>0</v>
      </c>
      <c r="O186" s="1" t="s">
        <v>170</v>
      </c>
      <c r="P186" s="1" t="s">
        <v>170</v>
      </c>
      <c r="Q186" s="1" t="s">
        <v>169</v>
      </c>
      <c r="R186" s="1" t="s">
        <v>170</v>
      </c>
      <c r="S186" s="1">
        <v>0</v>
      </c>
      <c r="T186" s="15" t="str">
        <f t="shared" si="13"/>
        <v>M</v>
      </c>
      <c r="U186" s="15" t="s">
        <v>1337</v>
      </c>
      <c r="V186" s="15" t="s">
        <v>1335</v>
      </c>
      <c r="W186" s="15" t="s">
        <v>1343</v>
      </c>
      <c r="X186" s="15" t="s">
        <v>1347</v>
      </c>
      <c r="Y186" s="15"/>
    </row>
    <row r="187" spans="1:25" ht="12.75" customHeight="1" x14ac:dyDescent="0.2">
      <c r="A187" s="23" t="s">
        <v>159</v>
      </c>
      <c r="B187" s="2" t="str">
        <f>A187&amp;COUNTIF($A$2:$A187,A187)</f>
        <v>Vampire5</v>
      </c>
      <c r="C187" s="2" t="s">
        <v>1332</v>
      </c>
      <c r="D187" s="2" t="str">
        <f t="shared" si="0"/>
        <v>VampireVampire Blitzer</v>
      </c>
      <c r="E187" s="2">
        <v>6</v>
      </c>
      <c r="F187" s="2">
        <v>4</v>
      </c>
      <c r="G187" s="2">
        <v>2</v>
      </c>
      <c r="H187" s="2">
        <v>5</v>
      </c>
      <c r="I187" s="2">
        <v>9</v>
      </c>
      <c r="J187" s="2" t="str">
        <f>IF('Pack Protajer'!$J$24="Español",V187,(IF('Pack Protajer'!$J$24="Deutsch",W187,(IF('Pack Protajer'!$J$24="Français",X187,U187)))))</f>
        <v>Imparable, Mirada hipnótica, Regeneración, Sed de sangre (3+)</v>
      </c>
      <c r="K187" s="1">
        <v>110000</v>
      </c>
      <c r="L187" s="1">
        <f t="shared" si="14"/>
        <v>110</v>
      </c>
      <c r="M187" s="2">
        <v>2</v>
      </c>
      <c r="N187" s="2">
        <v>0</v>
      </c>
      <c r="O187" s="1" t="s">
        <v>170</v>
      </c>
      <c r="P187" s="1" t="s">
        <v>170</v>
      </c>
      <c r="Q187" s="1" t="s">
        <v>170</v>
      </c>
      <c r="R187" s="1" t="s">
        <v>169</v>
      </c>
      <c r="S187" s="1">
        <v>0</v>
      </c>
      <c r="T187" s="15" t="str">
        <f t="shared" si="13"/>
        <v>M</v>
      </c>
      <c r="U187" s="15" t="s">
        <v>1339</v>
      </c>
      <c r="V187" s="15" t="s">
        <v>1340</v>
      </c>
      <c r="W187" s="15" t="s">
        <v>1342</v>
      </c>
      <c r="X187" s="15" t="s">
        <v>1345</v>
      </c>
      <c r="Y187" s="15"/>
    </row>
    <row r="188" spans="1:25" ht="12.75" customHeight="1" x14ac:dyDescent="0.2">
      <c r="A188" s="23" t="s">
        <v>159</v>
      </c>
      <c r="B188" s="2" t="str">
        <f>A188&amp;COUNTIF($A$2:$A188,A188)</f>
        <v>Vampire6</v>
      </c>
      <c r="C188" s="2" t="s">
        <v>1333</v>
      </c>
      <c r="D188" s="2" t="str">
        <f t="shared" si="0"/>
        <v>VampireVargheist</v>
      </c>
      <c r="E188" s="2">
        <v>5</v>
      </c>
      <c r="F188" s="2">
        <v>5</v>
      </c>
      <c r="G188" s="2">
        <v>4</v>
      </c>
      <c r="H188" s="2">
        <v>0</v>
      </c>
      <c r="I188" s="2">
        <v>10</v>
      </c>
      <c r="J188" s="2" t="str">
        <f>IF('Pack Protajer'!$J$24="Español",V188,(IF('Pack Protajer'!$J$24="Deutsch",W188,(IF('Pack Protajer'!$J$24="Français",X188,U188)))))</f>
        <v>Garras, Furia, Sed de sangre (3+), Regeneración, Solitario (4+)</v>
      </c>
      <c r="K188" s="1">
        <v>150000</v>
      </c>
      <c r="L188" s="1">
        <f t="shared" si="14"/>
        <v>150</v>
      </c>
      <c r="M188" s="2">
        <v>1</v>
      </c>
      <c r="N188" s="2">
        <v>1</v>
      </c>
      <c r="O188" s="1" t="s">
        <v>169</v>
      </c>
      <c r="P188" s="1" t="s">
        <v>169</v>
      </c>
      <c r="Q188" s="1" t="s">
        <v>170</v>
      </c>
      <c r="R188" s="1" t="s">
        <v>169</v>
      </c>
      <c r="S188" s="1">
        <v>0</v>
      </c>
      <c r="T188" s="15" t="str">
        <f t="shared" si="13"/>
        <v>M</v>
      </c>
      <c r="U188" s="15" t="s">
        <v>1338</v>
      </c>
      <c r="V188" s="15" t="s">
        <v>1341</v>
      </c>
      <c r="W188" s="15" t="s">
        <v>1348</v>
      </c>
      <c r="X188" s="15" t="s">
        <v>1349</v>
      </c>
      <c r="Y188" s="15"/>
    </row>
    <row r="189" spans="1:25" ht="12.75" customHeight="1" x14ac:dyDescent="0.2">
      <c r="A189" s="23" t="s">
        <v>160</v>
      </c>
      <c r="B189" s="2" t="str">
        <f>A189&amp;COUNTIF($A$2:$A189,A189)</f>
        <v>Wood Elf1</v>
      </c>
      <c r="C189" s="2" t="str">
        <f>""</f>
        <v/>
      </c>
      <c r="D189" s="2" t="str">
        <f t="shared" si="0"/>
        <v>Wood Elf</v>
      </c>
      <c r="E189" s="2">
        <v>0</v>
      </c>
      <c r="F189" s="2">
        <v>0</v>
      </c>
      <c r="G189" s="2">
        <v>0</v>
      </c>
      <c r="H189" s="2">
        <v>0</v>
      </c>
      <c r="I189" s="2">
        <v>0</v>
      </c>
      <c r="J189" s="2">
        <f>IF('Pack Protajer'!$J$24="Español",V189,(IF('Pack Protajer'!$J$24="Deutsch",W189,(IF('Pack Protajer'!$J$24="Français",X189,U189)))))</f>
        <v>0</v>
      </c>
      <c r="K189" s="1">
        <v>0</v>
      </c>
      <c r="L189" s="1">
        <f t="shared" si="14"/>
        <v>0</v>
      </c>
      <c r="M189" s="1">
        <v>0</v>
      </c>
      <c r="N189" s="1">
        <v>0</v>
      </c>
      <c r="O189" s="1"/>
      <c r="P189" s="1"/>
      <c r="Q189" s="1"/>
      <c r="R189" s="1"/>
      <c r="S189" s="1"/>
      <c r="T189" s="15" t="str">
        <f t="shared" si="13"/>
        <v/>
      </c>
      <c r="U189" s="15">
        <v>0</v>
      </c>
      <c r="V189" s="15">
        <v>0</v>
      </c>
      <c r="W189" s="15">
        <v>0</v>
      </c>
      <c r="X189" s="15">
        <v>0</v>
      </c>
      <c r="Y189" s="15">
        <v>0</v>
      </c>
    </row>
    <row r="190" spans="1:25" ht="12.75" customHeight="1" x14ac:dyDescent="0.2">
      <c r="A190" s="23" t="s">
        <v>160</v>
      </c>
      <c r="B190" s="2" t="str">
        <f>A190&amp;COUNTIF($A$2:$A190,A190)</f>
        <v>Wood Elf2</v>
      </c>
      <c r="C190" s="2" t="s">
        <v>319</v>
      </c>
      <c r="D190" s="2" t="str">
        <f t="shared" si="0"/>
        <v>Wood ElfLineman</v>
      </c>
      <c r="E190" s="2">
        <v>7</v>
      </c>
      <c r="F190" s="2">
        <v>3</v>
      </c>
      <c r="G190" s="2">
        <v>2</v>
      </c>
      <c r="H190" s="2">
        <v>4</v>
      </c>
      <c r="I190" s="2">
        <v>8</v>
      </c>
      <c r="J190" s="2" t="str">
        <f>IF('Pack Protajer'!$J$24="Español",V190,(IF('Pack Protajer'!$J$24="Deutsch",W190,(IF('Pack Protajer'!$J$24="Français",X190,U190)))))</f>
        <v/>
      </c>
      <c r="K190" s="1">
        <v>70000</v>
      </c>
      <c r="L190" s="1">
        <f t="shared" si="14"/>
        <v>70</v>
      </c>
      <c r="M190" s="2">
        <v>16</v>
      </c>
      <c r="N190" s="2">
        <v>0</v>
      </c>
      <c r="O190" s="1" t="s">
        <v>170</v>
      </c>
      <c r="P190" s="1" t="s">
        <v>170</v>
      </c>
      <c r="Q190" s="1" t="s">
        <v>169</v>
      </c>
      <c r="R190" s="1">
        <v>0</v>
      </c>
      <c r="S190" s="1">
        <v>0</v>
      </c>
      <c r="T190" s="15" t="str">
        <f t="shared" si="13"/>
        <v>PM</v>
      </c>
      <c r="U190" s="15" t="str">
        <f>""</f>
        <v/>
      </c>
      <c r="V190" s="15" t="str">
        <f t="shared" ref="V190:Y190" si="17">""</f>
        <v/>
      </c>
      <c r="W190" s="15" t="str">
        <f t="shared" si="17"/>
        <v/>
      </c>
      <c r="X190" s="15" t="str">
        <f t="shared" si="17"/>
        <v/>
      </c>
      <c r="Y190" s="15" t="str">
        <f t="shared" si="17"/>
        <v/>
      </c>
    </row>
    <row r="191" spans="1:25" ht="12.75" customHeight="1" x14ac:dyDescent="0.2">
      <c r="A191" s="23" t="s">
        <v>160</v>
      </c>
      <c r="B191" s="2" t="str">
        <f>A191&amp;COUNTIF($A$2:$A191,A191)</f>
        <v>Wood Elf3</v>
      </c>
      <c r="C191" s="2" t="s">
        <v>242</v>
      </c>
      <c r="D191" s="2" t="str">
        <f t="shared" si="0"/>
        <v>Wood ElfCatcher</v>
      </c>
      <c r="E191" s="2">
        <v>8</v>
      </c>
      <c r="F191" s="2">
        <v>2</v>
      </c>
      <c r="G191" s="2">
        <v>2</v>
      </c>
      <c r="H191" s="2">
        <v>4</v>
      </c>
      <c r="I191" s="2">
        <v>8</v>
      </c>
      <c r="J191" s="2" t="str">
        <f>IF('Pack Protajer'!$J$24="Español",V191,(IF('Pack Protajer'!$J$24="Deutsch",W191,(IF('Pack Protajer'!$J$24="Français",X191,U191)))))</f>
        <v>Atrapar, Esquivar</v>
      </c>
      <c r="K191" s="1">
        <v>90000</v>
      </c>
      <c r="L191" s="1">
        <f t="shared" si="14"/>
        <v>90</v>
      </c>
      <c r="M191" s="1">
        <v>4</v>
      </c>
      <c r="N191" s="1">
        <v>0</v>
      </c>
      <c r="O191" s="1" t="s">
        <v>170</v>
      </c>
      <c r="P191" s="1" t="s">
        <v>170</v>
      </c>
      <c r="Q191" s="1" t="s">
        <v>169</v>
      </c>
      <c r="R191" s="1" t="s">
        <v>169</v>
      </c>
      <c r="S191" s="1">
        <v>0</v>
      </c>
      <c r="T191" s="15" t="str">
        <f t="shared" si="13"/>
        <v>M</v>
      </c>
      <c r="U191" s="15" t="s">
        <v>426</v>
      </c>
      <c r="V191" s="2" t="s">
        <v>427</v>
      </c>
      <c r="W191" s="15" t="s">
        <v>428</v>
      </c>
      <c r="X191" s="15" t="s">
        <v>429</v>
      </c>
      <c r="Y191" s="15"/>
    </row>
    <row r="192" spans="1:25" ht="12.75" customHeight="1" x14ac:dyDescent="0.2">
      <c r="A192" s="23" t="s">
        <v>160</v>
      </c>
      <c r="B192" s="2" t="str">
        <f>A192&amp;COUNTIF($A$2:$A192,A192)</f>
        <v>Wood Elf4</v>
      </c>
      <c r="C192" s="2" t="s">
        <v>241</v>
      </c>
      <c r="D192" s="2" t="str">
        <f t="shared" si="0"/>
        <v>Wood ElfThrower</v>
      </c>
      <c r="E192" s="2">
        <v>7</v>
      </c>
      <c r="F192" s="2">
        <v>3</v>
      </c>
      <c r="G192" s="2">
        <v>2</v>
      </c>
      <c r="H192" s="2">
        <v>2</v>
      </c>
      <c r="I192" s="2">
        <v>8</v>
      </c>
      <c r="J192" s="2" t="str">
        <f>IF('Pack Protajer'!$J$24="Español",V192,(IF('Pack Protajer'!$J$24="Deutsch",W192,(IF('Pack Protajer'!$J$24="Français",X192,U192)))))</f>
        <v>Pasar</v>
      </c>
      <c r="K192" s="1">
        <v>95000</v>
      </c>
      <c r="L192" s="1">
        <f t="shared" si="14"/>
        <v>95</v>
      </c>
      <c r="M192" s="2">
        <v>2</v>
      </c>
      <c r="N192" s="2">
        <v>0</v>
      </c>
      <c r="O192" s="1" t="s">
        <v>170</v>
      </c>
      <c r="P192" s="1" t="s">
        <v>170</v>
      </c>
      <c r="Q192" s="1" t="s">
        <v>169</v>
      </c>
      <c r="R192" s="1" t="s">
        <v>170</v>
      </c>
      <c r="S192" s="1">
        <v>0</v>
      </c>
      <c r="T192" s="15" t="str">
        <f t="shared" si="13"/>
        <v>M</v>
      </c>
      <c r="U192" s="15" t="s">
        <v>356</v>
      </c>
      <c r="V192" s="15" t="s">
        <v>357</v>
      </c>
      <c r="W192" s="15" t="s">
        <v>358</v>
      </c>
      <c r="X192" s="15" t="s">
        <v>359</v>
      </c>
      <c r="Y192" s="15"/>
    </row>
    <row r="193" spans="1:25" ht="12.75" customHeight="1" x14ac:dyDescent="0.2">
      <c r="A193" s="23" t="s">
        <v>160</v>
      </c>
      <c r="B193" s="2" t="str">
        <f>A193&amp;COUNTIF($A$2:$A193,A193)</f>
        <v>Wood Elf5</v>
      </c>
      <c r="C193" s="2" t="s">
        <v>692</v>
      </c>
      <c r="D193" s="2" t="str">
        <f t="shared" si="0"/>
        <v>Wood ElfWardancer</v>
      </c>
      <c r="E193" s="2">
        <v>8</v>
      </c>
      <c r="F193" s="2">
        <v>3</v>
      </c>
      <c r="G193" s="2">
        <v>2</v>
      </c>
      <c r="H193" s="2">
        <v>4</v>
      </c>
      <c r="I193" s="2">
        <v>8</v>
      </c>
      <c r="J193" s="2" t="str">
        <f>IF('Pack Protajer'!$J$24="Español",V193,(IF('Pack Protajer'!$J$24="Deutsch",W193,(IF('Pack Protajer'!$J$24="Français",X193,U193)))))</f>
        <v>Placar, Esquivar, Saltar</v>
      </c>
      <c r="K193" s="1">
        <v>125000</v>
      </c>
      <c r="L193" s="1">
        <f t="shared" si="14"/>
        <v>125</v>
      </c>
      <c r="M193" s="2">
        <v>2</v>
      </c>
      <c r="N193" s="2">
        <v>0</v>
      </c>
      <c r="O193" s="1" t="s">
        <v>170</v>
      </c>
      <c r="P193" s="1" t="s">
        <v>170</v>
      </c>
      <c r="Q193" s="1" t="s">
        <v>169</v>
      </c>
      <c r="R193" s="1" t="s">
        <v>169</v>
      </c>
      <c r="S193" s="1">
        <v>0</v>
      </c>
      <c r="T193" s="15" t="str">
        <f t="shared" si="13"/>
        <v>M</v>
      </c>
      <c r="U193" s="15" t="s">
        <v>693</v>
      </c>
      <c r="V193" s="15" t="s">
        <v>694</v>
      </c>
      <c r="W193" s="15" t="s">
        <v>695</v>
      </c>
      <c r="X193" s="15" t="s">
        <v>696</v>
      </c>
      <c r="Y193" s="15"/>
    </row>
    <row r="194" spans="1:25" ht="12.75" customHeight="1" x14ac:dyDescent="0.2">
      <c r="A194" s="23" t="s">
        <v>160</v>
      </c>
      <c r="B194" s="2" t="str">
        <f>A194&amp;COUNTIF($A$2:$A194,A194)</f>
        <v>Wood Elf6</v>
      </c>
      <c r="C194" s="2" t="s">
        <v>697</v>
      </c>
      <c r="D194" s="2" t="str">
        <f t="shared" si="0"/>
        <v>Wood ElfTreeman</v>
      </c>
      <c r="E194" s="2">
        <v>2</v>
      </c>
      <c r="F194" s="2">
        <v>6</v>
      </c>
      <c r="G194" s="2">
        <v>5</v>
      </c>
      <c r="H194" s="2">
        <v>5</v>
      </c>
      <c r="I194" s="2">
        <v>11</v>
      </c>
      <c r="J194" s="2" t="str">
        <f>IF('Pack Protajer'!$J$24="Español",V194,(IF('Pack Protajer'!$J$24="Deutsch",W194,(IF('Pack Protajer'!$J$24="Français",X194,U194)))))</f>
        <v>Solitario (4+), Golpe mortífero (+1), Mantenerse firme, Brazo fuerte, Echar raíces, Cabeza dura, Lanzar compañero</v>
      </c>
      <c r="K194" s="1">
        <v>120000</v>
      </c>
      <c r="L194" s="1">
        <f t="shared" si="14"/>
        <v>120</v>
      </c>
      <c r="M194" s="2">
        <v>1</v>
      </c>
      <c r="N194" s="2">
        <v>1</v>
      </c>
      <c r="O194" s="1" t="s">
        <v>169</v>
      </c>
      <c r="P194" s="1" t="s">
        <v>169</v>
      </c>
      <c r="Q194" s="1" t="s">
        <v>170</v>
      </c>
      <c r="R194" s="1">
        <v>0</v>
      </c>
      <c r="S194" s="1">
        <v>0</v>
      </c>
      <c r="T194" s="15" t="str">
        <f t="shared" si="13"/>
        <v>PM</v>
      </c>
      <c r="U194" s="15" t="s">
        <v>698</v>
      </c>
      <c r="V194" s="15" t="s">
        <v>699</v>
      </c>
      <c r="W194" s="15" t="s">
        <v>1091</v>
      </c>
      <c r="X194" s="15" t="s">
        <v>700</v>
      </c>
      <c r="Y194" s="15"/>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141"/>
  <sheetViews>
    <sheetView zoomScale="80" zoomScaleNormal="80" workbookViewId="0">
      <pane xSplit="2" ySplit="1" topLeftCell="C69" activePane="bottomRight" state="frozen"/>
      <selection activeCell="C18" sqref="C18:F18"/>
      <selection pane="topRight" activeCell="C18" sqref="C18:F18"/>
      <selection pane="bottomLeft" activeCell="C18" sqref="C18:F18"/>
      <selection pane="bottomRight" activeCell="B74" sqref="B74"/>
    </sheetView>
  </sheetViews>
  <sheetFormatPr baseColWidth="10" defaultColWidth="14.42578125" defaultRowHeight="15" customHeight="1" x14ac:dyDescent="0.2"/>
  <cols>
    <col min="1" max="1" width="9.140625" customWidth="1"/>
    <col min="2" max="2" width="33.85546875" customWidth="1"/>
    <col min="3" max="34" width="15.5703125" customWidth="1"/>
  </cols>
  <sheetData>
    <row r="1" spans="1:23" ht="12.75" customHeight="1" x14ac:dyDescent="0.2">
      <c r="B1" s="5" t="s">
        <v>701</v>
      </c>
      <c r="C1" s="5" t="s">
        <v>172</v>
      </c>
      <c r="D1" s="5" t="s">
        <v>176</v>
      </c>
      <c r="E1" s="5" t="s">
        <v>174</v>
      </c>
      <c r="F1" s="5" t="s">
        <v>175</v>
      </c>
      <c r="G1" s="5" t="s">
        <v>173</v>
      </c>
      <c r="H1" s="5" t="s">
        <v>228</v>
      </c>
      <c r="I1" s="5" t="s">
        <v>702</v>
      </c>
      <c r="J1" s="5" t="s">
        <v>229</v>
      </c>
      <c r="K1" s="5" t="s">
        <v>230</v>
      </c>
      <c r="M1" s="6" t="s">
        <v>703</v>
      </c>
      <c r="N1" s="6" t="s">
        <v>704</v>
      </c>
      <c r="O1" s="6" t="s">
        <v>705</v>
      </c>
      <c r="P1" s="6" t="s">
        <v>706</v>
      </c>
      <c r="Q1" s="6" t="s">
        <v>707</v>
      </c>
      <c r="R1" s="19"/>
      <c r="S1" s="6" t="s">
        <v>708</v>
      </c>
      <c r="T1" s="6" t="s">
        <v>709</v>
      </c>
      <c r="U1" s="6" t="s">
        <v>710</v>
      </c>
      <c r="V1" s="6" t="s">
        <v>711</v>
      </c>
      <c r="W1" s="6" t="s">
        <v>712</v>
      </c>
    </row>
    <row r="2" spans="1:23" ht="12.75" customHeight="1" x14ac:dyDescent="0.2">
      <c r="B2" t="s">
        <v>713</v>
      </c>
    </row>
    <row r="3" spans="1:23" ht="12.75" customHeight="1" x14ac:dyDescent="0.2">
      <c r="B3" s="2" t="s">
        <v>216</v>
      </c>
      <c r="C3" s="2">
        <v>0</v>
      </c>
      <c r="D3" s="2">
        <v>0</v>
      </c>
      <c r="E3" s="2">
        <v>0</v>
      </c>
      <c r="F3" s="2">
        <v>0</v>
      </c>
      <c r="G3" s="2">
        <v>0</v>
      </c>
      <c r="H3" s="2">
        <v>0</v>
      </c>
      <c r="I3" s="2">
        <v>0</v>
      </c>
      <c r="J3" s="1">
        <v>0</v>
      </c>
      <c r="K3" s="1">
        <v>2</v>
      </c>
      <c r="M3" s="19">
        <v>0</v>
      </c>
      <c r="N3" s="19">
        <v>0</v>
      </c>
      <c r="O3" s="19">
        <v>0</v>
      </c>
      <c r="P3" s="19">
        <v>0</v>
      </c>
      <c r="Q3" s="19">
        <v>0</v>
      </c>
      <c r="R3" s="19"/>
      <c r="S3" s="19">
        <v>0</v>
      </c>
      <c r="T3" s="19">
        <v>0</v>
      </c>
      <c r="U3" s="19">
        <v>0</v>
      </c>
      <c r="V3" s="19">
        <v>0</v>
      </c>
      <c r="W3" s="19">
        <v>0</v>
      </c>
    </row>
    <row r="4" spans="1:23" ht="12.75" customHeight="1" x14ac:dyDescent="0.2">
      <c r="A4" s="9" t="s">
        <v>714</v>
      </c>
      <c r="B4" s="9" t="s">
        <v>715</v>
      </c>
      <c r="C4" s="2">
        <v>7</v>
      </c>
      <c r="D4" s="2">
        <v>1</v>
      </c>
      <c r="E4" s="2" t="s">
        <v>716</v>
      </c>
      <c r="F4" s="2" t="s">
        <v>223</v>
      </c>
      <c r="G4" s="2" t="s">
        <v>717</v>
      </c>
      <c r="H4" s="3" t="str">
        <f>IF('Pack BB2020'!$J$24="Español",T4,(IF('Pack BB2020'!$J$24="Deutsch",U4,(IF('Pack BB2020'!$J$24="Français",V4,S4)))))</f>
        <v>Garras, Agallas, Furia, En pie de un salto, Solitario (4+), Sin manos, Echarse a un lado, Escurridizo, Canijo</v>
      </c>
      <c r="I4" s="3" t="str">
        <f>IF('Pack BB2020'!$J$24="Español",N4,(IF('Pack BB2020'!$J$24="Deutsch",O4,(IF('Pack BB2020'!$J$24="Italiano",Q4,(IF('Pack BB2020'!$J$24="Français",P4,M4)))))))</f>
        <v>Furia ciega: Akhorne puede elegir volver a tirar el D6 cuando tira la habilidad de Agallas</v>
      </c>
      <c r="J4" s="1">
        <v>80000</v>
      </c>
      <c r="K4" s="1">
        <f>IF((IFERROR((VLOOKUP(A4,$B$95:$B$141,1,FALSE)),0))&lt;&gt;0,1,0)</f>
        <v>0</v>
      </c>
      <c r="M4" s="19" t="s">
        <v>718</v>
      </c>
      <c r="N4" s="19" t="s">
        <v>719</v>
      </c>
      <c r="O4" s="19" t="s">
        <v>720</v>
      </c>
      <c r="P4" s="19" t="s">
        <v>721</v>
      </c>
      <c r="Q4" s="19" t="s">
        <v>1371</v>
      </c>
      <c r="R4" s="19"/>
      <c r="S4" s="19" t="s">
        <v>722</v>
      </c>
      <c r="T4" s="19" t="s">
        <v>723</v>
      </c>
      <c r="U4" s="19" t="s">
        <v>724</v>
      </c>
      <c r="V4" s="19" t="s">
        <v>725</v>
      </c>
      <c r="W4" s="19"/>
    </row>
    <row r="5" spans="1:23" ht="12.75" customHeight="1" x14ac:dyDescent="0.2">
      <c r="A5" s="9" t="s">
        <v>726</v>
      </c>
      <c r="B5" s="9" t="s">
        <v>727</v>
      </c>
      <c r="C5" s="2">
        <v>6</v>
      </c>
      <c r="D5" s="2">
        <v>3</v>
      </c>
      <c r="E5" s="2" t="s">
        <v>728</v>
      </c>
      <c r="F5" s="2" t="s">
        <v>223</v>
      </c>
      <c r="G5" s="2" t="s">
        <v>729</v>
      </c>
      <c r="H5" s="3" t="str">
        <f>IF('Pack BB2020'!$J$24="Español",T5,(IF('Pack BB2020'!$J$24="Deutsch",U5,(IF('Pack BB2020'!$J$24="Français",V5,S5)))))</f>
        <v>Motosierra, Solitario (4+), Pro, Arma secreta, Mantenerse firme</v>
      </c>
      <c r="I5" s="3" t="str">
        <f>IF('Pack BB2020'!$J$24="Español",N5,(IF('Pack BB2020'!$J$24="Deutsch",O5,(IF('Pack BB2020'!$J$24="Italiano",Q5,(IF('Pack BB2020'!$J$24="Français",P5,M5)))))))</f>
        <v>Viejo profesional: Una vez por partido, Helmut puese usar su habilidad Pro para repetir un solo dado de la tirada de Armadura</v>
      </c>
      <c r="J5" s="1">
        <v>140000</v>
      </c>
      <c r="K5" s="1">
        <f t="shared" ref="K5:K68" si="0">IF((IFERROR((VLOOKUP(A5,$B$95:$B$141,1,FALSE)),0))&lt;&gt;0,1,0)</f>
        <v>0</v>
      </c>
      <c r="M5" s="19" t="s">
        <v>730</v>
      </c>
      <c r="N5" s="19" t="s">
        <v>731</v>
      </c>
      <c r="O5" s="19" t="s">
        <v>732</v>
      </c>
      <c r="P5" s="19" t="s">
        <v>733</v>
      </c>
      <c r="Q5" s="19" t="s">
        <v>1372</v>
      </c>
      <c r="R5" s="19"/>
      <c r="S5" s="19" t="s">
        <v>734</v>
      </c>
      <c r="T5" s="19" t="s">
        <v>735</v>
      </c>
      <c r="U5" s="19" t="s">
        <v>736</v>
      </c>
      <c r="V5" s="19" t="s">
        <v>737</v>
      </c>
      <c r="W5" s="19"/>
    </row>
    <row r="6" spans="1:23" ht="12.75" customHeight="1" x14ac:dyDescent="0.2">
      <c r="A6" s="9" t="s">
        <v>738</v>
      </c>
      <c r="B6" s="9" t="s">
        <v>739</v>
      </c>
      <c r="C6" s="2">
        <v>6</v>
      </c>
      <c r="D6" s="2">
        <v>2</v>
      </c>
      <c r="E6" s="2" t="s">
        <v>728</v>
      </c>
      <c r="F6" s="2" t="s">
        <v>728</v>
      </c>
      <c r="G6" s="2" t="s">
        <v>729</v>
      </c>
      <c r="H6" s="3" t="str">
        <f>IF('Pack BB2020'!$J$24="Español",T6,(IF('Pack BB2020'!$J$24="Deutsch",U6,(IF('Pack BB2020'!$J$24="Français",V6,S6)))))</f>
        <v>Bombardero, Presencia perturbadora, Esquivar, Solitario (3+), Echarse a un lado, Furtivo, Puñal, Escurridizo</v>
      </c>
      <c r="I6" s="3" t="str">
        <f>IF('Pack BB2020'!$J$24="Español",N6,(IF('Pack BB2020'!$J$24="Deutsch",O6,(IF('Pack BB2020'!$J$24="Italiano",Q6,(IF('Pack BB2020'!$J$24="Français",P6,M6)))))))</f>
        <v>El más astuto de todos: Si tu equipo incluye al Black Gobbo, puedes cometer dos acciones de falta por turno, siempre que una de las faltas sea cometida por el mismo Black Gobbo.</v>
      </c>
      <c r="J6" s="1">
        <v>225000</v>
      </c>
      <c r="K6" s="1">
        <f t="shared" si="0"/>
        <v>0</v>
      </c>
      <c r="M6" s="19" t="s">
        <v>740</v>
      </c>
      <c r="N6" s="19" t="s">
        <v>741</v>
      </c>
      <c r="O6" s="19" t="s">
        <v>742</v>
      </c>
      <c r="P6" s="19" t="s">
        <v>743</v>
      </c>
      <c r="Q6" s="19" t="s">
        <v>1373</v>
      </c>
      <c r="R6" s="19"/>
      <c r="S6" s="19" t="s">
        <v>744</v>
      </c>
      <c r="T6" s="19" t="s">
        <v>1130</v>
      </c>
      <c r="U6" s="19" t="s">
        <v>745</v>
      </c>
      <c r="V6" s="19" t="s">
        <v>746</v>
      </c>
      <c r="W6" s="19"/>
    </row>
    <row r="7" spans="1:23" ht="12.75" customHeight="1" x14ac:dyDescent="0.2">
      <c r="A7" s="9" t="s">
        <v>747</v>
      </c>
      <c r="B7" s="9" t="s">
        <v>748</v>
      </c>
      <c r="C7" s="2">
        <v>5</v>
      </c>
      <c r="D7" s="2">
        <v>5</v>
      </c>
      <c r="E7" s="2" t="s">
        <v>749</v>
      </c>
      <c r="F7" s="2" t="s">
        <v>749</v>
      </c>
      <c r="G7" s="2" t="s">
        <v>750</v>
      </c>
      <c r="H7" s="3" t="str">
        <f>IF('Pack BB2020'!$J$24="Español",T7,(IF('Pack BB2020'!$J$24="Deutsch",U7,(IF('Pack BB2020'!$J$24="Français",V7,S7)))))</f>
        <v>Estúpido, Patear compañero, Solitario (4+), Golpe mortífero (+1), Cabeza dura</v>
      </c>
      <c r="I7" s="3" t="str">
        <f>IF('Pack BB2020'!$J$24="Español",N7,(IF('Pack BB2020'!$J$24="Deutsch",O7,(IF('Pack BB2020'!$J$24="Italiano",Q7,(IF('Pack BB2020'!$J$24="Français",P7,M7)))))))</f>
        <v>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v>
      </c>
      <c r="J7" s="1">
        <v>250000</v>
      </c>
      <c r="K7" s="1">
        <f t="shared" si="0"/>
        <v>0</v>
      </c>
      <c r="M7" s="19" t="s">
        <v>751</v>
      </c>
      <c r="N7" s="19" t="s">
        <v>752</v>
      </c>
      <c r="O7" s="19" t="s">
        <v>753</v>
      </c>
      <c r="P7" s="19" t="s">
        <v>754</v>
      </c>
      <c r="Q7" s="19" t="s">
        <v>1374</v>
      </c>
      <c r="R7" s="19"/>
      <c r="S7" s="19" t="s">
        <v>755</v>
      </c>
      <c r="T7" s="19" t="s">
        <v>756</v>
      </c>
      <c r="U7" s="19" t="s">
        <v>757</v>
      </c>
      <c r="V7" s="19" t="s">
        <v>758</v>
      </c>
      <c r="W7" s="19"/>
    </row>
    <row r="8" spans="1:23" ht="12.75" customHeight="1" x14ac:dyDescent="0.2">
      <c r="A8" s="9" t="s">
        <v>759</v>
      </c>
      <c r="B8" s="9" t="s">
        <v>760</v>
      </c>
      <c r="C8" s="2">
        <v>5</v>
      </c>
      <c r="D8" s="2">
        <v>2</v>
      </c>
      <c r="E8" s="2" t="s">
        <v>728</v>
      </c>
      <c r="F8" s="2" t="s">
        <v>717</v>
      </c>
      <c r="G8" s="2" t="s">
        <v>761</v>
      </c>
      <c r="H8" s="3" t="str">
        <f>IF('Pack BB2020'!$J$24="Español",T8,(IF('Pack BB2020'!$J$24="Deutsch",U8,(IF('Pack BB2020'!$J$24="Français",V8,S8)))))</f>
        <v>Esquivar, Solitario (4+), Humanoide bala, Escurridizo, Manos seguras</v>
      </c>
      <c r="I8" s="3" t="str">
        <f>IF('Pack BB2020'!$J$24="Español",N8,(IF('Pack BB2020'!$J$24="Deutsch",O8,(IF('Pack BB2020'!$J$24="Italiano",Q8,(IF('Pack BB2020'!$J$24="Français",P8,M8)))))))</f>
        <v>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v>
      </c>
      <c r="J8" s="1">
        <v>0</v>
      </c>
      <c r="K8" s="1">
        <f t="shared" si="0"/>
        <v>0</v>
      </c>
      <c r="M8" s="19" t="s">
        <v>751</v>
      </c>
      <c r="N8" s="19" t="s">
        <v>752</v>
      </c>
      <c r="O8" s="19" t="s">
        <v>753</v>
      </c>
      <c r="P8" s="19" t="s">
        <v>754</v>
      </c>
      <c r="Q8" s="19" t="s">
        <v>1374</v>
      </c>
      <c r="R8" s="19"/>
      <c r="S8" s="19" t="s">
        <v>762</v>
      </c>
      <c r="T8" s="19" t="s">
        <v>763</v>
      </c>
      <c r="U8" s="19" t="s">
        <v>764</v>
      </c>
      <c r="V8" s="19" t="s">
        <v>765</v>
      </c>
      <c r="W8" s="19"/>
    </row>
    <row r="9" spans="1:23" ht="12.75" customHeight="1" x14ac:dyDescent="0.2">
      <c r="A9" s="9" t="s">
        <v>766</v>
      </c>
      <c r="B9" s="9" t="s">
        <v>767</v>
      </c>
      <c r="C9" s="2">
        <v>6</v>
      </c>
      <c r="D9" s="2">
        <v>5</v>
      </c>
      <c r="E9" s="2" t="s">
        <v>728</v>
      </c>
      <c r="F9" s="2" t="s">
        <v>768</v>
      </c>
      <c r="G9" s="2" t="s">
        <v>750</v>
      </c>
      <c r="H9" s="3" t="str">
        <f>IF('Pack BB2020'!$J$24="Español",T9,(IF('Pack BB2020'!$J$24="Deutsch",U9,(IF('Pack BB2020'!$J$24="Français",V9,S9)))))</f>
        <v>Placar, En pie de un salto, Solitario (4+), Golpe mortífero (+1), Cabeza dura</v>
      </c>
      <c r="I9" s="3" t="str">
        <f>IF('Pack BB2020'!$J$24="Español",N9,(IF('Pack BB2020'!$J$24="Deutsch",O9,(IF('Pack BB2020'!$J$24="Italiano",Q9,(IF('Pack BB2020'!$J$24="Français",P9,M9)))))))</f>
        <v>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v>
      </c>
      <c r="J9" s="1">
        <v>280000</v>
      </c>
      <c r="K9" s="1">
        <f t="shared" si="0"/>
        <v>0</v>
      </c>
      <c r="M9" s="19" t="s">
        <v>769</v>
      </c>
      <c r="N9" s="19" t="s">
        <v>770</v>
      </c>
      <c r="O9" s="19" t="s">
        <v>771</v>
      </c>
      <c r="P9" s="19" t="s">
        <v>772</v>
      </c>
      <c r="Q9" s="19" t="s">
        <v>1375</v>
      </c>
      <c r="R9" s="19"/>
      <c r="S9" s="19" t="s">
        <v>773</v>
      </c>
      <c r="T9" s="19" t="s">
        <v>774</v>
      </c>
      <c r="U9" s="19" t="s">
        <v>775</v>
      </c>
      <c r="V9" s="19" t="s">
        <v>776</v>
      </c>
      <c r="W9" s="19"/>
    </row>
    <row r="10" spans="1:23" ht="12.75" customHeight="1" x14ac:dyDescent="0.2">
      <c r="A10" s="9" t="s">
        <v>777</v>
      </c>
      <c r="B10" s="9" t="s">
        <v>778</v>
      </c>
      <c r="C10" s="2">
        <v>6</v>
      </c>
      <c r="D10" s="2">
        <v>6</v>
      </c>
      <c r="E10" s="2" t="s">
        <v>728</v>
      </c>
      <c r="F10" s="2" t="s">
        <v>749</v>
      </c>
      <c r="G10" s="2" t="s">
        <v>779</v>
      </c>
      <c r="H10" s="3" t="str">
        <f>IF('Pack BB2020'!$J$24="Español",T10,(IF('Pack BB2020'!$J$24="Deutsch",U10,(IF('Pack BB2020'!$J$24="Français",V10,S10)))))</f>
        <v>Placar, Solitario (4+), Golpe mortífero (+2), Cabeza dura, Lanzar compañero</v>
      </c>
      <c r="I10" s="3" t="str">
        <f>IF('Pack BB2020'!$J$24="Español",N10,(IF('Pack BB2020'!$J$24="Deutsch",O10,(IF('Pack BB2020'!$J$24="Italiano",Q10,(IF('Pack BB2020'!$J$24="Français",P10,M10)))))))</f>
        <v>La Ballesta: Una vez por partido, si Morg falla el test de habilidad para pasar cuando hace una acción de pasar o una acción de lanzar a un compañero de equipo, puede volver a tirar el D6</v>
      </c>
      <c r="J10" s="1">
        <v>380000</v>
      </c>
      <c r="K10" s="1">
        <f t="shared" si="0"/>
        <v>0</v>
      </c>
      <c r="M10" s="19" t="s">
        <v>780</v>
      </c>
      <c r="N10" s="19" t="s">
        <v>781</v>
      </c>
      <c r="O10" s="19" t="s">
        <v>782</v>
      </c>
      <c r="P10" s="19" t="s">
        <v>783</v>
      </c>
      <c r="Q10" s="19" t="s">
        <v>1376</v>
      </c>
      <c r="R10" s="19"/>
      <c r="S10" s="19" t="s">
        <v>784</v>
      </c>
      <c r="T10" s="19" t="s">
        <v>785</v>
      </c>
      <c r="U10" s="19" t="s">
        <v>786</v>
      </c>
      <c r="V10" s="19" t="s">
        <v>787</v>
      </c>
      <c r="W10" s="19"/>
    </row>
    <row r="11" spans="1:23" ht="12.75" customHeight="1" x14ac:dyDescent="0.2">
      <c r="A11" s="9" t="s">
        <v>788</v>
      </c>
      <c r="B11" s="9" t="s">
        <v>789</v>
      </c>
      <c r="C11" s="2">
        <v>9</v>
      </c>
      <c r="D11" s="2">
        <v>3</v>
      </c>
      <c r="E11" s="2" t="s">
        <v>716</v>
      </c>
      <c r="F11" s="2" t="s">
        <v>728</v>
      </c>
      <c r="G11" s="2" t="s">
        <v>790</v>
      </c>
      <c r="H11" s="3" t="str">
        <f>IF('Pack BB2020'!$J$24="Español",T11,(IF('Pack BB2020'!$J$24="Deutsch",U11,(IF('Pack BB2020'!$J$24="Français",V11,S11)))))</f>
        <v>Esquivar, Brazos adicionales, Solitario (4+), Cola prensil, Dos cabezas</v>
      </c>
      <c r="I11" s="3" t="str">
        <f>IF('Pack BB2020'!$J$24="Español",N11,(IF('Pack BB2020'!$J$24="Deutsch",O11,(IF('Pack BB2020'!$J$24="Italiano",Q11,(IF('Pack BB2020'!$J$24="Français",P11,M11)))))))</f>
        <v>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v>
      </c>
      <c r="J11" s="1">
        <v>210000</v>
      </c>
      <c r="K11" s="1">
        <f t="shared" si="0"/>
        <v>0</v>
      </c>
      <c r="M11" s="19" t="s">
        <v>791</v>
      </c>
      <c r="N11" s="19" t="s">
        <v>792</v>
      </c>
      <c r="O11" s="19" t="s">
        <v>793</v>
      </c>
      <c r="P11" s="19" t="s">
        <v>794</v>
      </c>
      <c r="Q11" s="19" t="s">
        <v>1377</v>
      </c>
      <c r="R11" s="19"/>
      <c r="S11" s="19" t="s">
        <v>795</v>
      </c>
      <c r="T11" s="19" t="s">
        <v>796</v>
      </c>
      <c r="U11" s="19" t="s">
        <v>797</v>
      </c>
      <c r="V11" s="19" t="s">
        <v>798</v>
      </c>
      <c r="W11" s="19"/>
    </row>
    <row r="12" spans="1:23" ht="12.75" customHeight="1" x14ac:dyDescent="0.2">
      <c r="A12" s="9" t="s">
        <v>799</v>
      </c>
      <c r="B12" s="9" t="s">
        <v>800</v>
      </c>
      <c r="C12" s="2">
        <v>5</v>
      </c>
      <c r="D12" s="2">
        <v>4</v>
      </c>
      <c r="E12" s="2" t="s">
        <v>749</v>
      </c>
      <c r="F12" s="2" t="s">
        <v>223</v>
      </c>
      <c r="G12" s="2" t="s">
        <v>729</v>
      </c>
      <c r="H12" s="3" t="str">
        <f>IF('Pack BB2020'!$J$24="Español",T12,(IF('Pack BB2020'!$J$24="Deutsch",U12,(IF('Pack BB2020'!$J$24="Français",V12,S12)))))</f>
        <v>Placar, Garras, Apartar, Imparable, Solitario (4+), Mantenerse firme</v>
      </c>
      <c r="I12" s="3" t="str">
        <f>IF('Pack BB2020'!$J$24="Español",N12,(IF('Pack BB2020'!$J$24="Deutsch",O12,(IF('Pack BB2020'!$J$24="Italiano",Q12,(IF('Pack BB2020'!$J$24="Français",P12,M12)))))))</f>
        <v>Carrera frenética: Una vez por partido, cuando Glart realiza una acción Blitz, puede ganar la habilidad Furia. Debes declarar que esta regla especial se usa cuando Glart es activado. Glart no puede usar la habilidad de Apartar durante el turno en el que use esta regla especial.</v>
      </c>
      <c r="J12" s="1">
        <v>195000</v>
      </c>
      <c r="K12" s="1">
        <f t="shared" si="0"/>
        <v>0</v>
      </c>
      <c r="M12" s="19" t="s">
        <v>801</v>
      </c>
      <c r="N12" s="19" t="s">
        <v>802</v>
      </c>
      <c r="O12" s="19" t="s">
        <v>803</v>
      </c>
      <c r="P12" s="19" t="s">
        <v>804</v>
      </c>
      <c r="Q12" s="19" t="s">
        <v>1378</v>
      </c>
      <c r="R12" s="19"/>
      <c r="S12" s="19" t="s">
        <v>805</v>
      </c>
      <c r="T12" s="19" t="s">
        <v>806</v>
      </c>
      <c r="U12" s="19" t="s">
        <v>807</v>
      </c>
      <c r="V12" s="19" t="s">
        <v>808</v>
      </c>
      <c r="W12" s="19"/>
    </row>
    <row r="13" spans="1:23" ht="12.75" customHeight="1" x14ac:dyDescent="0.2">
      <c r="A13" s="9" t="s">
        <v>809</v>
      </c>
      <c r="B13" s="9" t="s">
        <v>810</v>
      </c>
      <c r="C13" s="2">
        <v>6</v>
      </c>
      <c r="D13" s="2">
        <v>3</v>
      </c>
      <c r="E13" s="2" t="s">
        <v>728</v>
      </c>
      <c r="F13" s="2" t="s">
        <v>223</v>
      </c>
      <c r="G13" s="2" t="s">
        <v>790</v>
      </c>
      <c r="H13" s="3" t="str">
        <f>IF('Pack BB2020'!$J$24="Español",T13,(IF('Pack BB2020'!$J$24="Deutsch",U13,(IF('Pack BB2020'!$J$24="Français",V13,S13)))))</f>
        <v>Placar, Cuernos, Imparable, Solitario (4+), Sin manos, Placaje defensivo, Cabeza dura</v>
      </c>
      <c r="I13" s="3" t="str">
        <f>IF('Pack BB2020'!$J$24="Español",N13,(IF('Pack BB2020'!$J$24="Deutsch",O13,(IF('Pack BB2020'!$J$24="Italiano",Q13,(IF('Pack BB2020'!$J$24="Français",P13,M13)))))))</f>
        <v>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v>
      </c>
      <c r="J13" s="1">
        <v>170000</v>
      </c>
      <c r="K13" s="1">
        <f t="shared" si="0"/>
        <v>0</v>
      </c>
      <c r="M13" s="19" t="s">
        <v>811</v>
      </c>
      <c r="N13" s="19" t="s">
        <v>812</v>
      </c>
      <c r="O13" s="19" t="s">
        <v>813</v>
      </c>
      <c r="P13" s="19" t="s">
        <v>814</v>
      </c>
      <c r="Q13" s="19" t="s">
        <v>1379</v>
      </c>
      <c r="R13" s="19"/>
      <c r="S13" s="19" t="s">
        <v>815</v>
      </c>
      <c r="T13" s="19" t="s">
        <v>816</v>
      </c>
      <c r="U13" s="19" t="s">
        <v>817</v>
      </c>
      <c r="V13" s="19" t="s">
        <v>818</v>
      </c>
      <c r="W13" s="19"/>
    </row>
    <row r="14" spans="1:23" ht="12.75" customHeight="1" x14ac:dyDescent="0.2">
      <c r="A14" s="9" t="s">
        <v>819</v>
      </c>
      <c r="B14" s="9" t="s">
        <v>820</v>
      </c>
      <c r="C14" s="2">
        <v>5</v>
      </c>
      <c r="D14" s="2">
        <v>4</v>
      </c>
      <c r="E14" s="2" t="s">
        <v>728</v>
      </c>
      <c r="F14" s="2" t="s">
        <v>223</v>
      </c>
      <c r="G14" s="2" t="s">
        <v>729</v>
      </c>
      <c r="H14" s="3" t="str">
        <f>IF('Pack BB2020'!$J$24="Español",T14,(IF('Pack BB2020'!$J$24="Deutsch",U14,(IF('Pack BB2020'!$J$24="Français",V14,S14)))))</f>
        <v>Placar, Agallas, Furia, Solitario (4+), Placaje múltiple, Cabeza dura</v>
      </c>
      <c r="I14" s="3" t="str">
        <f>IF('Pack BB2020'!$J$24="Español",N14,(IF('Pack BB2020'!$J$24="Deutsch",O14,(IF('Pack BB2020'!$J$24="Italiano",Q14,(IF('Pack BB2020'!$J$24="Français",P14,M14)))))))</f>
        <v>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v>
      </c>
      <c r="J14" s="1">
        <v>200000</v>
      </c>
      <c r="K14" s="1">
        <f t="shared" si="0"/>
        <v>0</v>
      </c>
      <c r="M14" s="19" t="s">
        <v>821</v>
      </c>
      <c r="N14" s="19" t="s">
        <v>822</v>
      </c>
      <c r="O14" s="19" t="s">
        <v>823</v>
      </c>
      <c r="P14" s="19" t="s">
        <v>824</v>
      </c>
      <c r="Q14" s="19" t="s">
        <v>1380</v>
      </c>
      <c r="R14" s="19"/>
      <c r="S14" s="19" t="s">
        <v>825</v>
      </c>
      <c r="T14" s="19" t="s">
        <v>826</v>
      </c>
      <c r="U14" s="19" t="s">
        <v>827</v>
      </c>
      <c r="V14" s="19" t="s">
        <v>828</v>
      </c>
      <c r="W14" s="19"/>
    </row>
    <row r="15" spans="1:23" ht="12.75" customHeight="1" x14ac:dyDescent="0.2">
      <c r="A15" s="9" t="s">
        <v>829</v>
      </c>
      <c r="B15" s="9" t="s">
        <v>830</v>
      </c>
      <c r="C15" s="2">
        <v>5</v>
      </c>
      <c r="D15" s="2">
        <v>3</v>
      </c>
      <c r="E15" s="2" t="s">
        <v>728</v>
      </c>
      <c r="F15" s="2" t="s">
        <v>749</v>
      </c>
      <c r="G15" s="2" t="s">
        <v>750</v>
      </c>
      <c r="H15" s="3" t="str">
        <f>IF('Pack BB2020'!$J$24="Español",T15,(IF('Pack BB2020'!$J$24="Deutsch",U15,(IF('Pack BB2020'!$J$24="Français",V15,S15)))))</f>
        <v>Placar, Agallas, Solitario (4+), Golpe mortífero (+1), Mantenerse firme, Cabeza dura</v>
      </c>
      <c r="I15" s="3" t="str">
        <f>IF('Pack BB2020'!$J$24="Español",N15,(IF('Pack BB2020'!$J$24="Deutsch",O15,(IF('Pack BB2020'!$J$24="Italiano",Q15,(IF('Pack BB2020'!$J$24="Français",P15,M15)))))))</f>
        <v>Sabiduría del Enano Blanco: Una vez por turno de equipo, cuando uno de los compañeros de Grombrindal que está en una casilla adyacente es activado, ese jugador gana la habilidad de Abrirse paso, Agallas, Golpe Mortífero (+1) o Pies firmes hasta el final de su activación.</v>
      </c>
      <c r="J15" s="1">
        <v>210000</v>
      </c>
      <c r="K15" s="1">
        <f t="shared" si="0"/>
        <v>0</v>
      </c>
      <c r="M15" s="19" t="s">
        <v>831</v>
      </c>
      <c r="N15" s="19" t="s">
        <v>832</v>
      </c>
      <c r="O15" s="19" t="s">
        <v>833</v>
      </c>
      <c r="P15" s="19" t="s">
        <v>834</v>
      </c>
      <c r="Q15" s="19" t="s">
        <v>1381</v>
      </c>
      <c r="R15" s="19"/>
      <c r="S15" s="19" t="s">
        <v>835</v>
      </c>
      <c r="T15" s="19" t="s">
        <v>836</v>
      </c>
      <c r="U15" s="19" t="s">
        <v>837</v>
      </c>
      <c r="V15" s="19" t="s">
        <v>838</v>
      </c>
      <c r="W15" s="19"/>
    </row>
    <row r="16" spans="1:23" ht="12.75" customHeight="1" x14ac:dyDescent="0.2">
      <c r="A16" s="9" t="s">
        <v>839</v>
      </c>
      <c r="B16" s="9" t="s">
        <v>840</v>
      </c>
      <c r="C16" s="2">
        <v>6</v>
      </c>
      <c r="D16" s="2">
        <v>4</v>
      </c>
      <c r="E16" s="2" t="s">
        <v>728</v>
      </c>
      <c r="F16" s="2" t="s">
        <v>749</v>
      </c>
      <c r="G16" s="2" t="s">
        <v>729</v>
      </c>
      <c r="H16" s="3" t="str">
        <f>IF('Pack BB2020'!$J$24="Español",T16,(IF('Pack BB2020'!$J$24="Deutsch",U16,(IF('Pack BB2020'!$J$24="Français",V16,S16)))))</f>
        <v>Placar, Agallas, Esquivar, En pie de un salto, Solitario (4+)</v>
      </c>
      <c r="I16" s="3" t="str">
        <f>IF('Pack BB2020'!$J$24="Español",N16,(IF('Pack BB2020'!$J$24="Deutsch",O16,(IF('Pack BB2020'!$J$24="Italiano",Q16,(IF('Pack BB2020'!$J$24="Français",P16,M16)))))))</f>
        <v>Indomable: Una vez por partido, cuando Karla tira con éxito para usar su habilidad Agallas, puede aumentar su característica de fuerza para doblar la del objetivo elegido en su acción de placaje.</v>
      </c>
      <c r="J16" s="1">
        <v>210000</v>
      </c>
      <c r="K16" s="1">
        <f t="shared" si="0"/>
        <v>0</v>
      </c>
      <c r="M16" s="19" t="s">
        <v>841</v>
      </c>
      <c r="N16" s="19" t="s">
        <v>842</v>
      </c>
      <c r="O16" s="19" t="s">
        <v>843</v>
      </c>
      <c r="P16" s="19" t="s">
        <v>844</v>
      </c>
      <c r="Q16" s="19" t="s">
        <v>1382</v>
      </c>
      <c r="R16" s="19"/>
      <c r="S16" s="19" t="s">
        <v>845</v>
      </c>
      <c r="T16" s="19" t="s">
        <v>846</v>
      </c>
      <c r="U16" s="19" t="s">
        <v>847</v>
      </c>
      <c r="V16" s="19" t="s">
        <v>848</v>
      </c>
      <c r="W16" s="19"/>
    </row>
    <row r="17" spans="1:23" ht="12.75" customHeight="1" x14ac:dyDescent="0.2">
      <c r="A17" s="9" t="s">
        <v>849</v>
      </c>
      <c r="B17" s="9" t="s">
        <v>850</v>
      </c>
      <c r="C17" s="2">
        <v>2</v>
      </c>
      <c r="D17" s="2">
        <v>7</v>
      </c>
      <c r="E17" s="2" t="s">
        <v>768</v>
      </c>
      <c r="F17" s="2" t="s">
        <v>749</v>
      </c>
      <c r="G17" s="2" t="s">
        <v>779</v>
      </c>
      <c r="H17" s="3" t="str">
        <f>IF('Pack BB2020'!$J$24="Español",T17,(IF('Pack BB2020'!$J$24="Deutsch",U17,(IF('Pack BB2020'!$J$24="Français",V17,S17)))))</f>
        <v>Placar, Solitario (4+), Golpe mortífero (+2), Mantenerse firme, Brazo fuerte, Cabeza dura, Lanzar compañero, ¡Árbol va!</v>
      </c>
      <c r="I17" s="3" t="str">
        <f>IF('Pack BB2020'!$J$24="Español",N17,(IF('Pack BB2020'!$J$24="Deutsch",O17,(IF('Pack BB2020'!$J$24="Italiano",Q17,(IF('Pack BB2020'!$J$24="Français",P17,M17)))))))</f>
        <v>Fiable: Si Deeproot falla en una acción de lanzar a un compañero, el jugador que iba a ser lanzado rebotará normalmente pero aterrizará automáticamente de forma segura.</v>
      </c>
      <c r="J17" s="1">
        <v>280000</v>
      </c>
      <c r="K17" s="1">
        <f t="shared" si="0"/>
        <v>0</v>
      </c>
      <c r="M17" s="19" t="s">
        <v>851</v>
      </c>
      <c r="N17" s="19" t="s">
        <v>852</v>
      </c>
      <c r="O17" s="19" t="s">
        <v>853</v>
      </c>
      <c r="P17" s="19" t="s">
        <v>854</v>
      </c>
      <c r="Q17" s="19" t="s">
        <v>1383</v>
      </c>
      <c r="R17" s="19"/>
      <c r="S17" s="19" t="s">
        <v>855</v>
      </c>
      <c r="T17" s="19" t="s">
        <v>856</v>
      </c>
      <c r="U17" s="19" t="s">
        <v>857</v>
      </c>
      <c r="V17" s="19" t="s">
        <v>858</v>
      </c>
      <c r="W17" s="19"/>
    </row>
    <row r="18" spans="1:23" ht="12.75" customHeight="1" x14ac:dyDescent="0.2">
      <c r="A18" s="9" t="s">
        <v>859</v>
      </c>
      <c r="B18" s="9" t="s">
        <v>860</v>
      </c>
      <c r="C18" s="2">
        <v>7</v>
      </c>
      <c r="D18" s="2">
        <v>4</v>
      </c>
      <c r="E18" s="2" t="s">
        <v>716</v>
      </c>
      <c r="F18" s="2" t="s">
        <v>728</v>
      </c>
      <c r="G18" s="2" t="s">
        <v>729</v>
      </c>
      <c r="H18" s="3" t="str">
        <f>IF('Pack BB2020'!$J$24="Español",T18,(IF('Pack BB2020'!$J$24="Deutsch",U18,(IF('Pack BB2020'!$J$24="Français",V18,S18)))))</f>
        <v>Placar, Esquivar, Zafarse, Solitario (3+), Esprintar, Pies firmes</v>
      </c>
      <c r="I18" s="3" t="str">
        <f>IF('Pack BB2020'!$J$24="Español",N18,(IF('Pack BB2020'!$J$24="Deutsch",O18,(IF('Pack BB2020'!$J$24="Italiano",Q18,(IF('Pack BB2020'!$J$24="Français",P18,M18)))))))</f>
        <v>Profesional consumado: Una vez por partido, Griff puede volver a lanzar un dado que se haya tirado como una sola tirada, como parte de una tirada múltiple o como parte de un grupo de dados (no puede ser un dado que se haya tirado como parte de una tirada de Armadura o Herida)</v>
      </c>
      <c r="J18" s="1">
        <v>280000</v>
      </c>
      <c r="K18" s="1">
        <f t="shared" si="0"/>
        <v>0</v>
      </c>
      <c r="M18" s="19" t="s">
        <v>861</v>
      </c>
      <c r="N18" s="19" t="s">
        <v>862</v>
      </c>
      <c r="O18" s="19" t="s">
        <v>863</v>
      </c>
      <c r="P18" s="19" t="s">
        <v>864</v>
      </c>
      <c r="Q18" s="19" t="s">
        <v>1384</v>
      </c>
      <c r="R18" s="19"/>
      <c r="S18" s="19" t="s">
        <v>865</v>
      </c>
      <c r="T18" s="19" t="s">
        <v>866</v>
      </c>
      <c r="U18" s="19" t="s">
        <v>867</v>
      </c>
      <c r="V18" s="19" t="s">
        <v>868</v>
      </c>
      <c r="W18" s="19"/>
    </row>
    <row r="19" spans="1:23" ht="12.75" customHeight="1" x14ac:dyDescent="0.2">
      <c r="A19" s="9" t="s">
        <v>869</v>
      </c>
      <c r="B19" s="9" t="s">
        <v>870</v>
      </c>
      <c r="C19" s="2">
        <v>4</v>
      </c>
      <c r="D19" s="2">
        <v>5</v>
      </c>
      <c r="E19" s="2" t="s">
        <v>749</v>
      </c>
      <c r="F19" s="2" t="s">
        <v>223</v>
      </c>
      <c r="G19" s="2" t="s">
        <v>750</v>
      </c>
      <c r="H19" s="3" t="str">
        <f>IF('Pack BB2020'!$J$24="Español",T19,(IF('Pack BB2020'!$J$24="Deutsch",U19,(IF('Pack BB2020'!$J$24="Français",V19,S19)))))</f>
        <v>Abrirse paso, Solitario (4+), Golpe mortífero (+1), Regeneración, Mantenerse firme, Cabeza dura</v>
      </c>
      <c r="I19" s="3" t="str">
        <f>IF('Pack BB2020'!$J$24="Español",N19,(IF('Pack BB2020'!$J$24="Deutsch",O19,(IF('Pack BB2020'!$J$24="Italiano",Q19,(IF('Pack BB2020'!$J$24="Français",P19,M19)))))))</f>
        <v>Placaje brutal: Una vez por partido, cuando Frank'n'Stein efectúe una tirada de Herida contra un oponente como resultado de un placaje, puede añadir un +1 adicional a la tirada, este modificador puede aplicarse después de hacer la tirada.</v>
      </c>
      <c r="J19" s="1">
        <v>250000</v>
      </c>
      <c r="K19" s="1">
        <f t="shared" si="0"/>
        <v>0</v>
      </c>
      <c r="M19" s="19" t="s">
        <v>871</v>
      </c>
      <c r="N19" s="19" t="s">
        <v>1386</v>
      </c>
      <c r="O19" s="19" t="s">
        <v>872</v>
      </c>
      <c r="P19" s="19" t="s">
        <v>873</v>
      </c>
      <c r="Q19" s="19" t="s">
        <v>1385</v>
      </c>
      <c r="R19" s="19"/>
      <c r="S19" s="19" t="s">
        <v>874</v>
      </c>
      <c r="T19" s="19" t="s">
        <v>875</v>
      </c>
      <c r="U19" s="19" t="s">
        <v>876</v>
      </c>
      <c r="V19" s="19" t="s">
        <v>877</v>
      </c>
      <c r="W19" s="19"/>
    </row>
    <row r="20" spans="1:23" ht="12.75" customHeight="1" x14ac:dyDescent="0.2">
      <c r="A20" s="9" t="s">
        <v>878</v>
      </c>
      <c r="B20" s="9" t="s">
        <v>879</v>
      </c>
      <c r="C20" s="2">
        <v>6</v>
      </c>
      <c r="D20" s="2">
        <v>3</v>
      </c>
      <c r="E20" s="2" t="s">
        <v>749</v>
      </c>
      <c r="F20" s="2" t="s">
        <v>749</v>
      </c>
      <c r="G20" s="2" t="s">
        <v>729</v>
      </c>
      <c r="H20" s="3" t="str">
        <f>IF('Pack BB2020'!$J$24="Español",T20,(IF('Pack BB2020'!$J$24="Deutsch",U20,(IF('Pack BB2020'!$J$24="Français",V20,S20)))))</f>
        <v>Precisión, Solitario (4+), Nervios de acero, Pasar, Regeneración, Manos seguras, Cabeza dura</v>
      </c>
      <c r="I20" s="3" t="str">
        <f>IF('Pack BB2020'!$J$24="Español",N20,(IF('Pack BB2020'!$J$24="Deutsch",O20,(IF('Pack BB2020'!$J$24="Italiano",Q20,(IF('Pack BB2020'!$J$24="Français",P20,M20)))))))</f>
        <v>Fuerte juego de pases: Una vez por partido, después de hacer una tirada de habilidad de pase para realizar un pase, Skrull puede elegir modificar la tirada de dados añadiendo su característica de fuerza.</v>
      </c>
      <c r="J20" s="1">
        <v>150000</v>
      </c>
      <c r="K20" s="1">
        <f t="shared" si="0"/>
        <v>0</v>
      </c>
      <c r="M20" s="19" t="s">
        <v>880</v>
      </c>
      <c r="N20" s="19" t="s">
        <v>881</v>
      </c>
      <c r="O20" s="19" t="s">
        <v>882</v>
      </c>
      <c r="P20" s="19" t="s">
        <v>883</v>
      </c>
      <c r="Q20" s="19" t="s">
        <v>1387</v>
      </c>
      <c r="R20" s="19"/>
      <c r="S20" s="19" t="s">
        <v>884</v>
      </c>
      <c r="T20" s="19" t="s">
        <v>885</v>
      </c>
      <c r="U20" s="19" t="s">
        <v>886</v>
      </c>
      <c r="V20" s="19" t="s">
        <v>887</v>
      </c>
      <c r="W20" s="19"/>
    </row>
    <row r="21" spans="1:23" ht="12.75" customHeight="1" x14ac:dyDescent="0.2">
      <c r="A21" s="9" t="s">
        <v>888</v>
      </c>
      <c r="B21" s="9" t="s">
        <v>889</v>
      </c>
      <c r="C21" s="2">
        <v>7</v>
      </c>
      <c r="D21" s="2">
        <v>2</v>
      </c>
      <c r="E21" s="2" t="s">
        <v>716</v>
      </c>
      <c r="F21" s="2" t="s">
        <v>716</v>
      </c>
      <c r="G21" s="2" t="s">
        <v>790</v>
      </c>
      <c r="H21" s="3" t="str">
        <f>IF('Pack BB2020'!$J$24="Español",T21,(IF('Pack BB2020'!$J$24="Deutsch",U21,(IF('Pack BB2020'!$J$24="Français",V21,S21)))))</f>
        <v>Precisión, Esquivar, Solitario (3+), Pasar, Echarse a un lado, Manos seguras</v>
      </c>
      <c r="I21" s="3" t="str">
        <f>IF('Pack BB2020'!$J$24="Español",N21,(IF('Pack BB2020'!$J$24="Deutsch",O21,(IF('Pack BB2020'!$J$24="Italiano",Q21,(IF('Pack BB2020'!$J$24="Français",P21,M21)))))))</f>
        <v>Disparo a la nada: Una vez por partido, cuando Gloriel realiza una acción de pase, puede ganar la habilidad de Pase a lo loco. Debes declarar que esta regla especial se usa en el momento que Gloriel es activado.</v>
      </c>
      <c r="J21" s="1">
        <v>150000</v>
      </c>
      <c r="K21" s="1">
        <f t="shared" si="0"/>
        <v>0</v>
      </c>
      <c r="M21" s="19" t="s">
        <v>890</v>
      </c>
      <c r="N21" s="19" t="s">
        <v>891</v>
      </c>
      <c r="O21" s="19" t="s">
        <v>892</v>
      </c>
      <c r="P21" s="19" t="s">
        <v>893</v>
      </c>
      <c r="Q21" s="19" t="s">
        <v>1388</v>
      </c>
      <c r="R21" s="19"/>
      <c r="S21" s="19" t="s">
        <v>894</v>
      </c>
      <c r="T21" s="19" t="s">
        <v>895</v>
      </c>
      <c r="U21" s="19" t="s">
        <v>896</v>
      </c>
      <c r="V21" s="19" t="s">
        <v>897</v>
      </c>
      <c r="W21" s="19"/>
    </row>
    <row r="22" spans="1:23" ht="12.75" customHeight="1" x14ac:dyDescent="0.2">
      <c r="A22" s="9" t="s">
        <v>898</v>
      </c>
      <c r="B22" s="9" t="s">
        <v>899</v>
      </c>
      <c r="C22" s="2">
        <v>5</v>
      </c>
      <c r="D22" s="2">
        <v>4</v>
      </c>
      <c r="E22" s="2" t="s">
        <v>728</v>
      </c>
      <c r="F22" s="2" t="s">
        <v>717</v>
      </c>
      <c r="G22" s="2" t="s">
        <v>729</v>
      </c>
      <c r="H22" s="3" t="str">
        <f>IF('Pack BB2020'!$J$24="Español",T22,(IF('Pack BB2020'!$J$24="Deutsch",U22,(IF('Pack BB2020'!$J$24="Français",V22,S22)))))</f>
        <v>Agallas, Solitario (4+), Echarse a un lado, Cabeza dura</v>
      </c>
      <c r="I22" s="3" t="str">
        <f>IF('Pack BB2020'!$J$24="Español",N22,(IF('Pack BB2020'!$J$24="Deutsch",O22,(IF('Pack BB2020'!$J$24="Italiano",Q22,(IF('Pack BB2020'!$J$24="Français",P22,M22)))))))</f>
        <v>Indomable: Una vez por partido, cuando Willow lanza con éxito para usar su habilidad Agallas, puede aumentar su característica de fuerza para doblar la del objetivo nominado en su acción de Bloqueo</v>
      </c>
      <c r="J22" s="1">
        <v>150000</v>
      </c>
      <c r="K22" s="1">
        <f t="shared" si="0"/>
        <v>0</v>
      </c>
      <c r="M22" s="19" t="s">
        <v>900</v>
      </c>
      <c r="N22" s="19" t="s">
        <v>901</v>
      </c>
      <c r="O22" s="19" t="s">
        <v>902</v>
      </c>
      <c r="P22" s="19" t="s">
        <v>903</v>
      </c>
      <c r="Q22" s="19" t="s">
        <v>1389</v>
      </c>
      <c r="R22" s="19"/>
      <c r="S22" s="19" t="s">
        <v>904</v>
      </c>
      <c r="T22" s="19" t="s">
        <v>905</v>
      </c>
      <c r="U22" s="19" t="s">
        <v>906</v>
      </c>
      <c r="V22" s="19" t="s">
        <v>907</v>
      </c>
      <c r="W22" s="19"/>
    </row>
    <row r="23" spans="1:23" ht="12.75" customHeight="1" x14ac:dyDescent="0.2">
      <c r="A23" s="9" t="s">
        <v>908</v>
      </c>
      <c r="B23" s="9" t="s">
        <v>909</v>
      </c>
      <c r="C23" s="2">
        <v>8</v>
      </c>
      <c r="D23" s="2">
        <v>3</v>
      </c>
      <c r="E23" s="2" t="s">
        <v>716</v>
      </c>
      <c r="F23" s="2" t="s">
        <v>768</v>
      </c>
      <c r="G23" s="2" t="s">
        <v>790</v>
      </c>
      <c r="H23" s="3" t="str">
        <f>IF('Pack BB2020'!$J$24="Español",T23,(IF('Pack BB2020'!$J$24="Deutsch",U23,(IF('Pack BB2020'!$J$24="Français",V23,S23)))))</f>
        <v>Atrapar, Esquivar, Mirada hipnótica, Solitario (4+), Nervios de acero, Atento al balón</v>
      </c>
      <c r="I23" s="3" t="str">
        <f>IF('Pack BB2020'!$J$24="Español",N23,(IF('Pack BB2020'!$J$24="Deutsch",O23,(IF('Pack BB2020'!$J$24="Italiano",Q23,(IF('Pack BB2020'!$J$24="Français",P23,M23)))))))</f>
        <v>Danza hipnotizante: Una vez por partido, Eldril puede repetir una tirada de agilidad fallida al intentar usar el rasgo de Mirada hipnótica.</v>
      </c>
      <c r="J23" s="1">
        <v>230000</v>
      </c>
      <c r="K23" s="1">
        <f t="shared" si="0"/>
        <v>0</v>
      </c>
      <c r="M23" s="19" t="s">
        <v>910</v>
      </c>
      <c r="N23" s="19" t="s">
        <v>911</v>
      </c>
      <c r="O23" s="19" t="s">
        <v>912</v>
      </c>
      <c r="P23" s="19" t="s">
        <v>913</v>
      </c>
      <c r="Q23" s="19" t="s">
        <v>1390</v>
      </c>
      <c r="R23" s="19"/>
      <c r="S23" s="19" t="s">
        <v>914</v>
      </c>
      <c r="T23" s="19" t="s">
        <v>915</v>
      </c>
      <c r="U23" s="19" t="s">
        <v>916</v>
      </c>
      <c r="V23" s="19" t="s">
        <v>917</v>
      </c>
      <c r="W23" s="19"/>
    </row>
    <row r="24" spans="1:23" ht="12.75" customHeight="1" x14ac:dyDescent="0.2">
      <c r="A24" s="9" t="s">
        <v>918</v>
      </c>
      <c r="B24" s="9" t="s">
        <v>919</v>
      </c>
      <c r="C24" s="2">
        <v>5</v>
      </c>
      <c r="D24" s="2">
        <v>5</v>
      </c>
      <c r="E24" s="2" t="s">
        <v>749</v>
      </c>
      <c r="F24" s="2" t="s">
        <v>768</v>
      </c>
      <c r="G24" s="2" t="s">
        <v>750</v>
      </c>
      <c r="H24" s="3" t="str">
        <f>IF('Pack BB2020'!$J$24="Español",T24,(IF('Pack BB2020'!$J$24="Deutsch",U24,(IF('Pack BB2020'!$J$24="Français",V24,S24)))))</f>
        <v>Presencia perturbadora, Imparable, Solitario (4+), Golpe mortífero (+1), Cola prensil, Regeneración, Pies firmes</v>
      </c>
      <c r="I24" s="3" t="str">
        <f>IF('Pack BB2020'!$J$24="Español",N24,(IF('Pack BB2020'!$J$24="Deutsch",O24,(IF('Pack BB2020'!$J$24="Italiano",Q24,(IF('Pack BB2020'!$J$24="Français",P24,M24)))))))</f>
        <v>Disculpa, ¿eres un Zoat?: Una vez por partido, cuando Zolcath es activado, puede obtener el rasgo de Mirada hipnótica. Debes declarar que esta regla especial se usa cuando Zolcath es activado</v>
      </c>
      <c r="J24" s="1">
        <v>230000</v>
      </c>
      <c r="K24" s="1">
        <f t="shared" si="0"/>
        <v>0</v>
      </c>
      <c r="M24" s="19" t="s">
        <v>920</v>
      </c>
      <c r="N24" s="19" t="s">
        <v>921</v>
      </c>
      <c r="O24" s="19" t="s">
        <v>922</v>
      </c>
      <c r="P24" s="19" t="s">
        <v>923</v>
      </c>
      <c r="Q24" s="19" t="s">
        <v>1391</v>
      </c>
      <c r="R24" s="19"/>
      <c r="S24" s="19" t="s">
        <v>924</v>
      </c>
      <c r="T24" s="19" t="s">
        <v>925</v>
      </c>
      <c r="U24" s="19" t="s">
        <v>926</v>
      </c>
      <c r="V24" s="19" t="s">
        <v>927</v>
      </c>
      <c r="W24" s="19"/>
    </row>
    <row r="25" spans="1:23" ht="12.75" customHeight="1" x14ac:dyDescent="0.2">
      <c r="A25" s="9" t="s">
        <v>928</v>
      </c>
      <c r="B25" s="9" t="s">
        <v>929</v>
      </c>
      <c r="C25" s="2">
        <v>8</v>
      </c>
      <c r="D25" s="2">
        <v>3</v>
      </c>
      <c r="E25" s="2" t="s">
        <v>930</v>
      </c>
      <c r="F25" s="2" t="s">
        <v>749</v>
      </c>
      <c r="G25" s="2" t="s">
        <v>790</v>
      </c>
      <c r="H25" s="3" t="str">
        <f>IF('Pack BB2020'!$J$24="Español",T25,(IF('Pack BB2020'!$J$24="Deutsch",U25,(IF('Pack BB2020'!$J$24="Français",V25,S25)))))</f>
        <v>Esquivar, Imparable, Furia, En pie de un salto, Saltar, Solitario (4+)</v>
      </c>
      <c r="I25" s="3" t="str">
        <f>IF('Pack BB2020'!$J$24="Español",N25,(IF('Pack BB2020'!$J$24="Deutsch",O25,(IF('Pack BB2020'!$J$24="Italiano",Q25,(IF('Pack BB2020'!$J$24="Français",P25,M25)))))))</f>
        <v>Ráfaga de velocidad: Una vez por partido, Roxanna puede intentar esprintar tres veces, en lugar de las dos habituales. Puedes declarar que estás usando esta regla especial después de que Roxanna se haya esprintado dos veces</v>
      </c>
      <c r="J25" s="1">
        <v>270000</v>
      </c>
      <c r="K25" s="1">
        <f t="shared" si="0"/>
        <v>0</v>
      </c>
      <c r="M25" s="19" t="s">
        <v>931</v>
      </c>
      <c r="N25" s="19" t="s">
        <v>932</v>
      </c>
      <c r="O25" s="19" t="s">
        <v>933</v>
      </c>
      <c r="P25" s="19" t="s">
        <v>934</v>
      </c>
      <c r="Q25" s="19" t="s">
        <v>1392</v>
      </c>
      <c r="R25" s="19"/>
      <c r="S25" s="19" t="s">
        <v>935</v>
      </c>
      <c r="T25" s="19" t="s">
        <v>936</v>
      </c>
      <c r="U25" s="19" t="s">
        <v>937</v>
      </c>
      <c r="V25" s="19" t="s">
        <v>938</v>
      </c>
      <c r="W25" s="19"/>
    </row>
    <row r="26" spans="1:23" ht="12.75" customHeight="1" x14ac:dyDescent="0.2">
      <c r="A26" s="9" t="s">
        <v>939</v>
      </c>
      <c r="B26" s="9" t="s">
        <v>940</v>
      </c>
      <c r="C26" s="2">
        <v>7</v>
      </c>
      <c r="D26" s="2">
        <v>3</v>
      </c>
      <c r="E26" s="2" t="s">
        <v>716</v>
      </c>
      <c r="F26" s="2" t="s">
        <v>768</v>
      </c>
      <c r="G26" s="2" t="s">
        <v>729</v>
      </c>
      <c r="H26" s="3" t="str">
        <f>IF('Pack BB2020'!$J$24="Español",T26,(IF('Pack BB2020'!$J$24="Deutsch",U26,(IF('Pack BB2020'!$J$24="Français",V26,S26)))))</f>
        <v>Placar, Solitario (4+), Golpe mortífero (+1), Placaje defensivo</v>
      </c>
      <c r="I26" s="3" t="str">
        <f>IF('Pack BB2020'!$J$24="Español",N26,(IF('Pack BB2020'!$J$24="Deutsch",O26,(IF('Pack BB2020'!$J$24="Italiano",Q26,(IF('Pack BB2020'!$J$24="Français",P26,M26)))))))</f>
        <v>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v>
      </c>
      <c r="J26" s="1">
        <v>340000</v>
      </c>
      <c r="K26" s="1">
        <f t="shared" si="0"/>
        <v>0</v>
      </c>
      <c r="M26" s="19" t="s">
        <v>941</v>
      </c>
      <c r="N26" s="19" t="s">
        <v>942</v>
      </c>
      <c r="O26" s="19" t="s">
        <v>943</v>
      </c>
      <c r="P26" s="19" t="s">
        <v>944</v>
      </c>
      <c r="Q26" s="19" t="s">
        <v>1393</v>
      </c>
      <c r="R26" s="19"/>
      <c r="S26" s="19" t="s">
        <v>945</v>
      </c>
      <c r="T26" s="19" t="s">
        <v>946</v>
      </c>
      <c r="U26" s="19" t="s">
        <v>947</v>
      </c>
      <c r="V26" s="19" t="s">
        <v>948</v>
      </c>
      <c r="W26" s="19"/>
    </row>
    <row r="27" spans="1:23" ht="12.75" customHeight="1" x14ac:dyDescent="0.2">
      <c r="A27" s="9" t="s">
        <v>949</v>
      </c>
      <c r="B27" s="9" t="s">
        <v>950</v>
      </c>
      <c r="C27" s="2">
        <v>7</v>
      </c>
      <c r="D27" s="2">
        <v>3</v>
      </c>
      <c r="E27" s="2" t="s">
        <v>716</v>
      </c>
      <c r="F27" s="2" t="s">
        <v>716</v>
      </c>
      <c r="G27" s="2" t="s">
        <v>790</v>
      </c>
      <c r="H27" s="3" t="str">
        <f>IF('Pack BB2020'!$J$24="Español",T27,(IF('Pack BB2020'!$J$24="Deutsch",U27,(IF('Pack BB2020'!$J$24="Français",V27,S27)))))</f>
        <v>Precisión, Solitario (4+), Nervios de acero, Pasar, Pase seguro, Manos seguras</v>
      </c>
      <c r="I27" s="3" t="str">
        <f>IF('Pack BB2020'!$J$24="Español",N27,(IF('Pack BB2020'!$J$24="Deutsch",O27,(IF('Pack BB2020'!$J$24="Italiano",Q27,(IF('Pack BB2020'!$J$24="Français",P27,M27)))))))</f>
        <v>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v>
      </c>
      <c r="J27" s="1">
        <v>0</v>
      </c>
      <c r="K27" s="1">
        <f t="shared" si="0"/>
        <v>0</v>
      </c>
      <c r="M27" s="19" t="s">
        <v>941</v>
      </c>
      <c r="N27" s="19" t="s">
        <v>942</v>
      </c>
      <c r="O27" s="19" t="s">
        <v>943</v>
      </c>
      <c r="P27" s="19" t="s">
        <v>944</v>
      </c>
      <c r="Q27" s="19" t="s">
        <v>1393</v>
      </c>
      <c r="R27" s="19"/>
      <c r="S27" s="19" t="s">
        <v>951</v>
      </c>
      <c r="T27" s="19" t="s">
        <v>952</v>
      </c>
      <c r="U27" s="19" t="s">
        <v>953</v>
      </c>
      <c r="V27" s="19" t="s">
        <v>954</v>
      </c>
      <c r="W27" s="19"/>
    </row>
    <row r="28" spans="1:23" ht="12.75" customHeight="1" x14ac:dyDescent="0.2">
      <c r="A28" s="9" t="s">
        <v>955</v>
      </c>
      <c r="B28" s="9" t="s">
        <v>956</v>
      </c>
      <c r="C28" s="2">
        <v>5</v>
      </c>
      <c r="D28" s="2">
        <v>5</v>
      </c>
      <c r="E28" s="2" t="s">
        <v>728</v>
      </c>
      <c r="F28" s="2" t="s">
        <v>768</v>
      </c>
      <c r="G28" s="2" t="s">
        <v>750</v>
      </c>
      <c r="H28" s="3" t="str">
        <f>IF('Pack BB2020'!$J$24="Español",T28,(IF('Pack BB2020'!$J$24="Deutsch",U28,(IF('Pack BB2020'!$J$24="Français",V28,S28)))))</f>
        <v>Placar, Juego sucio (+2), Solitario (+4), Golpe mortífero (+1), Rastrero</v>
      </c>
      <c r="I28" s="3" t="str">
        <f>IF('Pack BB2020'!$J$24="Español",N28,(IF('Pack BB2020'!$J$24="Deutsch",O28,(IF('Pack BB2020'!$J$24="Italiano",Q28,(IF('Pack BB2020'!$J$24="Français",P28,M28)))))))</f>
        <v>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v>
      </c>
      <c r="J28" s="1">
        <v>260000</v>
      </c>
      <c r="K28" s="1">
        <f t="shared" si="0"/>
        <v>0</v>
      </c>
      <c r="M28" s="19" t="s">
        <v>957</v>
      </c>
      <c r="N28" s="19" t="s">
        <v>958</v>
      </c>
      <c r="O28" s="19" t="s">
        <v>959</v>
      </c>
      <c r="P28" s="19" t="s">
        <v>960</v>
      </c>
      <c r="Q28" s="19" t="s">
        <v>1394</v>
      </c>
      <c r="R28" s="19"/>
      <c r="S28" s="19" t="s">
        <v>961</v>
      </c>
      <c r="T28" s="19" t="s">
        <v>962</v>
      </c>
      <c r="U28" s="19" t="s">
        <v>963</v>
      </c>
      <c r="V28" s="19" t="s">
        <v>964</v>
      </c>
      <c r="W28" s="19"/>
    </row>
    <row r="29" spans="1:23" ht="12.75" customHeight="1" x14ac:dyDescent="0.2">
      <c r="A29" s="14" t="s">
        <v>965</v>
      </c>
      <c r="B29" s="9" t="s">
        <v>966</v>
      </c>
      <c r="C29" s="2">
        <v>5</v>
      </c>
      <c r="D29" s="2">
        <v>3</v>
      </c>
      <c r="E29" s="2" t="s">
        <v>749</v>
      </c>
      <c r="F29" s="2" t="s">
        <v>223</v>
      </c>
      <c r="G29" s="2" t="s">
        <v>729</v>
      </c>
      <c r="H29" s="3" t="str">
        <f>IF('Pack BB2020'!$J$24="Español",T29,(IF('Pack BB2020'!$J$24="Deutsch",U29,(IF('Pack BB2020'!$J$24="Français",V29,S29)))))</f>
        <v>Motosierra, Solitario (4+), Regeneración, Arma secreta, Mantenerse firme, Cabeza dura</v>
      </c>
      <c r="I29" s="3" t="str">
        <f>IF('Pack BB2020'!$J$24="Español",N29,(IF('Pack BB2020'!$J$24="Deutsch",O29,(IF('Pack BB2020'!$J$24="Italiano",Q29,(IF('Pack BB2020'!$J$24="Français",P29,M29)))))))</f>
        <v>Llamas fantasmales: Una vez por parte, cuando Bryce hace la acción especial de Ataque con Motosierra como parte de una acción Penetración, puede añadir +4 a la tirada de Armadura contra el oponente en lugar de +3</v>
      </c>
      <c r="J29" s="1">
        <v>130000</v>
      </c>
      <c r="K29" s="1">
        <f t="shared" si="0"/>
        <v>0</v>
      </c>
      <c r="M29" s="19" t="s">
        <v>967</v>
      </c>
      <c r="N29" s="19" t="s">
        <v>968</v>
      </c>
      <c r="O29" s="19" t="s">
        <v>969</v>
      </c>
      <c r="P29" s="19" t="s">
        <v>970</v>
      </c>
      <c r="Q29" s="19" t="s">
        <v>1395</v>
      </c>
      <c r="R29" s="19"/>
      <c r="S29" s="19" t="s">
        <v>971</v>
      </c>
      <c r="T29" s="19" t="s">
        <v>972</v>
      </c>
      <c r="U29" s="19" t="s">
        <v>973</v>
      </c>
      <c r="V29" s="19" t="s">
        <v>974</v>
      </c>
      <c r="W29" s="19"/>
    </row>
    <row r="30" spans="1:23" ht="12.75" customHeight="1" x14ac:dyDescent="0.2">
      <c r="A30" s="9" t="s">
        <v>975</v>
      </c>
      <c r="B30" s="9" t="s">
        <v>976</v>
      </c>
      <c r="C30" s="2">
        <v>8</v>
      </c>
      <c r="D30" s="2">
        <v>4</v>
      </c>
      <c r="E30" s="2" t="s">
        <v>728</v>
      </c>
      <c r="F30" s="2" t="s">
        <v>749</v>
      </c>
      <c r="G30" s="2" t="s">
        <v>729</v>
      </c>
      <c r="H30" s="3" t="str">
        <f>IF('Pack BB2020'!$J$24="Español",T30,(IF('Pack BB2020'!$J$24="Deutsch",U30,(IF('Pack BB2020'!$J$24="Français",V30,S30)))))</f>
        <v>Atrapar, Garras, Furia, Solitario (4+), Regeneración, Forcejear</v>
      </c>
      <c r="I30" s="3" t="str">
        <f>IF('Pack BB2020'!$J$24="Español",N30,(IF('Pack BB2020'!$J$24="Deutsch",O30,(IF('Pack BB2020'!$J$24="Italiano",Q30,(IF('Pack BB2020'!$J$24="Français",P30,M30)))))))</f>
        <v>Auyido salvaje: Una vez por partido, cuando Wilhelm hace una tirada de lesión contra un jugador contrario, puede elegir volver a tirar el resultado</v>
      </c>
      <c r="J30" s="1">
        <v>220000</v>
      </c>
      <c r="K30" s="1">
        <f t="shared" si="0"/>
        <v>0</v>
      </c>
      <c r="M30" s="19" t="s">
        <v>977</v>
      </c>
      <c r="N30" s="19" t="s">
        <v>978</v>
      </c>
      <c r="O30" s="19" t="s">
        <v>979</v>
      </c>
      <c r="P30" s="19" t="s">
        <v>980</v>
      </c>
      <c r="Q30" s="19" t="s">
        <v>1396</v>
      </c>
      <c r="R30" s="19"/>
      <c r="S30" s="19" t="s">
        <v>981</v>
      </c>
      <c r="T30" s="19" t="s">
        <v>982</v>
      </c>
      <c r="U30" s="19" t="s">
        <v>983</v>
      </c>
      <c r="V30" s="19" t="s">
        <v>984</v>
      </c>
      <c r="W30" s="19"/>
    </row>
    <row r="31" spans="1:23" ht="12.75" customHeight="1" x14ac:dyDescent="0.2">
      <c r="A31" s="9" t="s">
        <v>985</v>
      </c>
      <c r="B31" s="9" t="s">
        <v>986</v>
      </c>
      <c r="C31" s="2">
        <v>7</v>
      </c>
      <c r="D31" s="2">
        <v>3</v>
      </c>
      <c r="E31" s="2" t="s">
        <v>716</v>
      </c>
      <c r="F31" s="2" t="s">
        <v>223</v>
      </c>
      <c r="G31" s="2" t="s">
        <v>729</v>
      </c>
      <c r="H31" s="3" t="str">
        <f>IF('Pack BB2020'!$J$24="Español",T31,(IF('Pack BB2020'!$J$24="Deutsch",U31,(IF('Pack BB2020'!$J$24="Français",V31,S31)))))</f>
        <v>Presencia perturbadora, Esquivar, Apariencia asquerosa, En pie de un salto, Solitario (4+), Sin manos, Regeneración, Perseguir, Echarse a un lado</v>
      </c>
      <c r="I31" s="3" t="str">
        <f>IF('Pack BB2020'!$J$24="Español",N31,(IF('Pack BB2020'!$J$24="Deutsch",O31,(IF('Pack BB2020'!$J$24="Italiano",Q31,(IF('Pack BB2020'!$J$24="Français",P31,M31)))))))</f>
        <v>Incorporal: Una vez por partido, después de hacer una tirada de agilidad para esquivar, Gretchen puede elegir modificar la tirada de los dados añadiendo su característica de fuerza.</v>
      </c>
      <c r="J31" s="1">
        <v>260000</v>
      </c>
      <c r="K31" s="1">
        <f t="shared" si="0"/>
        <v>0</v>
      </c>
      <c r="M31" s="19" t="s">
        <v>987</v>
      </c>
      <c r="N31" s="19" t="s">
        <v>988</v>
      </c>
      <c r="O31" s="19" t="s">
        <v>989</v>
      </c>
      <c r="P31" s="19" t="s">
        <v>990</v>
      </c>
      <c r="Q31" s="19" t="s">
        <v>1397</v>
      </c>
      <c r="R31" s="19"/>
      <c r="S31" s="19" t="s">
        <v>991</v>
      </c>
      <c r="T31" s="19" t="s">
        <v>992</v>
      </c>
      <c r="U31" s="19" t="s">
        <v>993</v>
      </c>
      <c r="V31" s="19" t="s">
        <v>994</v>
      </c>
      <c r="W31" s="19"/>
    </row>
    <row r="32" spans="1:23" ht="12.75" customHeight="1" x14ac:dyDescent="0.2">
      <c r="A32" s="9" t="s">
        <v>995</v>
      </c>
      <c r="B32" s="9" t="s">
        <v>996</v>
      </c>
      <c r="C32" s="2">
        <v>4</v>
      </c>
      <c r="D32" s="2">
        <v>5</v>
      </c>
      <c r="E32" s="2" t="s">
        <v>749</v>
      </c>
      <c r="F32" s="2" t="s">
        <v>717</v>
      </c>
      <c r="G32" s="2" t="s">
        <v>750</v>
      </c>
      <c r="H32" s="3" t="str">
        <f>IF('Pack BB2020'!$J$24="Español",T32,(IF('Pack BB2020'!$J$24="Deutsch",U32,(IF('Pack BB2020'!$J$24="Français",V32,S32)))))</f>
        <v>Placar, Solitario (4+), Golpe mortífero (+1)</v>
      </c>
      <c r="I32" s="3" t="str">
        <f>IF('Pack BB2020'!$J$24="Español",N32,(IF('Pack BB2020'!$J$24="Deutsch",O32,(IF('Pack BB2020'!$J$24="Italiano",Q32,(IF('Pack BB2020'!$J$24="Français",P32,M32)))))))</f>
        <v>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v>
      </c>
      <c r="J32" s="1">
        <v>220000</v>
      </c>
      <c r="K32" s="1">
        <f t="shared" si="0"/>
        <v>0</v>
      </c>
      <c r="M32" s="19" t="s">
        <v>997</v>
      </c>
      <c r="N32" s="19" t="s">
        <v>998</v>
      </c>
      <c r="O32" s="19" t="s">
        <v>999</v>
      </c>
      <c r="P32" s="19" t="s">
        <v>1000</v>
      </c>
      <c r="Q32" s="19" t="s">
        <v>1398</v>
      </c>
      <c r="R32" s="19"/>
      <c r="S32" s="19" t="s">
        <v>1001</v>
      </c>
      <c r="T32" s="19" t="s">
        <v>1002</v>
      </c>
      <c r="U32" s="19" t="s">
        <v>1003</v>
      </c>
      <c r="V32" s="19" t="s">
        <v>1004</v>
      </c>
      <c r="W32" s="19"/>
    </row>
    <row r="33" spans="1:30" ht="12.75" customHeight="1" x14ac:dyDescent="0.2">
      <c r="A33" s="9" t="s">
        <v>1005</v>
      </c>
      <c r="B33" s="9" t="s">
        <v>1006</v>
      </c>
      <c r="C33" s="9">
        <v>6</v>
      </c>
      <c r="D33" s="9">
        <v>6</v>
      </c>
      <c r="E33" s="9" t="s">
        <v>749</v>
      </c>
      <c r="F33" s="9" t="s">
        <v>223</v>
      </c>
      <c r="G33" s="9" t="s">
        <v>729</v>
      </c>
      <c r="H33" s="3" t="str">
        <f>IF('Pack BB2020'!$J$24="Español",T33,(IF('Pack BB2020'!$J$24="Deutsch",U33,(IF('Pack BB2020'!$J$24="Français",V33,S33)))))</f>
        <v>Furia, Cuernos, Solitario (4+), Golpe Mortífero (+1), Cabeza Dura, Ira Descontrolada</v>
      </c>
      <c r="I33" s="3" t="str">
        <f>IF('Pack BB2020'!$J$24="Español",N33,(IF('Pack BB2020'!$J$24="Deutsch",O33,(IF('Pack BB2020'!$J$24="Italiano",Q33,(IF('Pack BB2020'!$J$24="Français",P33,M33)))))))</f>
        <v>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v>
      </c>
      <c r="J33" s="16">
        <v>240000</v>
      </c>
      <c r="K33" s="1">
        <f t="shared" si="0"/>
        <v>0</v>
      </c>
      <c r="L33" s="8"/>
      <c r="M33" s="20" t="s">
        <v>1007</v>
      </c>
      <c r="N33" s="20" t="s">
        <v>1008</v>
      </c>
      <c r="O33" s="19" t="s">
        <v>1009</v>
      </c>
      <c r="P33" s="19" t="s">
        <v>1010</v>
      </c>
      <c r="Q33" s="19" t="s">
        <v>1399</v>
      </c>
      <c r="R33" s="19"/>
      <c r="S33" s="19" t="s">
        <v>1011</v>
      </c>
      <c r="T33" s="19" t="s">
        <v>1012</v>
      </c>
      <c r="U33" s="19" t="s">
        <v>1013</v>
      </c>
      <c r="V33" s="19" t="s">
        <v>1014</v>
      </c>
      <c r="W33" s="19"/>
    </row>
    <row r="34" spans="1:30" ht="12.75" customHeight="1" x14ac:dyDescent="0.2">
      <c r="A34" s="9" t="s">
        <v>1015</v>
      </c>
      <c r="B34" s="9" t="s">
        <v>1016</v>
      </c>
      <c r="C34" s="9">
        <v>5</v>
      </c>
      <c r="D34" s="9">
        <v>5</v>
      </c>
      <c r="E34" s="9" t="s">
        <v>749</v>
      </c>
      <c r="F34" s="9" t="s">
        <v>223</v>
      </c>
      <c r="G34" s="9" t="s">
        <v>750</v>
      </c>
      <c r="H34" s="3" t="str">
        <f>IF('Pack BB2020'!$J$24="Español",T34,(IF('Pack BB2020'!$J$24="Deutsch",U34,(IF('Pack BB2020'!$J$24="Français",V34,S34)))))</f>
        <v>Garras, Furia, Solitario (4+), Golpe Mortífero (+1), Cola Prensil, Cabeza Dura, Ira Descontrolada</v>
      </c>
      <c r="I34" s="3" t="str">
        <f>IF('Pack BB2020'!$J$24="Español",N34,(IF('Pack BB2020'!$J$24="Deutsch",O34,(IF('Pack BB2020'!$J$24="Italiano",Q34,(IF('Pack BB2020'!$J$24="Français",P34,M34)))))))</f>
        <v>Furia del Dios de la Sangre: Una vez por partida, si Scyla saca un 1 en su tirada de Ira Descontrolada tras declarar una acción de Placar, en lugar de aplicar los efectos habituales de Ira Descontrolada, Scyla puede realizar dos acciones de Placar en su lugar.</v>
      </c>
      <c r="J34" s="16">
        <v>200000</v>
      </c>
      <c r="K34" s="1">
        <f t="shared" si="0"/>
        <v>0</v>
      </c>
      <c r="L34" s="8"/>
      <c r="M34" s="20" t="s">
        <v>1017</v>
      </c>
      <c r="N34" s="20" t="s">
        <v>1018</v>
      </c>
      <c r="O34" s="19" t="s">
        <v>1019</v>
      </c>
      <c r="P34" s="19" t="s">
        <v>1020</v>
      </c>
      <c r="Q34" s="19" t="s">
        <v>1400</v>
      </c>
      <c r="R34" s="19"/>
      <c r="S34" s="19" t="s">
        <v>1021</v>
      </c>
      <c r="T34" s="19" t="s">
        <v>1022</v>
      </c>
      <c r="U34" s="19" t="s">
        <v>1023</v>
      </c>
      <c r="V34" s="19" t="s">
        <v>1024</v>
      </c>
      <c r="W34" s="19"/>
    </row>
    <row r="35" spans="1:30" ht="12.75" customHeight="1" x14ac:dyDescent="0.2">
      <c r="A35" s="9" t="s">
        <v>1025</v>
      </c>
      <c r="B35" s="9" t="s">
        <v>1026</v>
      </c>
      <c r="C35" s="9">
        <v>5</v>
      </c>
      <c r="D35" s="9">
        <v>4</v>
      </c>
      <c r="E35" s="9" t="s">
        <v>749</v>
      </c>
      <c r="F35" s="9" t="s">
        <v>223</v>
      </c>
      <c r="G35" s="9" t="s">
        <v>729</v>
      </c>
      <c r="H35" s="3" t="str">
        <f>IF('Pack BB2020'!$J$24="Español",T35,(IF('Pack BB2020'!$J$24="Deutsch",U35,(IF('Pack BB2020'!$J$24="Français",V35,S35)))))</f>
        <v>Motosierra, Solitario (4+), Arma Secreta</v>
      </c>
      <c r="I35" s="3" t="str">
        <f>IF('Pack BB2020'!$J$24="Español",N35,(IF('Pack BB2020'!$J$24="Deutsch",O35,(IF('Pack BB2020'!$J$24="Italiano",Q35,(IF('Pack BB2020'!$J$24="Français",P35,M35)))))))</f>
        <v>Carnicería máxima: Una vez por partida, después de que Max realice una acción especial de ataque con motosierra, puede realizar inmediatamente otra acción especial de ataque con motosierra que tenga como objetivo a otro jugador rival.</v>
      </c>
      <c r="J35" s="16">
        <v>130000</v>
      </c>
      <c r="K35" s="1">
        <f t="shared" si="0"/>
        <v>0</v>
      </c>
      <c r="L35" s="8"/>
      <c r="M35" s="20" t="s">
        <v>1027</v>
      </c>
      <c r="N35" s="20" t="s">
        <v>1028</v>
      </c>
      <c r="O35" s="19" t="s">
        <v>1029</v>
      </c>
      <c r="P35" s="19" t="s">
        <v>1030</v>
      </c>
      <c r="Q35" s="19" t="s">
        <v>1401</v>
      </c>
      <c r="R35" s="19"/>
      <c r="S35" s="19" t="s">
        <v>1031</v>
      </c>
      <c r="T35" s="19" t="s">
        <v>1032</v>
      </c>
      <c r="U35" s="19" t="s">
        <v>1033</v>
      </c>
      <c r="V35" s="19" t="s">
        <v>1034</v>
      </c>
      <c r="W35" s="19"/>
    </row>
    <row r="36" spans="1:30" ht="12.75" customHeight="1" x14ac:dyDescent="0.2">
      <c r="A36" s="23" t="s">
        <v>1092</v>
      </c>
      <c r="B36" s="23" t="s">
        <v>1093</v>
      </c>
      <c r="C36" s="23">
        <v>5</v>
      </c>
      <c r="D36" s="23">
        <v>7</v>
      </c>
      <c r="E36" s="23" t="s">
        <v>749</v>
      </c>
      <c r="F36" s="23" t="s">
        <v>223</v>
      </c>
      <c r="G36" s="23" t="s">
        <v>750</v>
      </c>
      <c r="H36" s="3" t="str">
        <f>IF('Pack BB2020'!$J$24="Español",T36,(IF('Pack BB2020'!$J$24="Deutsch",U36,(IF('Pack BB2020'!$J$24="Français",V36,S36)))))</f>
        <v>Bola y cadena, Solitario (4+), Golpe mortífero (+1), Sin manos, Cola prensil, Arma secreta</v>
      </c>
      <c r="I36" s="3" t="str">
        <f>IF('Pack BB2020'!$J$24="Español",N36,(IF('Pack BB2020'!$J$24="Deutsch",O36,(IF('Pack BB2020'!$J$24="Italiano",Q36,(IF('Pack BB2020'!$J$24="Français",P36,M36)))))))</f>
        <v>Volveré: La primera vez que Kreek es expulsado en la partida debido a su arma secreta, no es expulsado y en su lugar puede continuar como parte del juego.</v>
      </c>
      <c r="J36" s="25">
        <v>170000</v>
      </c>
      <c r="K36" s="1">
        <f t="shared" si="0"/>
        <v>0</v>
      </c>
      <c r="L36" s="23"/>
      <c r="M36" s="22" t="s">
        <v>1094</v>
      </c>
      <c r="N36" t="s">
        <v>1095</v>
      </c>
      <c r="O36" t="s">
        <v>1096</v>
      </c>
      <c r="P36" t="s">
        <v>1097</v>
      </c>
      <c r="Q36" s="19" t="s">
        <v>1402</v>
      </c>
      <c r="R36" s="19"/>
      <c r="S36" s="19" t="s">
        <v>1098</v>
      </c>
      <c r="T36" s="19" t="s">
        <v>1099</v>
      </c>
      <c r="U36" s="19" t="s">
        <v>1129</v>
      </c>
      <c r="V36" s="19" t="s">
        <v>1128</v>
      </c>
      <c r="W36" s="23"/>
    </row>
    <row r="37" spans="1:30" ht="12.75" customHeight="1" x14ac:dyDescent="0.2">
      <c r="A37" s="23" t="s">
        <v>1100</v>
      </c>
      <c r="B37" s="23" t="s">
        <v>1101</v>
      </c>
      <c r="C37" s="23">
        <v>6</v>
      </c>
      <c r="D37" s="23">
        <v>3</v>
      </c>
      <c r="E37" s="23" t="s">
        <v>749</v>
      </c>
      <c r="F37" s="23" t="s">
        <v>728</v>
      </c>
      <c r="G37" s="23" t="s">
        <v>729</v>
      </c>
      <c r="H37" s="3" t="str">
        <f>IF('Pack BB2020'!$J$24="Español",T37,(IF('Pack BB2020'!$J$24="Deutsch",U37,(IF('Pack BB2020'!$J$24="Français",V37,S37)))))</f>
        <v>Pase a lo loco, Solitario (4+), Pasar, Arma secreta, Cañonero, Manos seguras, Cabeza dura</v>
      </c>
      <c r="I37" s="3" t="str">
        <f>IF('Pack BB2020'!$J$24="Español",N37,(IF('Pack BB2020'!$J$24="Deutsch",O37,(IF('Pack BB2020'!$J$24="Italiano",Q37,(IF('Pack BB2020'!$J$24="Français",P37,M37)))))))</f>
        <v>¡Pelotazo!: Una vez por partida, cuando Barik hace un Pase a lo loco, puede volver a tirar cualquier resultado de dispersión para determinar dónde cae el balón, y cualquier jugador amigo que intente atrapar el balón gana un modificador adicional de +1 a la tirada.</v>
      </c>
      <c r="J37" s="25">
        <v>80000</v>
      </c>
      <c r="K37" s="1">
        <f t="shared" si="0"/>
        <v>0</v>
      </c>
      <c r="L37" s="23"/>
      <c r="M37" s="19" t="s">
        <v>1102</v>
      </c>
      <c r="N37" s="19" t="s">
        <v>1103</v>
      </c>
      <c r="O37" s="19" t="s">
        <v>1104</v>
      </c>
      <c r="P37" s="19" t="s">
        <v>1105</v>
      </c>
      <c r="Q37" s="19" t="s">
        <v>1370</v>
      </c>
      <c r="R37" s="19"/>
      <c r="S37" s="22" t="s">
        <v>1417</v>
      </c>
      <c r="T37" s="22" t="s">
        <v>1418</v>
      </c>
      <c r="U37" s="22" t="s">
        <v>1541</v>
      </c>
      <c r="V37" s="22" t="s">
        <v>1419</v>
      </c>
      <c r="W37" s="24"/>
    </row>
    <row r="38" spans="1:30" ht="12.75" customHeight="1" x14ac:dyDescent="0.2">
      <c r="A38" s="9" t="s">
        <v>1106</v>
      </c>
      <c r="B38" s="9" t="s">
        <v>1108</v>
      </c>
      <c r="C38" s="9">
        <v>4</v>
      </c>
      <c r="D38" s="9">
        <v>7</v>
      </c>
      <c r="E38" s="9" t="s">
        <v>728</v>
      </c>
      <c r="F38" s="9" t="s">
        <v>223</v>
      </c>
      <c r="G38" s="9" t="s">
        <v>790</v>
      </c>
      <c r="H38" s="3" t="str">
        <f>IF('Pack BB2020'!$J$24="Español",T38,(IF('Pack BB2020'!$J$24="Deutsch",U38,(IF('Pack BB2020'!$J$24="Français",V38,S38)))))</f>
        <v>Bola y cadena, Golpe Mortífero (+1), Solitario (4+), Sin manos, Arma secreta, Escurridizo</v>
      </c>
      <c r="I38" s="3" t="str">
        <f>IF('Pack BB2020'!$J$24="Español",N38,(IF('Pack BB2020'!$J$24="Deutsch",O38,(IF('Pack BB2020'!$J$24="Italiano",Q38,(IF('Pack BB2020'!$J$24="Français",P38,M38)))))))</f>
        <v>Derviche giratorio: Una vez por activación, Fungus puede volver a tirar el D6 al determinar en qué dirección se mueve.</v>
      </c>
      <c r="J38" s="16">
        <v>80000</v>
      </c>
      <c r="K38" s="1">
        <f t="shared" si="0"/>
        <v>0</v>
      </c>
      <c r="L38" s="8"/>
      <c r="M38" s="20" t="s">
        <v>1110</v>
      </c>
      <c r="N38" t="s">
        <v>1121</v>
      </c>
      <c r="O38" s="19" t="s">
        <v>1120</v>
      </c>
      <c r="P38" s="19" t="s">
        <v>1119</v>
      </c>
      <c r="Q38" s="19" t="s">
        <v>1118</v>
      </c>
      <c r="R38" s="19"/>
      <c r="S38" s="19" t="s">
        <v>1109</v>
      </c>
      <c r="T38" s="19" t="s">
        <v>1122</v>
      </c>
      <c r="U38" s="19" t="s">
        <v>1126</v>
      </c>
      <c r="V38" s="19" t="s">
        <v>1127</v>
      </c>
      <c r="W38" s="19"/>
    </row>
    <row r="39" spans="1:30" ht="12.75" customHeight="1" x14ac:dyDescent="0.2">
      <c r="A39" s="9" t="s">
        <v>1107</v>
      </c>
      <c r="B39" s="9" t="s">
        <v>1111</v>
      </c>
      <c r="C39" s="9">
        <v>6</v>
      </c>
      <c r="D39" s="9">
        <v>2</v>
      </c>
      <c r="E39" s="9" t="s">
        <v>728</v>
      </c>
      <c r="F39" s="9" t="s">
        <v>728</v>
      </c>
      <c r="G39" s="9" t="s">
        <v>790</v>
      </c>
      <c r="H39" s="3" t="str">
        <f>IF('Pack BB2020'!$J$24="Español",T39,(IF('Pack BB2020'!$J$24="Deutsch",U39,(IF('Pack BB2020'!$J$24="Français",V39,S39)))))</f>
        <v>Precisión, Bombardero, Esquivar, Solitario (4+), Humanoide bala, Arma Secreta, Escurridizo</v>
      </c>
      <c r="I39" s="3" t="str">
        <f>IF('Pack BB2020'!$J$24="Español",N39,(IF('Pack BB2020'!$J$24="Deutsch",O39,(IF('Pack BB2020'!$J$24="Italiano",Q39,(IF('Pack BB2020'!$J$24="Français",P39,M39)))))))</f>
        <v>¡Kaboom!: Una vez por partida, si un jugador rival atrapa una bomba lanzada por el Bomber, puedes elegir que explote inmediatamente en lugar de tirar para ver si el jugador puede volver a lanzarla.</v>
      </c>
      <c r="J39" s="16">
        <v>50000</v>
      </c>
      <c r="K39" s="1">
        <f t="shared" si="0"/>
        <v>0</v>
      </c>
      <c r="L39" s="8"/>
      <c r="M39" s="20" t="s">
        <v>1112</v>
      </c>
      <c r="N39" s="20" t="s">
        <v>1117</v>
      </c>
      <c r="O39" s="19" t="s">
        <v>1115</v>
      </c>
      <c r="P39" s="19" t="s">
        <v>1114</v>
      </c>
      <c r="Q39" s="19" t="s">
        <v>1116</v>
      </c>
      <c r="R39" s="19"/>
      <c r="S39" s="19" t="s">
        <v>1113</v>
      </c>
      <c r="T39" s="19" t="s">
        <v>1123</v>
      </c>
      <c r="U39" s="19" t="s">
        <v>1124</v>
      </c>
      <c r="V39" s="19" t="s">
        <v>1125</v>
      </c>
      <c r="W39" s="19"/>
      <c r="AD39" s="19"/>
    </row>
    <row r="40" spans="1:30" ht="12.75" customHeight="1" x14ac:dyDescent="0.2">
      <c r="A40" s="9" t="s">
        <v>1149</v>
      </c>
      <c r="B40" s="9" t="s">
        <v>1150</v>
      </c>
      <c r="C40" s="9">
        <v>6</v>
      </c>
      <c r="D40" s="9">
        <v>4</v>
      </c>
      <c r="E40" s="9" t="s">
        <v>728</v>
      </c>
      <c r="F40" s="9" t="s">
        <v>749</v>
      </c>
      <c r="G40" s="9" t="s">
        <v>729</v>
      </c>
      <c r="H40" s="3" t="str">
        <f>IF('Pack BB2020'!$J$24="Español",T40,(IF('Pack BB2020'!$J$24="Deutsch",U40,(IF('Pack BB2020'!$J$24="Français",V40,S40)))))</f>
        <v>Placar, Defensa, Solitario (3+), Placaje defensivo</v>
      </c>
      <c r="I40" s="3" t="str">
        <f>IF('Pack BB2020'!$J$24="Español",N40,(IF('Pack BB2020'!$J$24="Deutsch",O40,(IF('Pack BB2020'!$J$24="Italiano",Q40,(IF('Pack BB2020'!$J$24="Français",P40,M40)))))))</f>
        <v>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v>
      </c>
      <c r="J40" s="16">
        <v>245000</v>
      </c>
      <c r="K40" s="1">
        <f t="shared" si="0"/>
        <v>0</v>
      </c>
      <c r="L40" s="4"/>
      <c r="M40" s="20" t="s">
        <v>1151</v>
      </c>
      <c r="N40" s="20" t="s">
        <v>1152</v>
      </c>
      <c r="O40" s="19" t="s">
        <v>1153</v>
      </c>
      <c r="P40" s="19" t="s">
        <v>1154</v>
      </c>
      <c r="Q40" s="19" t="s">
        <v>1155</v>
      </c>
      <c r="R40" s="19"/>
      <c r="S40" s="19" t="s">
        <v>1156</v>
      </c>
      <c r="T40" s="19" t="s">
        <v>1157</v>
      </c>
      <c r="U40" s="19" t="s">
        <v>1158</v>
      </c>
      <c r="V40" s="19" t="s">
        <v>1159</v>
      </c>
      <c r="W40" s="19"/>
      <c r="AD40" s="19"/>
    </row>
    <row r="41" spans="1:30" ht="12.75" customHeight="1" x14ac:dyDescent="0.2">
      <c r="A41" s="9" t="s">
        <v>1160</v>
      </c>
      <c r="B41" s="9" t="s">
        <v>1161</v>
      </c>
      <c r="C41" s="9">
        <v>5</v>
      </c>
      <c r="D41" s="9">
        <v>5</v>
      </c>
      <c r="E41" s="9" t="s">
        <v>749</v>
      </c>
      <c r="F41" s="9" t="s">
        <v>223</v>
      </c>
      <c r="G41" s="9" t="s">
        <v>729</v>
      </c>
      <c r="H41" s="3" t="str">
        <f>IF('Pack BB2020'!$J$24="Español",T41,(IF('Pack BB2020'!$J$24="Deutsch",U41,(IF('Pack BB2020'!$J$24="Français",V41,S41)))))</f>
        <v>Garras, Presencia perturbadora, Imparable, Solitario (4+), Golpe mortífero (+1)</v>
      </c>
      <c r="I41" s="3" t="str">
        <f>IF('Pack BB2020'!$J$24="Español",N41,(IF('Pack BB2020'!$J$24="Deutsch",O41,(IF('Pack BB2020'!$J$24="Italiano",Q41,(IF('Pack BB2020'!$J$24="Français",P41,M41)))))))</f>
        <v>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v>
      </c>
      <c r="J41" s="16">
        <v>250000</v>
      </c>
      <c r="K41" s="1">
        <f t="shared" si="0"/>
        <v>0</v>
      </c>
      <c r="L41" s="4"/>
      <c r="M41" s="20" t="s">
        <v>1162</v>
      </c>
      <c r="N41" s="20" t="s">
        <v>1163</v>
      </c>
      <c r="O41" s="19" t="s">
        <v>1164</v>
      </c>
      <c r="P41" s="19" t="s">
        <v>1165</v>
      </c>
      <c r="Q41" s="19" t="s">
        <v>1166</v>
      </c>
      <c r="R41" s="19"/>
      <c r="S41" s="19" t="s">
        <v>1167</v>
      </c>
      <c r="T41" s="19" t="s">
        <v>1168</v>
      </c>
      <c r="U41" s="19" t="s">
        <v>1169</v>
      </c>
      <c r="V41" s="19" t="s">
        <v>1170</v>
      </c>
      <c r="W41" s="19"/>
      <c r="AD41" s="19"/>
    </row>
    <row r="42" spans="1:30" ht="12.75" customHeight="1" x14ac:dyDescent="0.2">
      <c r="A42" s="9" t="s">
        <v>1171</v>
      </c>
      <c r="B42" s="9" t="s">
        <v>1172</v>
      </c>
      <c r="C42" s="9">
        <v>6</v>
      </c>
      <c r="D42" s="9">
        <v>3</v>
      </c>
      <c r="E42" s="9" t="s">
        <v>749</v>
      </c>
      <c r="F42" s="9" t="s">
        <v>728</v>
      </c>
      <c r="G42" s="9" t="s">
        <v>790</v>
      </c>
      <c r="H42" s="3" t="str">
        <f>IF('Pack BB2020'!$J$24="Español",T42,(IF('Pack BB2020'!$J$24="Deutsch",U42,(IF('Pack BB2020'!$J$24="Français",V42,S42)))))</f>
        <v>Placar, Borracho, Solitario (3+), Cabeza dura</v>
      </c>
      <c r="I42" s="3" t="str">
        <f>IF('Pack BB2020'!$J$24="Español",N42,(IF('Pack BB2020'!$J$24="Deutsch",O42,(IF('Pack BB2020'!$J$24="Italiano",Q42,(IF('Pack BB2020'!$J$24="Français",P42,M42)))))))</f>
        <v>¡Asalto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v>
      </c>
      <c r="J42" s="16">
        <v>170000</v>
      </c>
      <c r="K42" s="1">
        <f t="shared" si="0"/>
        <v>0</v>
      </c>
      <c r="L42" s="4"/>
      <c r="M42" s="20" t="s">
        <v>1173</v>
      </c>
      <c r="N42" s="20" t="s">
        <v>1174</v>
      </c>
      <c r="O42" s="19" t="s">
        <v>1175</v>
      </c>
      <c r="P42" s="19" t="s">
        <v>1176</v>
      </c>
      <c r="Q42" s="19" t="s">
        <v>1177</v>
      </c>
      <c r="R42" s="19"/>
      <c r="S42" s="19" t="s">
        <v>1178</v>
      </c>
      <c r="T42" s="15" t="s">
        <v>1179</v>
      </c>
      <c r="U42" s="15" t="s">
        <v>1180</v>
      </c>
      <c r="V42" s="15" t="s">
        <v>1181</v>
      </c>
      <c r="W42" s="19"/>
      <c r="AD42" s="19"/>
    </row>
    <row r="43" spans="1:30" ht="12.75" customHeight="1" x14ac:dyDescent="0.2">
      <c r="A43" s="9" t="s">
        <v>1200</v>
      </c>
      <c r="B43" s="9" t="s">
        <v>1201</v>
      </c>
      <c r="C43" s="9">
        <v>6</v>
      </c>
      <c r="D43" s="9">
        <v>3</v>
      </c>
      <c r="E43" s="9" t="s">
        <v>728</v>
      </c>
      <c r="F43" s="9" t="s">
        <v>749</v>
      </c>
      <c r="G43" s="9" t="s">
        <v>790</v>
      </c>
      <c r="H43" s="3" t="str">
        <f>IF('Pack BB2020'!$J$24="Español",T43,(IF('Pack BB2020'!$J$24="Deutsch",U43,(IF('Pack BB2020'!$J$24="Français",V43,S43)))))</f>
        <v>Presencia perturbadora, Esquivar, Defensa, Solitario (4+), Echarse a un lado</v>
      </c>
      <c r="I43" s="3" t="str">
        <f>IF('Pack BB2020'!$J$24="Español",N43,(IF('Pack BB2020'!$J$24="Deutsch",O43,(IF('Pack BB2020'!$J$24="Italiano",Q43,(IF('Pack BB2020'!$J$24="Français",P43,M43)))))))</f>
        <v>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v>
      </c>
      <c r="J43" s="16">
        <v>190000</v>
      </c>
      <c r="K43" s="1">
        <f t="shared" si="0"/>
        <v>0</v>
      </c>
      <c r="L43" s="4"/>
      <c r="M43" s="20" t="s">
        <v>1202</v>
      </c>
      <c r="N43" s="20" t="s">
        <v>1203</v>
      </c>
      <c r="O43" s="19" t="s">
        <v>1204</v>
      </c>
      <c r="P43" s="19" t="s">
        <v>1205</v>
      </c>
      <c r="Q43" s="19" t="s">
        <v>1206</v>
      </c>
      <c r="R43" s="19"/>
      <c r="S43" s="19" t="s">
        <v>1207</v>
      </c>
      <c r="T43" s="15" t="s">
        <v>1208</v>
      </c>
      <c r="U43" s="15" t="s">
        <v>1209</v>
      </c>
      <c r="V43" s="15" t="s">
        <v>1210</v>
      </c>
      <c r="W43" s="19"/>
      <c r="AD43" s="19"/>
    </row>
    <row r="44" spans="1:30" ht="12.75" customHeight="1" x14ac:dyDescent="0.2">
      <c r="A44" s="9" t="s">
        <v>1211</v>
      </c>
      <c r="B44" s="9" t="s">
        <v>1212</v>
      </c>
      <c r="C44" s="9">
        <v>6</v>
      </c>
      <c r="D44" s="9">
        <v>6</v>
      </c>
      <c r="E44" s="9" t="s">
        <v>768</v>
      </c>
      <c r="F44" s="9" t="s">
        <v>223</v>
      </c>
      <c r="G44" s="9" t="s">
        <v>750</v>
      </c>
      <c r="H44" s="3" t="str">
        <f>IF('Pack BB2020'!$J$24="Español",T44,(IF('Pack BB2020'!$J$24="Deutsch",U44,(IF('Pack BB2020'!$J$24="Français",V44,S44)))))</f>
        <v>Ferocidad animal, Furia, Solitario (4+), Golpe mortífero (+1), Cola prensil, Mantenerse firme, Cabeza dura</v>
      </c>
      <c r="I44" s="3" t="str">
        <f>IF('Pack BB2020'!$J$24="Español",N44,(IF('Pack BB2020'!$J$24="Deutsch",O44,(IF('Pack BB2020'!$J$24="Italiano",Q44,(IF('Pack BB2020'!$J$24="Français",P44,M44)))))))</f>
        <v>Salvajismo primitivo: Una vez por partido, cuando Glotl falla una tirada de Ferocidad animal, puede golpear contra un jugador rival en lugar de contra un compañero.</v>
      </c>
      <c r="J44" s="16">
        <v>270000</v>
      </c>
      <c r="K44" s="1">
        <f t="shared" si="0"/>
        <v>0</v>
      </c>
      <c r="L44" s="4"/>
      <c r="M44" s="20" t="s">
        <v>1213</v>
      </c>
      <c r="N44" s="20" t="s">
        <v>1214</v>
      </c>
      <c r="O44" s="19" t="s">
        <v>1215</v>
      </c>
      <c r="P44" s="19" t="s">
        <v>1216</v>
      </c>
      <c r="Q44" s="19" t="s">
        <v>1217</v>
      </c>
      <c r="R44" s="19"/>
      <c r="S44" s="19" t="s">
        <v>1218</v>
      </c>
      <c r="T44" s="15" t="s">
        <v>1219</v>
      </c>
      <c r="U44" s="15" t="s">
        <v>1220</v>
      </c>
      <c r="V44" s="15" t="s">
        <v>1221</v>
      </c>
      <c r="W44" s="19"/>
      <c r="AD44" s="19"/>
    </row>
    <row r="45" spans="1:30" ht="12.75" customHeight="1" x14ac:dyDescent="0.2">
      <c r="A45" s="9" t="s">
        <v>1222</v>
      </c>
      <c r="B45" s="9" t="s">
        <v>1223</v>
      </c>
      <c r="C45" s="9">
        <v>6</v>
      </c>
      <c r="D45" s="9">
        <v>3</v>
      </c>
      <c r="E45" s="9" t="s">
        <v>728</v>
      </c>
      <c r="F45" s="9" t="s">
        <v>749</v>
      </c>
      <c r="G45" s="9" t="s">
        <v>729</v>
      </c>
      <c r="H45" s="3" t="str">
        <f>IF('Pack BB2020'!$J$24="Español",T45,(IF('Pack BB2020'!$J$24="Deutsch",U45,(IF('Pack BB2020'!$J$24="Français",V45,S45)))))</f>
        <v xml:space="preserve">Esquivar, Mirada hipnótica, Solitario (4+), Cola prensil, Proteger el cuero, Echarse a un lado, </v>
      </c>
      <c r="I45" s="3" t="str">
        <f>IF('Pack BB2020'!$J$24="Español",N45,(IF('Pack BB2020'!$J$24="Deutsch",O45,(IF('Pack BB2020'!$J$24="Italiano",Q45,(IF('Pack BB2020'!$J$24="Français",P45,M45)))))))</f>
        <v>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v>
      </c>
      <c r="J45" s="16">
        <v>200000</v>
      </c>
      <c r="K45" s="1">
        <f t="shared" si="0"/>
        <v>0</v>
      </c>
      <c r="L45" s="4"/>
      <c r="M45" s="20" t="s">
        <v>1224</v>
      </c>
      <c r="N45" s="20" t="s">
        <v>1225</v>
      </c>
      <c r="O45" s="19" t="s">
        <v>1226</v>
      </c>
      <c r="P45" s="19" t="s">
        <v>1227</v>
      </c>
      <c r="Q45" s="19" t="s">
        <v>1228</v>
      </c>
      <c r="R45" s="19"/>
      <c r="S45" s="19" t="s">
        <v>1229</v>
      </c>
      <c r="T45" s="15" t="s">
        <v>1230</v>
      </c>
      <c r="U45" s="15" t="s">
        <v>1231</v>
      </c>
      <c r="V45" s="15" t="s">
        <v>1232</v>
      </c>
      <c r="W45" s="19"/>
      <c r="AD45" s="19"/>
    </row>
    <row r="46" spans="1:30" ht="12.75" customHeight="1" x14ac:dyDescent="0.2">
      <c r="A46" s="9" t="s">
        <v>1236</v>
      </c>
      <c r="B46" s="9" t="s">
        <v>1237</v>
      </c>
      <c r="C46" s="9">
        <v>5</v>
      </c>
      <c r="D46" s="9">
        <v>3</v>
      </c>
      <c r="E46" s="9" t="s">
        <v>728</v>
      </c>
      <c r="F46" s="9" t="s">
        <v>749</v>
      </c>
      <c r="G46" s="9" t="s">
        <v>761</v>
      </c>
      <c r="H46" s="3" t="str">
        <f>IF('Pack BB2020'!$J$24="Español",T46,(IF('Pack BB2020'!$J$24="Deutsch",U46,(IF('Pack BB2020'!$J$24="Français",V46,S46)))))</f>
        <v>Placar, Esquivar, Solitario (3+), Nervios de acero, Humanoide bala, Escurridizo</v>
      </c>
      <c r="I46" s="3" t="str">
        <f>IF('Pack BB2020'!$J$24="Español",N46,(IF('Pack BB2020'!$J$24="Deutsch",O46,(IF('Pack BB2020'!$J$24="Italiano",Q46,(IF('Pack BB2020'!$J$24="Français",P46,M46)))))))</f>
        <v>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v>
      </c>
      <c r="J46" s="16">
        <v>120000</v>
      </c>
      <c r="K46" s="1">
        <f t="shared" si="0"/>
        <v>0</v>
      </c>
      <c r="L46" s="4"/>
      <c r="M46" s="20" t="s">
        <v>1238</v>
      </c>
      <c r="N46" s="20" t="s">
        <v>1271</v>
      </c>
      <c r="O46" s="19" t="s">
        <v>1272</v>
      </c>
      <c r="P46" s="19" t="s">
        <v>1273</v>
      </c>
      <c r="Q46" s="19" t="s">
        <v>1274</v>
      </c>
      <c r="R46" s="19"/>
      <c r="S46" s="19" t="s">
        <v>1239</v>
      </c>
      <c r="T46" s="19" t="s">
        <v>1275</v>
      </c>
      <c r="U46" s="15" t="s">
        <v>1276</v>
      </c>
      <c r="V46" s="15" t="s">
        <v>1277</v>
      </c>
      <c r="W46" s="19"/>
    </row>
    <row r="47" spans="1:30" ht="12.75" customHeight="1" x14ac:dyDescent="0.2">
      <c r="A47" s="9" t="s">
        <v>1240</v>
      </c>
      <c r="B47" s="9" t="s">
        <v>1241</v>
      </c>
      <c r="C47" s="9">
        <v>5</v>
      </c>
      <c r="D47" s="9">
        <v>2</v>
      </c>
      <c r="E47" s="9" t="s">
        <v>728</v>
      </c>
      <c r="F47" s="9" t="s">
        <v>728</v>
      </c>
      <c r="G47" s="9" t="s">
        <v>761</v>
      </c>
      <c r="H47" s="3" t="str">
        <f>IF('Pack BB2020'!$J$24="Español",T47,(IF('Pack BB2020'!$J$24="Deutsch",U47,(IF('Pack BB2020'!$J$24="Français",V47,S47)))))</f>
        <v>Precisión, Bombardero, Esquivar, Solitario (4+), Arma secreta, Escurridizo</v>
      </c>
      <c r="I47" s="3" t="str">
        <f>IF('Pack BB2020'!$J$24="Español",N47,(IF('Pack BB2020'!$J$24="Deutsch",O47,(IF('Pack BB2020'!$J$24="Italiano",Q47,(IF('Pack BB2020'!$J$24="Français",P47,M47)))))))</f>
        <v>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v>
      </c>
      <c r="J47" s="16">
        <v>50000</v>
      </c>
      <c r="K47" s="1">
        <f t="shared" si="0"/>
        <v>0</v>
      </c>
      <c r="L47" s="4"/>
      <c r="M47" s="20" t="s">
        <v>1242</v>
      </c>
      <c r="N47" s="20" t="s">
        <v>1278</v>
      </c>
      <c r="O47" s="19" t="s">
        <v>1279</v>
      </c>
      <c r="P47" s="19" t="s">
        <v>1280</v>
      </c>
      <c r="Q47" s="19" t="s">
        <v>1281</v>
      </c>
      <c r="R47" s="19"/>
      <c r="S47" s="19" t="s">
        <v>1243</v>
      </c>
      <c r="T47" s="19" t="s">
        <v>1282</v>
      </c>
      <c r="U47" s="15" t="s">
        <v>1283</v>
      </c>
      <c r="V47" s="15" t="s">
        <v>1284</v>
      </c>
      <c r="W47" s="19"/>
    </row>
    <row r="48" spans="1:30" ht="12.75" customHeight="1" x14ac:dyDescent="0.2">
      <c r="A48" s="9" t="s">
        <v>1244</v>
      </c>
      <c r="B48" s="9" t="s">
        <v>1245</v>
      </c>
      <c r="C48" s="9">
        <v>8</v>
      </c>
      <c r="D48" s="9">
        <v>2</v>
      </c>
      <c r="E48" s="9" t="s">
        <v>728</v>
      </c>
      <c r="F48" s="9">
        <v>4</v>
      </c>
      <c r="G48" s="9" t="s">
        <v>790</v>
      </c>
      <c r="H48" s="3" t="str">
        <f>IF('Pack BB2020'!$J$24="Español",T48,(IF('Pack BB2020'!$J$24="Deutsch",U48,(IF('Pack BB2020'!$J$24="Français",V48,S48)))))</f>
        <v>Juego sucio (+1), Esquivar, Solitario (4+), Echarse a un lado, Furtivo, Escurridizo</v>
      </c>
      <c r="I48" s="3" t="str">
        <f>IF('Pack BB2020'!$J$24="Español",N48,(IF('Pack BB2020'!$J$24="Deutsch",O48,(IF('Pack BB2020'!$J$24="Italiano",Q48,(IF('Pack BB2020'!$J$24="Français",P48,M48)))))))</f>
        <v>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v>
      </c>
      <c r="J48" s="16">
        <v>190000</v>
      </c>
      <c r="K48" s="1">
        <f t="shared" si="0"/>
        <v>0</v>
      </c>
      <c r="L48" s="4"/>
      <c r="M48" s="20" t="s">
        <v>1246</v>
      </c>
      <c r="N48" s="20" t="s">
        <v>1285</v>
      </c>
      <c r="O48" s="19" t="s">
        <v>1286</v>
      </c>
      <c r="P48" s="19" t="s">
        <v>1287</v>
      </c>
      <c r="Q48" s="19" t="s">
        <v>1288</v>
      </c>
      <c r="R48" s="19"/>
      <c r="S48" s="19" t="s">
        <v>1247</v>
      </c>
      <c r="T48" s="19" t="s">
        <v>1289</v>
      </c>
      <c r="U48" s="15" t="s">
        <v>1290</v>
      </c>
      <c r="V48" s="15" t="s">
        <v>1291</v>
      </c>
      <c r="W48" s="19"/>
    </row>
    <row r="49" spans="1:61" ht="12.75" customHeight="1" x14ac:dyDescent="0.2">
      <c r="A49" s="9" t="s">
        <v>1248</v>
      </c>
      <c r="B49" s="9" t="s">
        <v>1249</v>
      </c>
      <c r="C49" s="9">
        <v>8</v>
      </c>
      <c r="D49" s="9">
        <v>2</v>
      </c>
      <c r="E49" s="9" t="s">
        <v>728</v>
      </c>
      <c r="F49" s="9" t="s">
        <v>749</v>
      </c>
      <c r="G49" s="9" t="s">
        <v>790</v>
      </c>
      <c r="H49" s="3" t="str">
        <f>IF('Pack BB2020'!$J$24="Español",T49,(IF('Pack BB2020'!$J$24="Deutsch",U49,(IF('Pack BB2020'!$J$24="Français",V49,S49)))))</f>
        <v>Esquivar, Solitario (4+), Echarse a un lado, Apuñalar, Escurridizo</v>
      </c>
      <c r="I49" s="3" t="str">
        <f>IF('Pack BB2020'!$J$24="Español",N49,(IF('Pack BB2020'!$J$24="Deutsch",O49,(IF('Pack BB2020'!$J$24="Italiano",Q49,(IF('Pack BB2020'!$J$24="Français",P49,M49)))))))</f>
        <v>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v>
      </c>
      <c r="J49" s="16">
        <v>0</v>
      </c>
      <c r="K49" s="1">
        <f t="shared" si="0"/>
        <v>0</v>
      </c>
      <c r="L49" s="4"/>
      <c r="M49" s="20" t="s">
        <v>1246</v>
      </c>
      <c r="N49" s="20" t="s">
        <v>1285</v>
      </c>
      <c r="O49" s="19" t="s">
        <v>1286</v>
      </c>
      <c r="P49" s="19" t="s">
        <v>1287</v>
      </c>
      <c r="Q49" s="19" t="s">
        <v>1288</v>
      </c>
      <c r="R49" s="19"/>
      <c r="S49" s="19" t="s">
        <v>1250</v>
      </c>
      <c r="T49" s="19" t="s">
        <v>1292</v>
      </c>
      <c r="U49" s="15" t="s">
        <v>1293</v>
      </c>
      <c r="V49" s="15" t="s">
        <v>1294</v>
      </c>
      <c r="W49" s="19"/>
    </row>
    <row r="50" spans="1:61" ht="12.75" customHeight="1" x14ac:dyDescent="0.2">
      <c r="A50" s="9" t="s">
        <v>1251</v>
      </c>
      <c r="B50" s="9" t="s">
        <v>1252</v>
      </c>
      <c r="C50" s="9">
        <v>4</v>
      </c>
      <c r="D50" s="9">
        <v>5</v>
      </c>
      <c r="E50" s="9" t="s">
        <v>749</v>
      </c>
      <c r="F50" s="9" t="s">
        <v>717</v>
      </c>
      <c r="G50" s="9" t="s">
        <v>750</v>
      </c>
      <c r="H50" s="3" t="str">
        <f>IF('Pack BB2020'!$J$24="Español",T50,(IF('Pack BB2020'!$J$24="Deutsch",U50,(IF('Pack BB2020'!$J$24="Français",V50,S50)))))</f>
        <v>Juego sucio (+1), Presencia perturbadora, Apariencia asquerosa, Solitario (4+)</v>
      </c>
      <c r="I50" s="3" t="str">
        <f>IF('Pack BB2020'!$J$24="Español",N50,(IF('Pack BB2020'!$J$24="Deutsch",O50,(IF('Pack BB2020'!$J$24="Italiano",Q50,(IF('Pack BB2020'!$J$24="Français",P50,M50)))))))</f>
        <v>Regurgitación pútrida: Una vez por partida, Bilerot puede usar la acción especial Vómito Proyectil. Puede usarse incluso si Bilerot ya ha realizado una acción de bloqueo este turno.</v>
      </c>
      <c r="J50" s="16">
        <v>180000</v>
      </c>
      <c r="K50" s="1">
        <f t="shared" si="0"/>
        <v>0</v>
      </c>
      <c r="L50" s="4"/>
      <c r="M50" s="20" t="s">
        <v>1253</v>
      </c>
      <c r="N50" s="20" t="s">
        <v>1295</v>
      </c>
      <c r="O50" s="19" t="s">
        <v>1296</v>
      </c>
      <c r="P50" s="19" t="s">
        <v>1297</v>
      </c>
      <c r="Q50" s="19" t="s">
        <v>1298</v>
      </c>
      <c r="R50" s="19"/>
      <c r="S50" s="19" t="s">
        <v>1254</v>
      </c>
      <c r="T50" s="19" t="s">
        <v>1299</v>
      </c>
      <c r="U50" s="15" t="s">
        <v>1300</v>
      </c>
      <c r="V50" s="15" t="s">
        <v>1301</v>
      </c>
      <c r="W50" s="19"/>
    </row>
    <row r="51" spans="1:61" ht="12.75" customHeight="1" x14ac:dyDescent="0.2">
      <c r="A51" s="9" t="s">
        <v>1255</v>
      </c>
      <c r="B51" s="9" t="s">
        <v>1256</v>
      </c>
      <c r="C51" s="9">
        <v>4</v>
      </c>
      <c r="D51" s="9">
        <v>6</v>
      </c>
      <c r="E51" s="9" t="s">
        <v>768</v>
      </c>
      <c r="F51" s="9" t="s">
        <v>749</v>
      </c>
      <c r="G51" s="9" t="s">
        <v>750</v>
      </c>
      <c r="H51" s="3" t="str">
        <f>IF('Pack BB2020'!$J$24="Español",T51,(IF('Pack BB2020'!$J$24="Deutsch",U51,(IF('Pack BB2020'!$J$24="Français",V51,S51)))))</f>
        <v>Apartar, Solitario (4+), Golpe mortífero (+1), Regeneración, Lanzar compañero</v>
      </c>
      <c r="I51" s="3" t="str">
        <f>IF('Pack BB2020'!$J$24="Español",N51,(IF('Pack BB2020'!$J$24="Deutsch",O51,(IF('Pack BB2020'!$J$24="Italiano",Q51,(IF('Pack BB2020'!$J$24="Français",P51,M51)))))))</f>
        <v>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v>
      </c>
      <c r="J51" s="16">
        <v>250000</v>
      </c>
      <c r="K51" s="1">
        <f t="shared" si="0"/>
        <v>0</v>
      </c>
      <c r="L51" s="4"/>
      <c r="M51" s="20" t="s">
        <v>1257</v>
      </c>
      <c r="N51" s="20" t="s">
        <v>1302</v>
      </c>
      <c r="O51" s="19" t="s">
        <v>1303</v>
      </c>
      <c r="P51" s="19" t="s">
        <v>1304</v>
      </c>
      <c r="Q51" s="19" t="s">
        <v>1305</v>
      </c>
      <c r="R51" s="19"/>
      <c r="S51" s="19" t="s">
        <v>1258</v>
      </c>
      <c r="T51" s="19" t="s">
        <v>1306</v>
      </c>
      <c r="U51" s="15" t="s">
        <v>1307</v>
      </c>
      <c r="V51" s="15" t="s">
        <v>1308</v>
      </c>
      <c r="W51" s="19"/>
    </row>
    <row r="52" spans="1:61" ht="12.75" customHeight="1" x14ac:dyDescent="0.2">
      <c r="A52" s="9" t="s">
        <v>1259</v>
      </c>
      <c r="B52" s="9" t="s">
        <v>1260</v>
      </c>
      <c r="C52" s="9">
        <v>6</v>
      </c>
      <c r="D52" s="9">
        <v>2</v>
      </c>
      <c r="E52" s="9" t="s">
        <v>728</v>
      </c>
      <c r="F52" s="9" t="s">
        <v>223</v>
      </c>
      <c r="G52" s="9" t="s">
        <v>790</v>
      </c>
      <c r="H52" s="3" t="str">
        <f>IF('Pack BB2020'!$J$24="Español",T52,(IF('Pack BB2020'!$J$24="Deutsch",U52,(IF('Pack BB2020'!$J$24="Français",V52,S52)))))</f>
        <v>Placar, Sierra mecánica, Esquivar, Solitario (4+), Arma secreta, Escurridizo</v>
      </c>
      <c r="I52" s="3" t="str">
        <f>IF('Pack BB2020'!$J$24="Español",N52,(IF('Pack BB2020'!$J$24="Deutsch",O52,(IF('Pack BB2020'!$J$24="Italiano",Q52,(IF('Pack BB2020'!$J$24="Français",P52,M52)))))))</f>
        <v>¡Patéalos mientras están en el suelo!: Una vez por partida, Nobbla puede usar la acción especial Ataque con Motosierra contra un jugador contrario que esté Tumbado o Aturdido. Esto no cuenta como una acción de falta, por lo que Nobbla no puede ser expulsado al usar esta habilidad.</v>
      </c>
      <c r="J52" s="16">
        <v>120000</v>
      </c>
      <c r="K52" s="1">
        <f t="shared" si="0"/>
        <v>0</v>
      </c>
      <c r="L52" s="4"/>
      <c r="M52" s="20" t="s">
        <v>1261</v>
      </c>
      <c r="N52" s="20" t="s">
        <v>1309</v>
      </c>
      <c r="O52" s="19" t="s">
        <v>1310</v>
      </c>
      <c r="P52" s="19" t="s">
        <v>1311</v>
      </c>
      <c r="Q52" s="19" t="s">
        <v>1312</v>
      </c>
      <c r="R52" s="19"/>
      <c r="S52" s="19" t="s">
        <v>1262</v>
      </c>
      <c r="T52" s="19" t="s">
        <v>1313</v>
      </c>
      <c r="U52" s="15" t="s">
        <v>1314</v>
      </c>
      <c r="V52" s="15" t="s">
        <v>1315</v>
      </c>
      <c r="W52" s="19"/>
    </row>
    <row r="53" spans="1:61" ht="12.75" customHeight="1" x14ac:dyDescent="0.2">
      <c r="A53" s="9" t="s">
        <v>1263</v>
      </c>
      <c r="B53" s="9" t="s">
        <v>1264</v>
      </c>
      <c r="C53" s="9">
        <v>7</v>
      </c>
      <c r="D53" s="9">
        <v>2</v>
      </c>
      <c r="E53" s="9" t="s">
        <v>728</v>
      </c>
      <c r="F53" s="9" t="s">
        <v>768</v>
      </c>
      <c r="G53" s="9" t="s">
        <v>790</v>
      </c>
      <c r="H53" s="3" t="str">
        <f>IF('Pack BB2020'!$J$24="Español",T53,(IF('Pack BB2020'!$J$24="Deutsch",U53,(IF('Pack BB2020'!$J$24="Français",V53,S53)))))</f>
        <v>Juego sucio (+1), Esquivar, Solitario (4+), Pogo, Humanoide bala, Carrera, Escurridizo, Pies firmes</v>
      </c>
      <c r="I53" s="3" t="str">
        <f>IF('Pack BB2020'!$J$24="Español",N53,(IF('Pack BB2020'!$J$24="Deutsch",O53,(IF('Pack BB2020'!$J$24="Italiano",Q53,(IF('Pack BB2020'!$J$24="Français",P53,M53)))))))</f>
        <v>¡Yoink!: Una vez por partida, cuando Scrappa intenta interferir en una acción de pase, puede tirar un D6. Con un 2+, Scrappa no necesita tirar para interferir en la acción de pase, sino que automáticamente hace una intercepción y gana el control del balón.</v>
      </c>
      <c r="J53" s="16">
        <v>130000</v>
      </c>
      <c r="K53" s="1">
        <f t="shared" si="0"/>
        <v>0</v>
      </c>
      <c r="L53" s="4"/>
      <c r="M53" s="20" t="s">
        <v>1265</v>
      </c>
      <c r="N53" s="20" t="s">
        <v>1316</v>
      </c>
      <c r="O53" s="19" t="s">
        <v>1317</v>
      </c>
      <c r="P53" s="19" t="s">
        <v>1318</v>
      </c>
      <c r="Q53" s="19" t="s">
        <v>1319</v>
      </c>
      <c r="R53" s="19"/>
      <c r="S53" s="19" t="s">
        <v>1266</v>
      </c>
      <c r="T53" s="19" t="s">
        <v>1320</v>
      </c>
      <c r="U53" s="15" t="s">
        <v>1321</v>
      </c>
      <c r="V53" s="15" t="s">
        <v>1322</v>
      </c>
      <c r="W53" s="19"/>
    </row>
    <row r="54" spans="1:61" ht="12.75" customHeight="1" x14ac:dyDescent="0.2">
      <c r="A54" s="9" t="s">
        <v>1267</v>
      </c>
      <c r="B54" s="9" t="s">
        <v>1268</v>
      </c>
      <c r="C54" s="9">
        <v>6</v>
      </c>
      <c r="D54" s="9">
        <v>3</v>
      </c>
      <c r="E54" s="9" t="s">
        <v>749</v>
      </c>
      <c r="F54" s="9" t="s">
        <v>749</v>
      </c>
      <c r="G54" s="9" t="s">
        <v>729</v>
      </c>
      <c r="H54" s="3" t="str">
        <f>IF('Pack BB2020'!$J$24="Español",T54,(IF('Pack BB2020'!$J$24="Deutsch",U54,(IF('Pack BB2020'!$J$24="Français",V54,S54)))))</f>
        <v>Solitario (4+), Cola prensil, Placaje defensivo, Tentáculos, Dos cabezas, Forcejeo</v>
      </c>
      <c r="I54" s="3" t="str">
        <f>IF('Pack BB2020'!$J$24="Español",N54,(IF('Pack BB2020'!$J$24="Deutsch",O54,(IF('Pack BB2020'!$J$24="Italiano",Q54,(IF('Pack BB2020'!$J$24="Français",P54,M54)))))))</f>
        <v>¡Cuidado!: La primera vez en cada mitad que Withegrasp sea el objetivo de una acción de Bloqueo de un jugador contrario, cuenta como si tuviera la habilidad de Esquivar.</v>
      </c>
      <c r="J54" s="16">
        <v>170000</v>
      </c>
      <c r="K54" s="1">
        <f t="shared" si="0"/>
        <v>0</v>
      </c>
      <c r="L54" s="4"/>
      <c r="M54" s="20" t="s">
        <v>1269</v>
      </c>
      <c r="N54" s="20" t="s">
        <v>1323</v>
      </c>
      <c r="O54" s="19" t="s">
        <v>1324</v>
      </c>
      <c r="P54" s="19" t="s">
        <v>1325</v>
      </c>
      <c r="Q54" s="19" t="s">
        <v>1326</v>
      </c>
      <c r="R54" s="19"/>
      <c r="S54" s="19" t="s">
        <v>1270</v>
      </c>
      <c r="T54" s="19" t="s">
        <v>1327</v>
      </c>
      <c r="U54" s="15" t="s">
        <v>1328</v>
      </c>
      <c r="V54" s="15" t="s">
        <v>1329</v>
      </c>
      <c r="W54" s="19"/>
    </row>
    <row r="55" spans="1:61" ht="12.75" customHeight="1" x14ac:dyDescent="0.2">
      <c r="A55" s="9" t="s">
        <v>1350</v>
      </c>
      <c r="B55" s="9" t="s">
        <v>1351</v>
      </c>
      <c r="C55" s="9">
        <v>6</v>
      </c>
      <c r="D55" s="9">
        <v>5</v>
      </c>
      <c r="E55" s="9" t="s">
        <v>716</v>
      </c>
      <c r="F55" s="9" t="s">
        <v>728</v>
      </c>
      <c r="G55" s="9" t="s">
        <v>750</v>
      </c>
      <c r="H55" s="3" t="str">
        <f>IF('Pack BB2020'!$J$24="Español",T55,(IF('Pack BB2020'!$J$24="Deutsch",U55,(IF('Pack BB2020'!$J$24="Français",V55,S55)))))</f>
        <v>Placar, Echarse a un lado, Mirada hipnótica, Regeneración, Solitario (4+)</v>
      </c>
      <c r="I55" s="3" t="str">
        <f>IF('Pack BB2020'!$J$24="Español",N55,(IF('Pack BB2020'!$J$24="Deutsch",O55,(IF('Pack BB2020'!$J$24="Italiano",Q55,(IF('Pack BB2020'!$J$24="Français",P55,M55)))))))</f>
        <v>Estrella del Show: Una vez por partido, cuando el Count Luthor anote un Touchdown, su entrenador puede ganar una Reroll de Equipo, si no se usa en la siguiente entrada, se pierde.</v>
      </c>
      <c r="J55" s="16">
        <v>340000</v>
      </c>
      <c r="K55" s="1">
        <f t="shared" si="0"/>
        <v>0</v>
      </c>
      <c r="L55" s="4"/>
      <c r="M55" s="20" t="s">
        <v>1352</v>
      </c>
      <c r="N55" s="20" t="s">
        <v>1356</v>
      </c>
      <c r="O55" s="19" t="s">
        <v>1353</v>
      </c>
      <c r="P55" s="19" t="s">
        <v>1354</v>
      </c>
      <c r="Q55" s="19" t="s">
        <v>1355</v>
      </c>
      <c r="R55" s="19"/>
      <c r="S55" s="19" t="s">
        <v>1358</v>
      </c>
      <c r="T55" s="19" t="s">
        <v>1357</v>
      </c>
      <c r="U55" s="19" t="s">
        <v>1359</v>
      </c>
      <c r="V55" s="19" t="s">
        <v>1360</v>
      </c>
      <c r="W55" s="19"/>
    </row>
    <row r="56" spans="1:61" ht="12.75" customHeight="1" x14ac:dyDescent="0.2">
      <c r="A56" s="9" t="s">
        <v>1361</v>
      </c>
      <c r="B56" s="26" t="s">
        <v>1362</v>
      </c>
      <c r="C56" s="9">
        <v>7</v>
      </c>
      <c r="D56" s="9">
        <v>4</v>
      </c>
      <c r="E56" s="9" t="s">
        <v>716</v>
      </c>
      <c r="F56" s="9" t="s">
        <v>749</v>
      </c>
      <c r="G56" s="9" t="s">
        <v>729</v>
      </c>
      <c r="H56" s="3" t="str">
        <f>IF('Pack BB2020'!$J$24="Español",T56,(IF('Pack BB2020'!$J$24="Deutsch",U56,(IF('Pack BB2020'!$J$24="Français",V56,S56)))))</f>
        <v>Esquivar, En pie de un salto, Sed de sangre (2+), Mirada hipnótica, Regeneración, Solitario (4+)</v>
      </c>
      <c r="I56" s="3" t="str">
        <f>IF('Pack BB2020'!$J$24="Español",N56,(IF('Pack BB2020'!$J$24="Deutsch",O56,(IF('Pack BB2020'!$J$24="Italiano",Q56,(IF('Pack BB2020'!$J$24="Français",P56,M56)))))))</f>
        <v>Bocadito Sabroso: Una vez por partido, cuando Karina falle una tirada de Sed de Sangre, puede elegir morder a un jugador oponente con Fuerza 3 o inferior como si fuera un Siervo de su propio equipo. Karina no puede morder a un Jugador Estrella.</v>
      </c>
      <c r="J56" s="16">
        <v>230000</v>
      </c>
      <c r="K56" s="1">
        <f t="shared" si="0"/>
        <v>0</v>
      </c>
      <c r="L56" s="4"/>
      <c r="M56" s="20" t="s">
        <v>1363</v>
      </c>
      <c r="N56" s="20" t="s">
        <v>1365</v>
      </c>
      <c r="O56" s="19" t="s">
        <v>1368</v>
      </c>
      <c r="P56" s="19" t="s">
        <v>1369</v>
      </c>
      <c r="Q56" s="19" t="s">
        <v>1367</v>
      </c>
      <c r="R56" s="19"/>
      <c r="S56" s="19" t="s">
        <v>1364</v>
      </c>
      <c r="T56" s="19" t="s">
        <v>1366</v>
      </c>
      <c r="U56" s="15" t="s">
        <v>1403</v>
      </c>
      <c r="V56" s="15" t="s">
        <v>1404</v>
      </c>
      <c r="W56" s="19"/>
    </row>
    <row r="57" spans="1:61" ht="12.75" customHeight="1" x14ac:dyDescent="0.2">
      <c r="A57" s="9" t="s">
        <v>1406</v>
      </c>
      <c r="B57" s="9" t="s">
        <v>1407</v>
      </c>
      <c r="C57" s="9">
        <v>6</v>
      </c>
      <c r="D57" s="9">
        <v>4</v>
      </c>
      <c r="E57" s="9" t="s">
        <v>749</v>
      </c>
      <c r="F57" s="9" t="s">
        <v>768</v>
      </c>
      <c r="G57" s="9" t="s">
        <v>729</v>
      </c>
      <c r="H57" s="3" t="str">
        <f>IF('Pack BB2020'!$J$24="Español",T57,(IF('Pack BB2020'!$J$24="Deutsch",U57,(IF('Pack BB2020'!$J$24="Français",V57,S57)))))</f>
        <v>Placar, Presencia perturbadora, Imparable, Regeneración, Robar balón, Placaje defensivo, Solitario (4+)</v>
      </c>
      <c r="I57" s="3" t="str">
        <f>IF('Pack BB2020'!$J$24="Español",N57,(IF('Pack BB2020'!$J$24="Deutsch",O57,(IF('Pack BB2020'!$J$24="Italiano",Q57,(IF('Pack BB2020'!$J$24="Français",P57,M57)))))))</f>
        <v>Azote de los enanos: Una vez por partido, cuando un oponente es derribado por un Placaje o Blitz de Ivan, puedes aplicar un +1 a la tirada de armadura o heridas, si el jugador derribado es un jugador enano de cualquier equipo, aplica en su lugar un +2.</v>
      </c>
      <c r="J57" s="16">
        <v>190000</v>
      </c>
      <c r="K57" s="1">
        <f t="shared" si="0"/>
        <v>0</v>
      </c>
      <c r="L57" s="4"/>
      <c r="M57" s="20" t="s">
        <v>1408</v>
      </c>
      <c r="N57" s="20" t="s">
        <v>1409</v>
      </c>
      <c r="O57" s="19" t="s">
        <v>1411</v>
      </c>
      <c r="P57" s="19" t="s">
        <v>1412</v>
      </c>
      <c r="Q57" s="19" t="s">
        <v>1410</v>
      </c>
      <c r="R57" s="19"/>
      <c r="S57" s="19" t="s">
        <v>1413</v>
      </c>
      <c r="T57" s="19" t="s">
        <v>1414</v>
      </c>
      <c r="U57" s="15" t="s">
        <v>1415</v>
      </c>
      <c r="V57" s="15" t="s">
        <v>1416</v>
      </c>
      <c r="W57" s="19"/>
    </row>
    <row r="58" spans="1:61" ht="12.75" customHeight="1" x14ac:dyDescent="0.2">
      <c r="A58" s="9" t="s">
        <v>1421</v>
      </c>
      <c r="B58" s="9" t="s">
        <v>1420</v>
      </c>
      <c r="C58" s="9">
        <v>9</v>
      </c>
      <c r="D58" s="9">
        <v>2</v>
      </c>
      <c r="E58" s="9" t="s">
        <v>716</v>
      </c>
      <c r="F58" s="9" t="s">
        <v>749</v>
      </c>
      <c r="G58" s="9" t="s">
        <v>790</v>
      </c>
      <c r="H58" s="3" t="str">
        <f>IF('Pack BB2020'!$J$24="Español",T58,(IF('Pack BB2020'!$J$24="Deutsch",U58,(IF('Pack BB2020'!$J$24="Français",V58,S58)))))</f>
        <v>Esquivar, Solitario (4+), Cola prensil, Perseguir, Apuñalar</v>
      </c>
      <c r="I58" s="3" t="str">
        <f>IF('Pack BB2020'!$J$24="Español",N58,(IF('Pack BB2020'!$J$24="Deutsch",O58,(IF('Pack BB2020'!$J$24="Italiano",Q58,(IF('Pack BB2020'!$J$24="Français",P58,M58)))))))</f>
        <v>Maestro asesino: Una ver por partido, cuando Skitter supera la tirada de armadura de un rival como resultado de una acción especial de Apuñalar, puede elegir repetir la tirada de Herida.</v>
      </c>
      <c r="J58" s="16">
        <v>150000</v>
      </c>
      <c r="K58" s="1">
        <f t="shared" si="0"/>
        <v>0</v>
      </c>
      <c r="L58" s="4"/>
      <c r="M58" s="20" t="s">
        <v>1422</v>
      </c>
      <c r="N58" s="20" t="s">
        <v>1423</v>
      </c>
      <c r="O58" s="19" t="s">
        <v>1424</v>
      </c>
      <c r="P58" s="19" t="s">
        <v>1425</v>
      </c>
      <c r="Q58" s="19" t="s">
        <v>1426</v>
      </c>
      <c r="R58" s="19"/>
      <c r="S58" s="19" t="s">
        <v>1427</v>
      </c>
      <c r="T58" s="19" t="s">
        <v>1428</v>
      </c>
      <c r="U58" s="15" t="s">
        <v>1429</v>
      </c>
      <c r="V58" s="15" t="s">
        <v>1430</v>
      </c>
      <c r="W58" s="19"/>
    </row>
    <row r="59" spans="1:61" ht="12.75" customHeight="1" x14ac:dyDescent="0.2">
      <c r="A59" s="9" t="s">
        <v>1452</v>
      </c>
      <c r="B59" s="9" t="s">
        <v>1453</v>
      </c>
      <c r="C59" s="9">
        <v>6</v>
      </c>
      <c r="D59" s="9">
        <v>2</v>
      </c>
      <c r="E59" s="9" t="s">
        <v>728</v>
      </c>
      <c r="F59" s="9" t="s">
        <v>749</v>
      </c>
      <c r="G59" s="9" t="s">
        <v>761</v>
      </c>
      <c r="H59" s="3" t="str">
        <f>IF('Pack BB2020'!$J$24="Español",T59,(IF('Pack BB2020'!$J$24="Deutsch",U59,(IF('Pack BB2020'!$J$24="Français",V59,S59)))))</f>
        <v>Atrapar, Recepción heroica, En pie de un salto, Solitario (4+), On the Ball, Echarse a un lado, Escurridizo, Forcejeo</v>
      </c>
      <c r="I59" s="3" t="str">
        <f>IF('Pack BB2020'!$J$24="Español",N59,(IF('Pack BB2020'!$J$24="Deutsch",O59,(IF('Pack BB2020'!$J$24="Italiano",Q59,(IF('Pack BB2020'!$J$24="Français",P59,M59)))))))</f>
        <v>Captura del día: Una vez por mitad, si Rodney está de pie y comienza su activación a menos de 3 casillas de un balón que está en el suelo, puede tirar un D6. Con un 1-2, no pasa nada. Con un 3+, Rodney obtiene inmediatamente la posesión del balón.</v>
      </c>
      <c r="J59" s="16">
        <v>70000</v>
      </c>
      <c r="K59" s="1">
        <f t="shared" si="0"/>
        <v>0</v>
      </c>
      <c r="L59" s="4"/>
      <c r="M59" s="20" t="s">
        <v>1454</v>
      </c>
      <c r="N59" s="20" t="s">
        <v>1455</v>
      </c>
      <c r="O59" s="19" t="s">
        <v>1456</v>
      </c>
      <c r="P59" s="19" t="s">
        <v>1457</v>
      </c>
      <c r="Q59" s="19" t="s">
        <v>1458</v>
      </c>
      <c r="R59" s="19"/>
      <c r="S59" s="19" t="s">
        <v>1459</v>
      </c>
      <c r="T59" s="19" t="s">
        <v>1460</v>
      </c>
      <c r="U59" s="15" t="s">
        <v>1461</v>
      </c>
      <c r="V59" s="15" t="s">
        <v>1462</v>
      </c>
    </row>
    <row r="60" spans="1:61" ht="12.75" customHeight="1" x14ac:dyDescent="0.2">
      <c r="A60" s="9" t="s">
        <v>1463</v>
      </c>
      <c r="B60" s="9" t="s">
        <v>1464</v>
      </c>
      <c r="C60" s="9">
        <v>6</v>
      </c>
      <c r="D60" s="9">
        <v>3</v>
      </c>
      <c r="E60" s="9" t="s">
        <v>728</v>
      </c>
      <c r="F60" s="9" t="s">
        <v>749</v>
      </c>
      <c r="G60" s="9" t="s">
        <v>790</v>
      </c>
      <c r="H60" s="3" t="str">
        <f>IF('Pack BB2020'!$J$24="Español",T60,(IF('Pack BB2020'!$J$24="Deutsch",U60,(IF('Pack BB2020'!$J$24="Français",V60,S60)))))</f>
        <v>Esquivar, Pase precipitado, Defensa, Cuernos, En pie de un salto, Saltar, Solitario (4+)</v>
      </c>
      <c r="I60" s="3" t="str">
        <f>IF('Pack BB2020'!$J$24="Español",N60,(IF('Pack BB2020'!$J$24="Deutsch",O60,(IF('Pack BB2020'!$J$24="Italiano",Q60,(IF('Pack BB2020'!$J$24="Français",P60,M60)))))))</f>
        <v>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v>
      </c>
      <c r="J60" s="16">
        <v>160000</v>
      </c>
      <c r="K60" s="1">
        <f t="shared" si="0"/>
        <v>0</v>
      </c>
      <c r="L60" s="4"/>
      <c r="M60" s="20" t="s">
        <v>1465</v>
      </c>
      <c r="N60" s="20" t="s">
        <v>1466</v>
      </c>
      <c r="O60" s="19" t="s">
        <v>1467</v>
      </c>
      <c r="P60" s="19" t="s">
        <v>1468</v>
      </c>
      <c r="Q60" s="19" t="s">
        <v>1469</v>
      </c>
      <c r="R60" s="19"/>
      <c r="S60" s="19" t="s">
        <v>1470</v>
      </c>
      <c r="T60" s="19" t="s">
        <v>1471</v>
      </c>
      <c r="U60" s="15" t="s">
        <v>1472</v>
      </c>
      <c r="V60" s="15" t="s">
        <v>1473</v>
      </c>
      <c r="W60" s="19"/>
    </row>
    <row r="61" spans="1:61" ht="12.75" customHeight="1" x14ac:dyDescent="0.2">
      <c r="A61" s="9" t="s">
        <v>1509</v>
      </c>
      <c r="B61" s="9" t="s">
        <v>1512</v>
      </c>
      <c r="C61" s="9">
        <v>6</v>
      </c>
      <c r="D61" s="9">
        <v>6</v>
      </c>
      <c r="E61" s="9" t="s">
        <v>728</v>
      </c>
      <c r="F61" s="9" t="s">
        <v>749</v>
      </c>
      <c r="G61" s="9" t="s">
        <v>750</v>
      </c>
      <c r="H61" s="3" t="str">
        <f>IF('Pack BB2020'!$J$24="Español",T61,(IF('Pack BB2020'!$J$24="Deutsch",U61,(IF('Pack BB2020'!$J$24="Français",V61,S61)))))</f>
        <v>Placar, Abrirse paso, Romper defensas, Imparable, Solitario (4+), Carrera, Pies firmes, Cabeza dura</v>
      </c>
      <c r="I61" s="3" t="str">
        <f>IF('Pack BB2020'!$J$24="Español",N61,(IF('Pack BB2020'!$J$24="Deutsch",O61,(IF('Pack BB2020'!$J$24="Italiano",Q61,(IF('Pack BB2020'!$J$24="Français",P61,M61)))))))</f>
        <v>Momento imparable: Cuando H'Thark realice una acción de blitz, puede repetir un solo dado de placar.</v>
      </c>
      <c r="J61" s="16">
        <v>300000</v>
      </c>
      <c r="K61" s="1">
        <f t="shared" si="0"/>
        <v>0</v>
      </c>
      <c r="L61" s="4"/>
      <c r="M61" s="20" t="s">
        <v>1513</v>
      </c>
      <c r="N61" s="20" t="s">
        <v>1522</v>
      </c>
      <c r="O61" s="19" t="s">
        <v>1523</v>
      </c>
      <c r="P61" s="19" t="s">
        <v>1524</v>
      </c>
      <c r="Q61" s="19" t="s">
        <v>1525</v>
      </c>
      <c r="R61" s="19"/>
      <c r="S61" s="19" t="s">
        <v>1514</v>
      </c>
      <c r="T61" s="19" t="s">
        <v>1536</v>
      </c>
      <c r="U61" s="15" t="s">
        <v>1537</v>
      </c>
      <c r="V61" s="15" t="s">
        <v>1538</v>
      </c>
      <c r="W61" s="19" t="s">
        <v>1514</v>
      </c>
    </row>
    <row r="62" spans="1:61" ht="12.75" customHeight="1" x14ac:dyDescent="0.2">
      <c r="A62" s="9" t="s">
        <v>1510</v>
      </c>
      <c r="B62" s="9" t="s">
        <v>1515</v>
      </c>
      <c r="C62" s="9">
        <v>7</v>
      </c>
      <c r="D62" s="9">
        <v>3</v>
      </c>
      <c r="E62" s="9" t="s">
        <v>728</v>
      </c>
      <c r="F62" s="9" t="s">
        <v>768</v>
      </c>
      <c r="G62" s="9" t="s">
        <v>790</v>
      </c>
      <c r="H62" s="3" t="str">
        <f>IF('Pack BB2020'!$J$24="Español",T62,(IF('Pack BB2020'!$J$24="Deutsch",U62,(IF('Pack BB2020'!$J$24="Français",V62,S62)))))</f>
        <v>Solitario (4+), Perseguir, Echarse a un lado, Furtivo, Apuñalar</v>
      </c>
      <c r="I62" s="3" t="str">
        <f>IF('Pack BB2020'!$J$24="Español",N62,(IF('Pack BB2020'!$J$24="Deutsch",O62,(IF('Pack BB2020'!$J$24="Italiano",Q62,(IF('Pack BB2020'!$J$24="Français",P62,M62)))))))</f>
        <v>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v>
      </c>
      <c r="J62" s="16">
        <v>130000</v>
      </c>
      <c r="K62" s="1">
        <f t="shared" si="0"/>
        <v>0</v>
      </c>
      <c r="L62" s="4"/>
      <c r="M62" s="20" t="s">
        <v>1516</v>
      </c>
      <c r="N62" s="20" t="s">
        <v>1529</v>
      </c>
      <c r="O62" s="19" t="s">
        <v>1528</v>
      </c>
      <c r="P62" s="19" t="s">
        <v>1527</v>
      </c>
      <c r="Q62" s="19" t="s">
        <v>1526</v>
      </c>
      <c r="R62" s="19"/>
      <c r="S62" s="19" t="s">
        <v>1517</v>
      </c>
      <c r="T62" s="19" t="s">
        <v>1535</v>
      </c>
      <c r="U62" s="15" t="s">
        <v>1539</v>
      </c>
      <c r="V62" s="15" t="s">
        <v>1540</v>
      </c>
      <c r="W62" s="19" t="s">
        <v>1517</v>
      </c>
      <c r="BI62" s="23" t="s">
        <v>1509</v>
      </c>
    </row>
    <row r="63" spans="1:61" ht="12.75" customHeight="1" x14ac:dyDescent="0.2">
      <c r="A63" s="9" t="s">
        <v>1511</v>
      </c>
      <c r="B63" s="9" t="s">
        <v>1518</v>
      </c>
      <c r="C63" s="9">
        <v>4</v>
      </c>
      <c r="D63" s="9">
        <v>4</v>
      </c>
      <c r="E63" s="9" t="s">
        <v>749</v>
      </c>
      <c r="F63" s="9" t="s">
        <v>728</v>
      </c>
      <c r="G63" s="9" t="s">
        <v>750</v>
      </c>
      <c r="H63" s="3" t="str">
        <f>IF('Pack BB2020'!$J$24="Español",T63,(IF('Pack BB2020'!$J$24="Deutsch",U63,(IF('Pack BB2020'!$J$24="Français",V63,S63)))))</f>
        <v>Cañonero, Pase a lo loco, Solitario (4+), Nervios de acero, Arma secreta, Manos seguras, Cabeza dura</v>
      </c>
      <c r="I63" s="3" t="str">
        <f>IF('Pack BB2020'!$J$24="Español",N63,(IF('Pack BB2020'!$J$24="Deutsch",O63,(IF('Pack BB2020'!$J$24="Italiano",Q63,(IF('Pack BB2020'!$J$24="Français",P63,M63)))))))</f>
        <v>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v>
      </c>
      <c r="J63" s="16">
        <v>130000</v>
      </c>
      <c r="K63" s="1">
        <f t="shared" si="0"/>
        <v>0</v>
      </c>
      <c r="L63" s="4"/>
      <c r="M63" s="20" t="s">
        <v>1519</v>
      </c>
      <c r="N63" s="20" t="s">
        <v>1530</v>
      </c>
      <c r="O63" s="19" t="s">
        <v>1531</v>
      </c>
      <c r="P63" s="19" t="s">
        <v>1532</v>
      </c>
      <c r="Q63" s="19" t="s">
        <v>1533</v>
      </c>
      <c r="R63" s="19"/>
      <c r="S63" s="19" t="s">
        <v>1520</v>
      </c>
      <c r="T63" s="19" t="s">
        <v>1534</v>
      </c>
      <c r="U63" s="15" t="s">
        <v>1542</v>
      </c>
      <c r="V63" s="15" t="s">
        <v>1543</v>
      </c>
      <c r="W63" s="19" t="s">
        <v>1520</v>
      </c>
      <c r="BI63" s="23" t="s">
        <v>1546</v>
      </c>
    </row>
    <row r="64" spans="1:61" ht="12.75" customHeight="1" x14ac:dyDescent="0.2">
      <c r="A64" s="9" t="s">
        <v>1615</v>
      </c>
      <c r="B64" s="9" t="s">
        <v>1545</v>
      </c>
      <c r="C64" s="9">
        <v>4</v>
      </c>
      <c r="D64" s="9">
        <v>5</v>
      </c>
      <c r="E64" s="9" t="s">
        <v>749</v>
      </c>
      <c r="F64" s="9" t="s">
        <v>717</v>
      </c>
      <c r="G64" s="9" t="s">
        <v>750</v>
      </c>
      <c r="H64" s="3" t="str">
        <f>IF('Pack BB2020'!$J$24="Español",T64,(IF('Pack BB2020'!$J$24="Deutsch",U64,(IF('Pack BB2020'!$J$24="Français",V64,S64)))))</f>
        <v>Apariencia asquerosa, Solitario (4+), Boca monstruosa, Nervios de acero, Atento al balón, Descomposición</v>
      </c>
      <c r="I64" s="3" t="str">
        <f>IF('Pack BB2020'!$J$24="Español",N64,(IF('Pack BB2020'!$J$24="Deutsch",O64,(IF('Pack BB2020'!$J$24="Italiano",Q64,(IF('Pack BB2020'!$J$24="Français",P64,M64)))))))</f>
        <v>Mordisco rápido: Una vez por partido, si Guffle está marcando a un jugador contrario que atrapa el balón, puede hacer inmediatamente una tirada de Armadura sin modificadores, y la subsiguiente tirada de herida si es necesario, contra ese jugador. Si supera la armadura del objetivo, Guffle obtiene inmediatamente la posesión del balón. El uso de esta regla especial no provoca ninguna pérdida de turno.</v>
      </c>
      <c r="J64" s="16">
        <v>180000</v>
      </c>
      <c r="K64" s="1">
        <f t="shared" si="0"/>
        <v>0</v>
      </c>
      <c r="L64" s="4"/>
      <c r="M64" s="20" t="s">
        <v>1552</v>
      </c>
      <c r="N64" s="20" t="s">
        <v>1566</v>
      </c>
      <c r="O64" s="19" t="s">
        <v>1567</v>
      </c>
      <c r="P64" s="19" t="s">
        <v>1568</v>
      </c>
      <c r="Q64" s="19" t="s">
        <v>1569</v>
      </c>
      <c r="R64" s="19"/>
      <c r="S64" s="19" t="s">
        <v>1553</v>
      </c>
      <c r="T64" t="s">
        <v>1597</v>
      </c>
      <c r="U64" t="s">
        <v>1601</v>
      </c>
      <c r="V64" t="s">
        <v>1606</v>
      </c>
      <c r="BI64" s="23"/>
    </row>
    <row r="65" spans="1:74" ht="12.75" customHeight="1" x14ac:dyDescent="0.2">
      <c r="A65" s="9" t="s">
        <v>1616</v>
      </c>
      <c r="B65" s="9" t="s">
        <v>1546</v>
      </c>
      <c r="C65" s="9">
        <v>8</v>
      </c>
      <c r="D65" s="9">
        <v>3</v>
      </c>
      <c r="E65" s="9" t="s">
        <v>930</v>
      </c>
      <c r="F65" s="9" t="s">
        <v>716</v>
      </c>
      <c r="G65" s="9" t="s">
        <v>729</v>
      </c>
      <c r="H65" s="3" t="str">
        <f>IF('Pack BB2020'!$J$24="Español",T65,(IF('Pack BB2020'!$J$24="Deutsch",U65,(IF('Pack BB2020'!$J$24="Français",V65,S65)))))</f>
        <v>Placar, Recepción heroica, Esquivar, Pase precipitado, Solitario (4+), Nervios de acero, Atento al balón, Pasar, Echarse a un lado</v>
      </c>
      <c r="I65" s="3" t="str">
        <f>IF('Pack BB2020'!$J$24="Español",N65,(IF('Pack BB2020'!$J$24="Deutsch",O65,(IF('Pack BB2020'!$J$24="Italiano",Q65,(IF('Pack BB2020'!$J$24="Français",P65,M65)))))))</f>
        <v>La Hoja Destellante: Una vez por partida, al comienzo de su activación, Jeremiah puede declarar una Acción de Puñalada contra un jugador contrario al que esté Marcando. Después de realizar la Acción Especial de Puñalada, Jeremiah puede realizar una Acción de Movimiento antes de que termine su activación.</v>
      </c>
      <c r="J65" s="16">
        <v>320000</v>
      </c>
      <c r="K65" s="1">
        <f t="shared" si="0"/>
        <v>0</v>
      </c>
      <c r="L65" s="4"/>
      <c r="M65" s="20" t="s">
        <v>1554</v>
      </c>
      <c r="N65" s="20" t="s">
        <v>1573</v>
      </c>
      <c r="O65" s="19" t="s">
        <v>1572</v>
      </c>
      <c r="P65" s="19" t="s">
        <v>1571</v>
      </c>
      <c r="Q65" s="19" t="s">
        <v>1570</v>
      </c>
      <c r="R65" s="19"/>
      <c r="S65" s="19" t="s">
        <v>1555</v>
      </c>
      <c r="T65" t="s">
        <v>1598</v>
      </c>
      <c r="U65" t="s">
        <v>1612</v>
      </c>
      <c r="V65" t="s">
        <v>1613</v>
      </c>
      <c r="BI65" s="23"/>
    </row>
    <row r="66" spans="1:74" ht="12.75" customHeight="1" x14ac:dyDescent="0.2">
      <c r="A66" s="9" t="s">
        <v>1617</v>
      </c>
      <c r="B66" s="9" t="s">
        <v>1547</v>
      </c>
      <c r="C66" s="9">
        <v>8</v>
      </c>
      <c r="D66" s="9">
        <v>3</v>
      </c>
      <c r="E66" s="9" t="s">
        <v>930</v>
      </c>
      <c r="F66" s="9" t="s">
        <v>728</v>
      </c>
      <c r="G66" s="9" t="s">
        <v>790</v>
      </c>
      <c r="H66" s="3" t="str">
        <f>IF('Pack BB2020'!$J$24="Español",T66,(IF('Pack BB2020'!$J$24="Deutsch",U66,(IF('Pack BB2020'!$J$24="Français",V66,S66)))))</f>
        <v>Placar, Recepción heroica, Esquivar, Saltar, Solitario (4+), Echarse a un lado</v>
      </c>
      <c r="I66" s="3" t="str">
        <f>IF('Pack BB2020'!$J$24="Español",N66,(IF('Pack BB2020'!$J$24="Deutsch",O66,(IF('Pack BB2020'!$J$24="Italiano",Q66,(IF('Pack BB2020'!$J$24="Français",P66,M66)))))))</f>
        <v>Veloz como la brisa: Una vez por partida, Jordell puede elegir superar una única tirada de Esquivar, Saltar o A por ellos con un 2+, independientemente de cualquier modificador.</v>
      </c>
      <c r="J66" s="16">
        <v>250000</v>
      </c>
      <c r="K66" s="1">
        <f t="shared" si="0"/>
        <v>0</v>
      </c>
      <c r="L66" s="4"/>
      <c r="M66" s="20" t="s">
        <v>1556</v>
      </c>
      <c r="N66" s="20" t="s">
        <v>1574</v>
      </c>
      <c r="O66" s="19" t="s">
        <v>1575</v>
      </c>
      <c r="P66" s="19" t="s">
        <v>1576</v>
      </c>
      <c r="Q66" s="19" t="s">
        <v>1577</v>
      </c>
      <c r="R66" s="19"/>
      <c r="S66" s="19" t="s">
        <v>1557</v>
      </c>
      <c r="T66" t="s">
        <v>1599</v>
      </c>
      <c r="U66" t="s">
        <v>1602</v>
      </c>
      <c r="V66" t="s">
        <v>1614</v>
      </c>
      <c r="BI66" s="23"/>
    </row>
    <row r="67" spans="1:74" ht="12.75" customHeight="1" x14ac:dyDescent="0.2">
      <c r="A67" s="9" t="s">
        <v>1647</v>
      </c>
      <c r="B67" s="9" t="s">
        <v>1548</v>
      </c>
      <c r="C67" s="9">
        <v>7</v>
      </c>
      <c r="D67" s="9">
        <v>3</v>
      </c>
      <c r="E67" s="9" t="s">
        <v>716</v>
      </c>
      <c r="F67" s="9" t="s">
        <v>728</v>
      </c>
      <c r="G67" s="9" t="s">
        <v>729</v>
      </c>
      <c r="H67" s="3" t="str">
        <f>IF('Pack BB2020'!$J$24="Español",T67,(IF('Pack BB2020'!$J$24="Deutsch",U67,(IF('Pack BB2020'!$J$24="Français",V67,S67)))))</f>
        <v>Presencia perturbadora, Apariencia asquerosa, Solitario (4+), Atento al balón, Placaje defensivo, Tentaculos</v>
      </c>
      <c r="I67" s="3" t="str">
        <f>IF('Pack BB2020'!$J$24="Español",N67,(IF('Pack BB2020'!$J$24="Deutsch",O67,(IF('Pack BB2020'!$J$24="Italiano",Q67,(IF('Pack BB2020'!$J$24="Français",P67,M67)))))))</f>
        <v>Tinta negra: Una vez por partida, al inicio de cualquiera de sus activaciones, Kiroth puede elegir a un jugador rival al que esté marcando. El jugador elegido pierde su Zona hasta su siguiente reactivación.</v>
      </c>
      <c r="J67" s="16">
        <v>160000</v>
      </c>
      <c r="K67" s="1">
        <f t="shared" si="0"/>
        <v>0</v>
      </c>
      <c r="L67" s="4"/>
      <c r="M67" s="20" t="s">
        <v>1558</v>
      </c>
      <c r="N67" s="20" t="s">
        <v>1578</v>
      </c>
      <c r="O67" s="19" t="s">
        <v>1579</v>
      </c>
      <c r="P67" s="19" t="s">
        <v>1580</v>
      </c>
      <c r="Q67" s="19" t="s">
        <v>1581</v>
      </c>
      <c r="R67" s="19"/>
      <c r="S67" s="19" t="s">
        <v>1559</v>
      </c>
      <c r="T67" t="s">
        <v>1594</v>
      </c>
      <c r="U67" t="s">
        <v>1603</v>
      </c>
      <c r="V67" t="s">
        <v>1607</v>
      </c>
      <c r="BI67" s="23"/>
    </row>
    <row r="68" spans="1:74" ht="12.75" customHeight="1" x14ac:dyDescent="0.2">
      <c r="A68" s="9" t="s">
        <v>1648</v>
      </c>
      <c r="B68" s="9" t="s">
        <v>1549</v>
      </c>
      <c r="C68" s="9">
        <v>7</v>
      </c>
      <c r="D68" s="9">
        <v>2</v>
      </c>
      <c r="E68" s="9" t="s">
        <v>728</v>
      </c>
      <c r="F68" s="9" t="s">
        <v>768</v>
      </c>
      <c r="G68" s="9" t="s">
        <v>761</v>
      </c>
      <c r="H68" s="3" t="str">
        <f>IF('Pack BB2020'!$J$24="Español",T68,(IF('Pack BB2020'!$J$24="Deutsch",U68,(IF('Pack BB2020'!$J$24="Français",V68,S68)))))</f>
        <v>Presencia perturbadora, Zafarse, Solitario (4+), Echarse a un lado, Apuñalar, Escurridizo</v>
      </c>
      <c r="I68" s="3" t="str">
        <f>IF('Pack BB2020'!$J$24="Español",N68,(IF('Pack BB2020'!$J$24="Deutsch",O68,(IF('Pack BB2020'!$J$24="Italiano",Q68,(IF('Pack BB2020'!$J$24="Français",P68,M68)))))))</f>
        <v>Estallido Furioso: Una vez por mitad, siempre que esté de pie al inicio de la activación, Swiftvine puede colocarse adyacente a un jugador rival de pie en un radio de 3 casillas e inmediatamente realizar una acción especial de puñalada contra él. A continuación, puede volver a colocarse en una casilla desocupada en un radio de 3 casillas desde su nueva posición. Su activación finaliza inmediatamente. Esto cuenta como la acción Penetración del equipo para el turno.</v>
      </c>
      <c r="J68" s="16">
        <v>110000</v>
      </c>
      <c r="K68" s="1">
        <f t="shared" si="0"/>
        <v>0</v>
      </c>
      <c r="L68" s="4"/>
      <c r="M68" s="20" t="s">
        <v>1560</v>
      </c>
      <c r="N68" s="20" t="s">
        <v>1586</v>
      </c>
      <c r="O68" s="19" t="s">
        <v>1582</v>
      </c>
      <c r="P68" s="19" t="s">
        <v>1583</v>
      </c>
      <c r="Q68" s="19" t="s">
        <v>1584</v>
      </c>
      <c r="R68" s="19"/>
      <c r="S68" s="19" t="s">
        <v>1561</v>
      </c>
      <c r="T68" t="s">
        <v>1600</v>
      </c>
      <c r="U68" t="s">
        <v>1604</v>
      </c>
      <c r="V68" t="s">
        <v>1611</v>
      </c>
      <c r="BI68" s="23"/>
    </row>
    <row r="69" spans="1:74" ht="12.75" customHeight="1" x14ac:dyDescent="0.2">
      <c r="A69" s="9" t="s">
        <v>1649</v>
      </c>
      <c r="B69" s="9" t="s">
        <v>1550</v>
      </c>
      <c r="C69" s="9">
        <v>3</v>
      </c>
      <c r="D69" s="9">
        <v>5</v>
      </c>
      <c r="E69" s="9" t="s">
        <v>768</v>
      </c>
      <c r="F69" s="9" t="s">
        <v>768</v>
      </c>
      <c r="G69" s="9" t="s">
        <v>779</v>
      </c>
      <c r="H69" s="3" t="str">
        <f>IF('Pack BB2020'!$J$24="Español",T69,(IF('Pack BB2020'!$J$24="Deutsch",U69,(IF('Pack BB2020'!$J$24="Français",V69,S69)))))</f>
        <v>Luchador, Apartar, Solitario (4+), Golpe mortífero (+1), Mantenerse firme, Tentáculos, Cabeza dura</v>
      </c>
      <c r="I69" s="3" t="str">
        <f>IF('Pack BB2020'!$J$24="Español",N69,(IF('Pack BB2020'!$J$24="Deutsch",O69,(IF('Pack BB2020'!$J$24="Italiano",Q69,(IF('Pack BB2020'!$J$24="Français",P69,M69)))))))</f>
        <v>Enredaderas Viciosas: Una vez por mitad, cuando Maple declara una acción de Bloqueo puede hacerlo contra un jugador contrario que esté a 2 casillas de distancia siguiendo todas las reglas normales para hacer un Placaje, aunque no puede seguirlo. Esta acción de Placaje no puede formar parte de una acción Penetración.</v>
      </c>
      <c r="J69" s="16">
        <v>210000</v>
      </c>
      <c r="K69" s="1">
        <f t="shared" ref="K69:K70" si="1">IF((IFERROR((VLOOKUP(A69,$B$95:$B$141,1,FALSE)),0))&lt;&gt;0,1,0)</f>
        <v>0</v>
      </c>
      <c r="L69" s="4"/>
      <c r="M69" s="20" t="s">
        <v>1562</v>
      </c>
      <c r="N69" s="20" t="s">
        <v>1585</v>
      </c>
      <c r="O69" s="19" t="s">
        <v>1587</v>
      </c>
      <c r="P69" s="19" t="s">
        <v>1588</v>
      </c>
      <c r="Q69" s="19" t="s">
        <v>1589</v>
      </c>
      <c r="R69" s="19"/>
      <c r="S69" s="19" t="s">
        <v>1563</v>
      </c>
      <c r="T69" t="s">
        <v>1595</v>
      </c>
      <c r="U69" t="s">
        <v>1609</v>
      </c>
      <c r="V69" t="s">
        <v>1610</v>
      </c>
      <c r="BI69" s="23">
        <v>1</v>
      </c>
    </row>
    <row r="70" spans="1:74" ht="12.75" customHeight="1" x14ac:dyDescent="0.2">
      <c r="A70" s="9" t="s">
        <v>1650</v>
      </c>
      <c r="B70" s="9" t="s">
        <v>1551</v>
      </c>
      <c r="C70" s="9">
        <v>7</v>
      </c>
      <c r="D70" s="9">
        <v>4</v>
      </c>
      <c r="E70" s="9" t="s">
        <v>768</v>
      </c>
      <c r="F70" s="9" t="s">
        <v>717</v>
      </c>
      <c r="G70" s="9" t="s">
        <v>750</v>
      </c>
      <c r="H70" s="3" t="str">
        <f>IF('Pack BB2020'!$J$24="Español",T70,(IF('Pack BB2020'!$J$24="Deutsch",U70,(IF('Pack BB2020'!$J$24="Français",V70,S70)))))</f>
        <v>Placar, Apartar, Solitario (4+), Mantenerse firme</v>
      </c>
      <c r="I70" s="3" t="str">
        <f>IF('Pack BB2020'!$J$24="Español",N70,(IF('Pack BB2020'!$J$24="Deutsch",O70,(IF('Pack BB2020'!$J$24="Italiano",Q70,(IF('Pack BB2020'!$J$24="Français",P70,M70)))))))</f>
        <v>Golpe Salvaje: Una vez por partida, cuando Arqi realiza una acción de Placaje contra un jugador rival, puede elegir volver a tirar cualquier número de dados de Placaje.</v>
      </c>
      <c r="J70" s="16">
        <v>190000</v>
      </c>
      <c r="K70" s="1">
        <f t="shared" si="1"/>
        <v>0</v>
      </c>
      <c r="L70" s="4"/>
      <c r="M70" s="20" t="s">
        <v>1564</v>
      </c>
      <c r="N70" s="20" t="s">
        <v>1590</v>
      </c>
      <c r="O70" s="19" t="s">
        <v>1591</v>
      </c>
      <c r="P70" s="19" t="s">
        <v>1592</v>
      </c>
      <c r="Q70" s="19" t="s">
        <v>1593</v>
      </c>
      <c r="R70" s="19"/>
      <c r="S70" s="19" t="s">
        <v>1565</v>
      </c>
      <c r="T70" t="s">
        <v>1596</v>
      </c>
      <c r="U70" t="s">
        <v>1605</v>
      </c>
      <c r="V70" t="s">
        <v>1608</v>
      </c>
    </row>
    <row r="71" spans="1:74" ht="12.75" customHeight="1"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74" ht="12.75" customHeight="1" x14ac:dyDescent="0.2">
      <c r="B72" s="2"/>
      <c r="C72" s="9" t="e">
        <f t="shared" ref="C72:BN72" si="2">IF(C73=1,C74,"")</f>
        <v>#N/A</v>
      </c>
      <c r="D72" s="9" t="e">
        <f t="shared" si="2"/>
        <v>#N/A</v>
      </c>
      <c r="E72" s="9" t="e">
        <f t="shared" si="2"/>
        <v>#N/A</v>
      </c>
      <c r="F72" s="9" t="e">
        <f t="shared" si="2"/>
        <v>#N/A</v>
      </c>
      <c r="G72" s="9" t="e">
        <f t="shared" si="2"/>
        <v>#N/A</v>
      </c>
      <c r="H72" s="9" t="e">
        <f t="shared" si="2"/>
        <v>#N/A</v>
      </c>
      <c r="I72" s="9" t="e">
        <f t="shared" si="2"/>
        <v>#N/A</v>
      </c>
      <c r="J72" s="9" t="e">
        <f t="shared" si="2"/>
        <v>#N/A</v>
      </c>
      <c r="K72" s="9" t="e">
        <f t="shared" si="2"/>
        <v>#N/A</v>
      </c>
      <c r="L72" s="9" t="e">
        <f t="shared" si="2"/>
        <v>#N/A</v>
      </c>
      <c r="M72" s="9" t="e">
        <f t="shared" si="2"/>
        <v>#N/A</v>
      </c>
      <c r="N72" s="9" t="e">
        <f t="shared" si="2"/>
        <v>#N/A</v>
      </c>
      <c r="O72" s="9" t="e">
        <f t="shared" si="2"/>
        <v>#N/A</v>
      </c>
      <c r="P72" s="9" t="e">
        <f t="shared" si="2"/>
        <v>#N/A</v>
      </c>
      <c r="Q72" s="9" t="e">
        <f t="shared" si="2"/>
        <v>#N/A</v>
      </c>
      <c r="R72" s="9" t="e">
        <f t="shared" si="2"/>
        <v>#N/A</v>
      </c>
      <c r="S72" s="9" t="e">
        <f t="shared" si="2"/>
        <v>#N/A</v>
      </c>
      <c r="T72" s="9" t="e">
        <f t="shared" si="2"/>
        <v>#N/A</v>
      </c>
      <c r="U72" s="9" t="e">
        <f t="shared" si="2"/>
        <v>#N/A</v>
      </c>
      <c r="V72" s="9" t="e">
        <f t="shared" si="2"/>
        <v>#N/A</v>
      </c>
      <c r="W72" s="9" t="e">
        <f t="shared" si="2"/>
        <v>#N/A</v>
      </c>
      <c r="X72" s="9" t="e">
        <f t="shared" si="2"/>
        <v>#N/A</v>
      </c>
      <c r="Y72" s="9" t="e">
        <f t="shared" si="2"/>
        <v>#N/A</v>
      </c>
      <c r="Z72" s="9" t="e">
        <f t="shared" si="2"/>
        <v>#N/A</v>
      </c>
      <c r="AA72" s="9" t="e">
        <f t="shared" si="2"/>
        <v>#N/A</v>
      </c>
      <c r="AB72" s="9" t="e">
        <f t="shared" si="2"/>
        <v>#N/A</v>
      </c>
      <c r="AC72" s="9" t="e">
        <f t="shared" si="2"/>
        <v>#N/A</v>
      </c>
      <c r="AD72" s="9" t="e">
        <f t="shared" si="2"/>
        <v>#N/A</v>
      </c>
      <c r="AE72" s="9" t="e">
        <f t="shared" si="2"/>
        <v>#N/A</v>
      </c>
      <c r="AF72" s="9" t="e">
        <f t="shared" si="2"/>
        <v>#N/A</v>
      </c>
      <c r="AG72" s="9" t="e">
        <f t="shared" si="2"/>
        <v>#N/A</v>
      </c>
      <c r="AH72" s="9" t="e">
        <f t="shared" si="2"/>
        <v>#N/A</v>
      </c>
      <c r="AI72" s="9" t="e">
        <f t="shared" si="2"/>
        <v>#N/A</v>
      </c>
      <c r="AJ72" s="9" t="e">
        <f t="shared" si="2"/>
        <v>#N/A</v>
      </c>
      <c r="AK72" s="9" t="e">
        <f t="shared" si="2"/>
        <v>#N/A</v>
      </c>
      <c r="AL72" s="9" t="e">
        <f t="shared" si="2"/>
        <v>#N/A</v>
      </c>
      <c r="AM72" s="9" t="e">
        <f t="shared" si="2"/>
        <v>#N/A</v>
      </c>
      <c r="AN72" s="9" t="e">
        <f t="shared" si="2"/>
        <v>#N/A</v>
      </c>
      <c r="AO72" s="9" t="e">
        <f t="shared" si="2"/>
        <v>#N/A</v>
      </c>
      <c r="AP72" s="9" t="e">
        <f t="shared" si="2"/>
        <v>#N/A</v>
      </c>
      <c r="AQ72" s="9" t="e">
        <f t="shared" si="2"/>
        <v>#N/A</v>
      </c>
      <c r="AR72" s="9" t="e">
        <f t="shared" si="2"/>
        <v>#N/A</v>
      </c>
      <c r="AS72" s="9" t="e">
        <f t="shared" si="2"/>
        <v>#N/A</v>
      </c>
      <c r="AT72" s="9" t="e">
        <f t="shared" si="2"/>
        <v>#N/A</v>
      </c>
      <c r="AU72" s="9" t="e">
        <f t="shared" si="2"/>
        <v>#N/A</v>
      </c>
      <c r="AV72" s="9" t="e">
        <f t="shared" si="2"/>
        <v>#N/A</v>
      </c>
      <c r="AW72" s="9" t="e">
        <f t="shared" si="2"/>
        <v>#N/A</v>
      </c>
      <c r="AX72" s="9" t="e">
        <f t="shared" si="2"/>
        <v>#N/A</v>
      </c>
      <c r="AY72" s="9" t="e">
        <f t="shared" si="2"/>
        <v>#N/A</v>
      </c>
      <c r="AZ72" s="9" t="e">
        <f t="shared" si="2"/>
        <v>#N/A</v>
      </c>
      <c r="BA72" s="9" t="e">
        <f t="shared" si="2"/>
        <v>#N/A</v>
      </c>
      <c r="BB72" s="9" t="e">
        <f t="shared" si="2"/>
        <v>#N/A</v>
      </c>
      <c r="BC72" s="9" t="e">
        <f t="shared" si="2"/>
        <v>#N/A</v>
      </c>
      <c r="BD72" s="9" t="e">
        <f t="shared" si="2"/>
        <v>#N/A</v>
      </c>
      <c r="BE72" s="9" t="e">
        <f t="shared" si="2"/>
        <v>#N/A</v>
      </c>
      <c r="BF72" s="9" t="e">
        <f t="shared" si="2"/>
        <v>#N/A</v>
      </c>
      <c r="BG72" s="9" t="e">
        <f t="shared" si="2"/>
        <v>#N/A</v>
      </c>
      <c r="BH72" s="9" t="e">
        <f t="shared" si="2"/>
        <v>#N/A</v>
      </c>
      <c r="BI72" s="9" t="e">
        <f t="shared" si="2"/>
        <v>#N/A</v>
      </c>
      <c r="BJ72" s="9" t="e">
        <f t="shared" si="2"/>
        <v>#N/A</v>
      </c>
      <c r="BK72" s="9" t="e">
        <f t="shared" si="2"/>
        <v>#N/A</v>
      </c>
      <c r="BL72" s="9" t="e">
        <f t="shared" si="2"/>
        <v>#N/A</v>
      </c>
      <c r="BM72" s="9" t="e">
        <f t="shared" si="2"/>
        <v>#N/A</v>
      </c>
      <c r="BN72" s="9" t="e">
        <f t="shared" si="2"/>
        <v>#N/A</v>
      </c>
      <c r="BO72" s="9" t="e">
        <f t="shared" ref="BO72:BU72" si="3">IF(BO73=1,BO74,"")</f>
        <v>#N/A</v>
      </c>
      <c r="BP72" s="9" t="e">
        <f t="shared" si="3"/>
        <v>#N/A</v>
      </c>
      <c r="BQ72" s="9" t="e">
        <f t="shared" si="3"/>
        <v>#N/A</v>
      </c>
      <c r="BR72" s="9" t="e">
        <f t="shared" si="3"/>
        <v>#N/A</v>
      </c>
      <c r="BS72" s="9" t="e">
        <f t="shared" si="3"/>
        <v>#N/A</v>
      </c>
      <c r="BT72" s="9" t="e">
        <f t="shared" si="3"/>
        <v>#N/A</v>
      </c>
      <c r="BU72" s="9" t="e">
        <f t="shared" si="3"/>
        <v>#N/A</v>
      </c>
    </row>
    <row r="73" spans="1:74" ht="12.75" customHeight="1" x14ac:dyDescent="0.2">
      <c r="B73" s="2" t="str">
        <f>IF('Pack BB2020'!BU2="OldWorldClassicFavouredof",(IF('Pack BB2020'!AJ30="Old World Classic","OldWorldClassic",(IF('Pack BB2020'!AJ30="Favoured Of","FavouredOf","")))),'Pack BB2020'!BU2)</f>
        <v/>
      </c>
      <c r="C73" s="9" t="e">
        <f>VLOOKUP($B$73,$B$76:$BU$92,2,FALSE)</f>
        <v>#N/A</v>
      </c>
      <c r="D73" s="9" t="e">
        <f>VLOOKUP($B$73,$B$76:$BU$92,3,FALSE)</f>
        <v>#N/A</v>
      </c>
      <c r="E73" s="9" t="e">
        <f>VLOOKUP($B$73,$B$76:$BU$92,4,FALSE)</f>
        <v>#N/A</v>
      </c>
      <c r="F73" s="9" t="e">
        <f>VLOOKUP($B$73,$B$76:$BU$92,5,FALSE)</f>
        <v>#N/A</v>
      </c>
      <c r="G73" s="9" t="e">
        <f>VLOOKUP($B$73,$B$76:$BU$92,6,FALSE)</f>
        <v>#N/A</v>
      </c>
      <c r="H73" s="9" t="e">
        <f>VLOOKUP($B$73,$B$76:$BU$92,7,FALSE)</f>
        <v>#N/A</v>
      </c>
      <c r="I73" s="9" t="e">
        <f>VLOOKUP($B$73,$B$76:$BU$92,8,FALSE)</f>
        <v>#N/A</v>
      </c>
      <c r="J73" s="9" t="e">
        <f>VLOOKUP($B$73,$B$76:$BU$92,9,FALSE)</f>
        <v>#N/A</v>
      </c>
      <c r="K73" s="9" t="e">
        <f>VLOOKUP($B$73,$B$76:$BU$92,10,FALSE)</f>
        <v>#N/A</v>
      </c>
      <c r="L73" s="9" t="e">
        <f>VLOOKUP($B$73,$B$76:$BU$92,11,FALSE)</f>
        <v>#N/A</v>
      </c>
      <c r="M73" s="9" t="e">
        <f>VLOOKUP($B$73,$B$76:$BU$92,12,FALSE)</f>
        <v>#N/A</v>
      </c>
      <c r="N73" s="9" t="e">
        <f>VLOOKUP($B$73,$B$76:$BU$92,13,FALSE)</f>
        <v>#N/A</v>
      </c>
      <c r="O73" s="9" t="e">
        <f>VLOOKUP($B$73,$B$76:$BU$92,14,FALSE)</f>
        <v>#N/A</v>
      </c>
      <c r="P73" s="9" t="e">
        <f>VLOOKUP($B$73,$B$76:$BU$92,15,FALSE)</f>
        <v>#N/A</v>
      </c>
      <c r="Q73" s="9" t="e">
        <f>VLOOKUP($B$73,$B$76:$BU$92,16,FALSE)</f>
        <v>#N/A</v>
      </c>
      <c r="R73" s="9" t="e">
        <f>VLOOKUP($B$73,$B$76:$BU$92,17,FALSE)</f>
        <v>#N/A</v>
      </c>
      <c r="S73" s="9" t="e">
        <f>VLOOKUP($B$73,$B$76:$BU$92,18,FALSE)</f>
        <v>#N/A</v>
      </c>
      <c r="T73" s="9" t="e">
        <f>VLOOKUP($B$73,$B$76:$BU$92,19,FALSE)</f>
        <v>#N/A</v>
      </c>
      <c r="U73" s="9" t="e">
        <f>VLOOKUP($B$73,$B$76:$BU$92,20,FALSE)</f>
        <v>#N/A</v>
      </c>
      <c r="V73" s="9" t="e">
        <f>VLOOKUP($B$73,$B$76:$BU$92,21,FALSE)</f>
        <v>#N/A</v>
      </c>
      <c r="W73" s="9" t="e">
        <f>VLOOKUP($B$73,$B$76:$BU$92,22,FALSE)</f>
        <v>#N/A</v>
      </c>
      <c r="X73" s="9" t="e">
        <f>VLOOKUP($B$73,$B$76:$BU$92,23,FALSE)</f>
        <v>#N/A</v>
      </c>
      <c r="Y73" s="9" t="e">
        <f>VLOOKUP($B$73,$B$76:$BU$92,24,FALSE)</f>
        <v>#N/A</v>
      </c>
      <c r="Z73" s="9" t="e">
        <f>VLOOKUP($B$73,$B$76:$BU$92,25,FALSE)</f>
        <v>#N/A</v>
      </c>
      <c r="AA73" s="9" t="e">
        <f>VLOOKUP($B$73,$B$76:$BU$92,26,FALSE)</f>
        <v>#N/A</v>
      </c>
      <c r="AB73" s="9" t="e">
        <f>VLOOKUP($B$73,$B$76:$BU$92,27,FALSE)</f>
        <v>#N/A</v>
      </c>
      <c r="AC73" s="9" t="e">
        <f>VLOOKUP($B$73,$B$76:$BU$92,28,FALSE)</f>
        <v>#N/A</v>
      </c>
      <c r="AD73" s="9" t="e">
        <f>VLOOKUP($B$73,$B$76:$BU$92,29,FALSE)</f>
        <v>#N/A</v>
      </c>
      <c r="AE73" s="9" t="e">
        <f>VLOOKUP($B$73,$B$76:$BU$92,30,FALSE)</f>
        <v>#N/A</v>
      </c>
      <c r="AF73" s="9" t="e">
        <f>VLOOKUP($B$73,$B$76:$BU$92,31,FALSE)</f>
        <v>#N/A</v>
      </c>
      <c r="AG73" s="9" t="e">
        <f>VLOOKUP($B$73,$B$76:$BU$92,32,FALSE)</f>
        <v>#N/A</v>
      </c>
      <c r="AH73" s="9" t="e">
        <f>VLOOKUP($B$73,$B$76:$BU$92,33,FALSE)</f>
        <v>#N/A</v>
      </c>
      <c r="AI73" s="9" t="e">
        <f>VLOOKUP($B$73,$B$76:$BU$92,34,FALSE)</f>
        <v>#N/A</v>
      </c>
      <c r="AJ73" s="9" t="e">
        <f>VLOOKUP($B$73,$B$76:$BU$92,35,FALSE)</f>
        <v>#N/A</v>
      </c>
      <c r="AK73" s="9" t="e">
        <f>VLOOKUP($B$73,$B$76:$BU$92,36,FALSE)</f>
        <v>#N/A</v>
      </c>
      <c r="AL73" s="9" t="e">
        <f>VLOOKUP($B$73,$B$76:$BU$92,37,FALSE)</f>
        <v>#N/A</v>
      </c>
      <c r="AM73" s="9" t="e">
        <f>VLOOKUP($B$73,$B$76:$BU$92,38,FALSE)</f>
        <v>#N/A</v>
      </c>
      <c r="AN73" s="9" t="e">
        <f>VLOOKUP($B$73,$B$76:$BU$92,39,FALSE)</f>
        <v>#N/A</v>
      </c>
      <c r="AO73" s="9" t="e">
        <f>VLOOKUP($B$73,$B$76:$BU$92,40,FALSE)</f>
        <v>#N/A</v>
      </c>
      <c r="AP73" s="9" t="e">
        <f>VLOOKUP($B$73,$B$76:$BU$92,41,FALSE)</f>
        <v>#N/A</v>
      </c>
      <c r="AQ73" s="9" t="e">
        <f>VLOOKUP($B$73,$B$76:$BU$92,42,FALSE)</f>
        <v>#N/A</v>
      </c>
      <c r="AR73" s="9" t="e">
        <f>VLOOKUP($B$73,$B$76:$BU$92,43,FALSE)</f>
        <v>#N/A</v>
      </c>
      <c r="AS73" s="9" t="e">
        <f>VLOOKUP($B$73,$B$76:$BU$92,44,FALSE)</f>
        <v>#N/A</v>
      </c>
      <c r="AT73" s="9" t="e">
        <f>VLOOKUP($B$73,$B$76:$BU$92,45,FALSE)</f>
        <v>#N/A</v>
      </c>
      <c r="AU73" s="9" t="e">
        <f>VLOOKUP($B$73,$B$76:$BU$92,46,FALSE)</f>
        <v>#N/A</v>
      </c>
      <c r="AV73" s="9" t="e">
        <f>VLOOKUP($B$73,$B$76:$BU$92,47,FALSE)</f>
        <v>#N/A</v>
      </c>
      <c r="AW73" s="9" t="e">
        <f>VLOOKUP($B$73,$B$76:$BU$92,48,FALSE)</f>
        <v>#N/A</v>
      </c>
      <c r="AX73" s="9" t="e">
        <f>VLOOKUP($B$73,$B$76:$BU$92,49,FALSE)</f>
        <v>#N/A</v>
      </c>
      <c r="AY73" s="9" t="e">
        <f>VLOOKUP($B$73,$B$76:$BU$92,50,FALSE)</f>
        <v>#N/A</v>
      </c>
      <c r="AZ73" s="9" t="e">
        <f>VLOOKUP($B$73,$B$76:$BU$92,51,FALSE)</f>
        <v>#N/A</v>
      </c>
      <c r="BA73" s="9" t="e">
        <f>VLOOKUP($B$73,$B$76:$BU$92,52,FALSE)</f>
        <v>#N/A</v>
      </c>
      <c r="BB73" s="9" t="e">
        <f>VLOOKUP($B$73,$B$76:$BU$92,53,FALSE)</f>
        <v>#N/A</v>
      </c>
      <c r="BC73" s="9" t="e">
        <f>VLOOKUP($B$73,$B$76:$BU$92,54,FALSE)</f>
        <v>#N/A</v>
      </c>
      <c r="BD73" s="9" t="e">
        <f>VLOOKUP($B$73,$B$76:$BU$92,55,FALSE)</f>
        <v>#N/A</v>
      </c>
      <c r="BE73" s="9" t="e">
        <f>VLOOKUP($B$73,$B$76:$BU$92,56,FALSE)</f>
        <v>#N/A</v>
      </c>
      <c r="BF73" s="9" t="e">
        <f>VLOOKUP($B$73,$B$76:$BU$92,57,FALSE)</f>
        <v>#N/A</v>
      </c>
      <c r="BG73" s="9" t="e">
        <f>VLOOKUP($B$73,$B$76:$BU$92,58,FALSE)</f>
        <v>#N/A</v>
      </c>
      <c r="BH73" s="9" t="e">
        <f>VLOOKUP($B$73,$B$76:$BU$92,59,FALSE)</f>
        <v>#N/A</v>
      </c>
      <c r="BI73" s="9" t="e">
        <f>VLOOKUP($B$73,$B$76:$BU$92,60,FALSE)</f>
        <v>#N/A</v>
      </c>
      <c r="BJ73" s="9" t="e">
        <f>VLOOKUP($B$73,$B$76:$BU$92,61,FALSE)</f>
        <v>#N/A</v>
      </c>
      <c r="BK73" s="9" t="e">
        <f>VLOOKUP($B$73,$B$76:$BU$92,62,FALSE)</f>
        <v>#N/A</v>
      </c>
      <c r="BL73" s="9" t="e">
        <f>VLOOKUP($B$73,$B$76:$BU$92,63,FALSE)</f>
        <v>#N/A</v>
      </c>
      <c r="BM73" s="9" t="e">
        <f>VLOOKUP($B$73,$B$76:$BU$92,64,FALSE)</f>
        <v>#N/A</v>
      </c>
      <c r="BN73" s="9" t="e">
        <f>VLOOKUP($B$73,$B$76:$BU$92,65,FALSE)</f>
        <v>#N/A</v>
      </c>
      <c r="BO73" s="9" t="e">
        <f>VLOOKUP($B$73,$B$76:$BU$92,66,FALSE)</f>
        <v>#N/A</v>
      </c>
      <c r="BP73" s="9" t="e">
        <f>VLOOKUP($B$73,$B$76:$BU$92,67,FALSE)</f>
        <v>#N/A</v>
      </c>
      <c r="BQ73" s="9" t="e">
        <f>VLOOKUP($B$73,$B$76:$BU$92,68,FALSE)</f>
        <v>#N/A</v>
      </c>
      <c r="BR73" s="9" t="e">
        <f>VLOOKUP($B$73,$B$76:$BU$92,69,FALSE)</f>
        <v>#N/A</v>
      </c>
      <c r="BS73" s="9" t="e">
        <f>VLOOKUP($B$73,$B$76:$BU$92,70,FALSE)</f>
        <v>#N/A</v>
      </c>
      <c r="BT73" s="9" t="e">
        <f>VLOOKUP($B$73,$B$76:$BU$92,71,FALSE)</f>
        <v>#N/A</v>
      </c>
      <c r="BU73" s="9" t="e">
        <f>VLOOKUP($B$73,$B$76:$BU$92,72,FALSE)</f>
        <v>#N/A</v>
      </c>
    </row>
    <row r="74" spans="1:74" ht="12.75" customHeight="1" x14ac:dyDescent="0.2">
      <c r="B74" s="19"/>
      <c r="C74" s="2" t="s">
        <v>1240</v>
      </c>
      <c r="D74" s="2" t="s">
        <v>1107</v>
      </c>
      <c r="E74" s="9" t="s">
        <v>1452</v>
      </c>
      <c r="F74" s="2" t="s">
        <v>714</v>
      </c>
      <c r="G74" s="2" t="s">
        <v>1106</v>
      </c>
      <c r="H74" s="2" t="s">
        <v>1100</v>
      </c>
      <c r="I74" s="9" t="s">
        <v>1648</v>
      </c>
      <c r="J74" s="2" t="s">
        <v>1259</v>
      </c>
      <c r="K74" s="2" t="s">
        <v>1236</v>
      </c>
      <c r="L74" s="2" t="s">
        <v>1263</v>
      </c>
      <c r="M74" s="2" t="s">
        <v>965</v>
      </c>
      <c r="N74" s="9" t="s">
        <v>1510</v>
      </c>
      <c r="O74" s="9" t="s">
        <v>1511</v>
      </c>
      <c r="P74" s="2" t="s">
        <v>1025</v>
      </c>
      <c r="Q74" s="2" t="s">
        <v>726</v>
      </c>
      <c r="R74" s="2" t="s">
        <v>888</v>
      </c>
      <c r="S74" s="2" t="s">
        <v>878</v>
      </c>
      <c r="T74" s="2" t="s">
        <v>898</v>
      </c>
      <c r="U74" s="2" t="s">
        <v>1421</v>
      </c>
      <c r="V74" s="9" t="s">
        <v>1463</v>
      </c>
      <c r="W74" s="9" t="s">
        <v>1647</v>
      </c>
      <c r="X74" s="2" t="s">
        <v>809</v>
      </c>
      <c r="Y74" s="2" t="s">
        <v>1092</v>
      </c>
      <c r="Z74" s="2" t="s">
        <v>1171</v>
      </c>
      <c r="AA74" s="2" t="s">
        <v>1267</v>
      </c>
      <c r="AB74" s="2" t="s">
        <v>1251</v>
      </c>
      <c r="AC74" s="2" t="s">
        <v>1615</v>
      </c>
      <c r="AD74" s="9" t="s">
        <v>1244</v>
      </c>
      <c r="AE74" s="9" t="s">
        <v>1248</v>
      </c>
      <c r="AF74" s="9" t="s">
        <v>1650</v>
      </c>
      <c r="AG74" s="9" t="s">
        <v>1406</v>
      </c>
      <c r="AH74" s="9" t="s">
        <v>1200</v>
      </c>
      <c r="AI74" s="2" t="s">
        <v>799</v>
      </c>
      <c r="AJ74" s="2" t="s">
        <v>819</v>
      </c>
      <c r="AK74" s="2" t="s">
        <v>1015</v>
      </c>
      <c r="AL74" s="2" t="s">
        <v>1222</v>
      </c>
      <c r="AM74" s="9" t="s">
        <v>1649</v>
      </c>
      <c r="AN74" s="2" t="s">
        <v>788</v>
      </c>
      <c r="AO74" s="2" t="s">
        <v>829</v>
      </c>
      <c r="AP74" s="2" t="s">
        <v>839</v>
      </c>
      <c r="AQ74" s="2" t="s">
        <v>995</v>
      </c>
      <c r="AR74" s="2" t="s">
        <v>975</v>
      </c>
      <c r="AS74" s="2" t="s">
        <v>738</v>
      </c>
      <c r="AT74" s="2" t="s">
        <v>908</v>
      </c>
      <c r="AU74" s="2" t="s">
        <v>918</v>
      </c>
      <c r="AV74" s="2" t="s">
        <v>1361</v>
      </c>
      <c r="AW74" s="2" t="s">
        <v>1005</v>
      </c>
      <c r="AX74" s="2" t="s">
        <v>869</v>
      </c>
      <c r="AY74" s="2" t="s">
        <v>1149</v>
      </c>
      <c r="AZ74" s="2" t="s">
        <v>1255</v>
      </c>
      <c r="BA74" s="2" t="s">
        <v>1160</v>
      </c>
      <c r="BB74" s="9" t="s">
        <v>1617</v>
      </c>
      <c r="BC74" s="2" t="s">
        <v>747</v>
      </c>
      <c r="BD74" s="2" t="s">
        <v>759</v>
      </c>
      <c r="BE74" s="2" t="s">
        <v>985</v>
      </c>
      <c r="BF74" s="2" t="s">
        <v>955</v>
      </c>
      <c r="BG74" s="2" t="s">
        <v>1211</v>
      </c>
      <c r="BH74" s="2" t="s">
        <v>928</v>
      </c>
      <c r="BI74" s="2" t="s">
        <v>849</v>
      </c>
      <c r="BJ74" s="2" t="s">
        <v>859</v>
      </c>
      <c r="BK74" s="2" t="s">
        <v>766</v>
      </c>
      <c r="BL74" s="9" t="s">
        <v>1509</v>
      </c>
      <c r="BM74" s="2" t="s">
        <v>1616</v>
      </c>
      <c r="BN74" s="2" t="s">
        <v>1350</v>
      </c>
      <c r="BO74" s="2" t="s">
        <v>939</v>
      </c>
      <c r="BP74" s="2" t="s">
        <v>949</v>
      </c>
      <c r="BQ74" s="2" t="s">
        <v>777</v>
      </c>
      <c r="BR74" s="23" t="s">
        <v>1234</v>
      </c>
      <c r="BS74" s="23" t="s">
        <v>1087</v>
      </c>
      <c r="BT74" s="23" t="s">
        <v>1088</v>
      </c>
      <c r="BU74" s="23" t="s">
        <v>1089</v>
      </c>
    </row>
    <row r="75" spans="1:74" ht="12.75" customHeight="1" x14ac:dyDescent="0.2">
      <c r="B75" s="19"/>
      <c r="C75" s="2" t="s">
        <v>1241</v>
      </c>
      <c r="D75" s="2" t="s">
        <v>1111</v>
      </c>
      <c r="E75" s="9" t="s">
        <v>1453</v>
      </c>
      <c r="F75" s="2" t="s">
        <v>715</v>
      </c>
      <c r="G75" s="2" t="s">
        <v>1108</v>
      </c>
      <c r="H75" s="2" t="s">
        <v>1101</v>
      </c>
      <c r="I75" s="9" t="s">
        <v>1549</v>
      </c>
      <c r="J75" s="2" t="s">
        <v>1260</v>
      </c>
      <c r="K75" s="2" t="s">
        <v>1237</v>
      </c>
      <c r="L75" s="2" t="s">
        <v>1264</v>
      </c>
      <c r="M75" s="2" t="s">
        <v>966</v>
      </c>
      <c r="N75" s="9" t="s">
        <v>1515</v>
      </c>
      <c r="O75" s="9" t="s">
        <v>1518</v>
      </c>
      <c r="P75" s="2" t="s">
        <v>1026</v>
      </c>
      <c r="Q75" s="2" t="s">
        <v>727</v>
      </c>
      <c r="R75" s="2" t="s">
        <v>889</v>
      </c>
      <c r="S75" s="2" t="s">
        <v>879</v>
      </c>
      <c r="T75" s="2" t="s">
        <v>899</v>
      </c>
      <c r="U75" s="2" t="s">
        <v>1420</v>
      </c>
      <c r="V75" s="9" t="s">
        <v>1464</v>
      </c>
      <c r="W75" s="9" t="s">
        <v>1548</v>
      </c>
      <c r="X75" s="2" t="s">
        <v>810</v>
      </c>
      <c r="Y75" s="2" t="s">
        <v>1093</v>
      </c>
      <c r="Z75" s="9" t="s">
        <v>1172</v>
      </c>
      <c r="AA75" s="2" t="s">
        <v>1268</v>
      </c>
      <c r="AB75" s="2" t="s">
        <v>1252</v>
      </c>
      <c r="AC75" s="2" t="s">
        <v>1545</v>
      </c>
      <c r="AD75" s="9" t="s">
        <v>1245</v>
      </c>
      <c r="AE75" s="9" t="s">
        <v>1249</v>
      </c>
      <c r="AF75" s="9" t="s">
        <v>1551</v>
      </c>
      <c r="AG75" s="9" t="s">
        <v>1407</v>
      </c>
      <c r="AH75" s="9" t="s">
        <v>1201</v>
      </c>
      <c r="AI75" s="2" t="s">
        <v>800</v>
      </c>
      <c r="AJ75" s="2" t="s">
        <v>820</v>
      </c>
      <c r="AK75" s="2" t="s">
        <v>1016</v>
      </c>
      <c r="AL75" s="2" t="s">
        <v>1223</v>
      </c>
      <c r="AM75" s="9" t="s">
        <v>1550</v>
      </c>
      <c r="AN75" s="2" t="s">
        <v>789</v>
      </c>
      <c r="AO75" s="2" t="s">
        <v>830</v>
      </c>
      <c r="AP75" s="2" t="s">
        <v>840</v>
      </c>
      <c r="AQ75" s="2" t="s">
        <v>996</v>
      </c>
      <c r="AR75" s="2" t="s">
        <v>976</v>
      </c>
      <c r="AS75" s="2" t="s">
        <v>739</v>
      </c>
      <c r="AT75" s="2" t="s">
        <v>909</v>
      </c>
      <c r="AU75" s="2" t="s">
        <v>919</v>
      </c>
      <c r="AV75" s="26" t="s">
        <v>1362</v>
      </c>
      <c r="AW75" s="2" t="s">
        <v>1006</v>
      </c>
      <c r="AX75" s="2" t="s">
        <v>870</v>
      </c>
      <c r="AY75" s="2" t="s">
        <v>1150</v>
      </c>
      <c r="AZ75" s="2" t="s">
        <v>1256</v>
      </c>
      <c r="BA75" s="9" t="s">
        <v>1161</v>
      </c>
      <c r="BB75" s="9" t="s">
        <v>1547</v>
      </c>
      <c r="BC75" s="2" t="s">
        <v>748</v>
      </c>
      <c r="BD75" s="2" t="s">
        <v>760</v>
      </c>
      <c r="BE75" s="2" t="s">
        <v>986</v>
      </c>
      <c r="BF75" s="2" t="s">
        <v>956</v>
      </c>
      <c r="BG75" s="2" t="s">
        <v>1212</v>
      </c>
      <c r="BH75" s="2" t="s">
        <v>929</v>
      </c>
      <c r="BI75" s="2" t="s">
        <v>850</v>
      </c>
      <c r="BJ75" s="2" t="s">
        <v>860</v>
      </c>
      <c r="BK75" s="2" t="s">
        <v>767</v>
      </c>
      <c r="BL75" s="9" t="s">
        <v>1512</v>
      </c>
      <c r="BM75" s="2" t="s">
        <v>1546</v>
      </c>
      <c r="BN75" s="9" t="s">
        <v>1351</v>
      </c>
      <c r="BO75" s="2" t="s">
        <v>940</v>
      </c>
      <c r="BP75" s="2" t="s">
        <v>950</v>
      </c>
      <c r="BQ75" s="2" t="s">
        <v>778</v>
      </c>
      <c r="BR75" s="23" t="s">
        <v>1235</v>
      </c>
      <c r="BS75" s="2" t="str">
        <f>IF('Pack BB2020'!J24="Italiano","Mercenario 1",(IF('Pack BB2020'!J24="Español","Mercenario 1",(IF('Pack BB2020'!J24="Français","Mercenaire 1","Mercenary 1")))))</f>
        <v>Mercenario 1</v>
      </c>
      <c r="BT75" s="2" t="str">
        <f>IF('Pack BB2020'!J24="Italiano","Mercenario 2",(IF('Pack BB2020'!J24="Español","Mercenario 2",(IF('Pack BB2020'!J24="Français","Mercenaire 2","Mercenary 2")))))</f>
        <v>Mercenario 2</v>
      </c>
      <c r="BU75" s="2" t="str">
        <f>IF('Pack BB2020'!J24="Italiano","Mercenario 3",(IF('Pack BB2020'!J24="Español","Mercenario 3",(IF('Pack BB2020'!J24="Français","Mercenaire 3","Mercenary 3")))))</f>
        <v>Mercenario 3</v>
      </c>
    </row>
    <row r="76" spans="1:74" ht="12.75" customHeight="1" x14ac:dyDescent="0.2">
      <c r="B76" s="23" t="s">
        <v>24</v>
      </c>
      <c r="C76" s="23"/>
      <c r="D76" s="23">
        <v>1</v>
      </c>
      <c r="E76" s="23"/>
      <c r="F76" s="23">
        <v>1</v>
      </c>
      <c r="G76" s="23">
        <v>1</v>
      </c>
      <c r="H76" s="23"/>
      <c r="J76" s="23">
        <v>1</v>
      </c>
      <c r="K76" s="23"/>
      <c r="L76" s="23">
        <v>1</v>
      </c>
      <c r="M76" s="23"/>
      <c r="N76" s="23">
        <v>1</v>
      </c>
      <c r="O76" s="23">
        <v>1</v>
      </c>
      <c r="Q76" s="23">
        <v>1</v>
      </c>
      <c r="R76" s="23"/>
      <c r="S76" s="23"/>
      <c r="T76" s="23"/>
      <c r="U76" s="23"/>
      <c r="V76" s="23"/>
      <c r="X76" s="23"/>
      <c r="Y76" s="23"/>
      <c r="Z76" s="23"/>
      <c r="AB76" s="23"/>
      <c r="AD76" s="23"/>
      <c r="AE76" s="23"/>
      <c r="AF76" s="23"/>
      <c r="AG76" s="23"/>
      <c r="AH76" s="23"/>
      <c r="AI76" s="23"/>
      <c r="AJ76" s="23"/>
      <c r="AK76" s="23"/>
      <c r="AL76" s="23"/>
      <c r="AN76" s="23"/>
      <c r="AO76" s="23"/>
      <c r="AP76" s="23"/>
      <c r="AQ76" s="23"/>
      <c r="AR76" s="23"/>
      <c r="AS76" s="23">
        <v>1</v>
      </c>
      <c r="AT76" s="23"/>
      <c r="AU76" s="23"/>
      <c r="AV76" s="23"/>
      <c r="AW76" s="23"/>
      <c r="AX76" s="23"/>
      <c r="AY76" s="23"/>
      <c r="AZ76" s="23">
        <v>1</v>
      </c>
      <c r="BA76" s="23"/>
      <c r="BC76" s="23">
        <v>1</v>
      </c>
      <c r="BD76" s="23">
        <v>1</v>
      </c>
      <c r="BE76" s="23"/>
      <c r="BF76" s="23"/>
      <c r="BG76" s="23"/>
      <c r="BH76" s="23"/>
      <c r="BI76" s="23"/>
      <c r="BJ76" s="23"/>
      <c r="BK76" s="23">
        <v>1</v>
      </c>
      <c r="BL76" s="23">
        <v>1</v>
      </c>
      <c r="BM76" s="23"/>
      <c r="BN76" s="23"/>
      <c r="BO76" s="23"/>
      <c r="BP76" s="23"/>
      <c r="BQ76" s="23">
        <v>1</v>
      </c>
      <c r="BR76" s="23">
        <v>1</v>
      </c>
      <c r="BS76" s="23">
        <v>1</v>
      </c>
      <c r="BT76" s="23">
        <v>1</v>
      </c>
      <c r="BU76" s="23">
        <v>1</v>
      </c>
      <c r="BV76" s="23">
        <f>SUM(C76:BU76)</f>
        <v>19</v>
      </c>
    </row>
    <row r="77" spans="1:74" ht="12.75" customHeight="1" x14ac:dyDescent="0.2">
      <c r="B77" s="23" t="s">
        <v>139</v>
      </c>
      <c r="C77" s="23"/>
      <c r="D77" s="23">
        <v>1</v>
      </c>
      <c r="E77" s="23"/>
      <c r="F77" s="23">
        <v>1</v>
      </c>
      <c r="G77" s="23">
        <v>1</v>
      </c>
      <c r="H77" s="23"/>
      <c r="I77" s="23"/>
      <c r="J77" s="23">
        <v>1</v>
      </c>
      <c r="K77" s="23"/>
      <c r="L77" s="23">
        <v>1</v>
      </c>
      <c r="M77" s="23"/>
      <c r="N77" s="23"/>
      <c r="O77" s="23"/>
      <c r="Q77" s="23">
        <v>1</v>
      </c>
      <c r="R77" s="23"/>
      <c r="S77" s="23"/>
      <c r="T77" s="23"/>
      <c r="U77" s="23">
        <v>1</v>
      </c>
      <c r="V77" s="23"/>
      <c r="X77" s="23"/>
      <c r="Y77" s="23">
        <v>1</v>
      </c>
      <c r="Z77" s="23"/>
      <c r="AB77" s="23"/>
      <c r="AD77" s="23"/>
      <c r="AE77" s="23"/>
      <c r="AF77" s="23"/>
      <c r="AG77" s="23"/>
      <c r="AH77" s="23"/>
      <c r="AI77" s="23">
        <v>1</v>
      </c>
      <c r="AJ77" s="23"/>
      <c r="AK77" s="23"/>
      <c r="AL77" s="23"/>
      <c r="AM77" s="23"/>
      <c r="AN77" s="23">
        <v>1</v>
      </c>
      <c r="AO77" s="23"/>
      <c r="AP77" s="23"/>
      <c r="AQ77" s="23"/>
      <c r="AR77" s="23"/>
      <c r="AS77" s="23">
        <v>1</v>
      </c>
      <c r="AT77" s="23"/>
      <c r="AU77" s="23"/>
      <c r="AV77" s="23"/>
      <c r="AW77" s="23"/>
      <c r="AX77" s="23"/>
      <c r="AY77" s="23"/>
      <c r="AZ77" s="23">
        <v>1</v>
      </c>
      <c r="BA77" s="23"/>
      <c r="BC77" s="23">
        <v>1</v>
      </c>
      <c r="BD77" s="23">
        <v>1</v>
      </c>
      <c r="BE77" s="23"/>
      <c r="BF77" s="23"/>
      <c r="BG77" s="23"/>
      <c r="BH77" s="23"/>
      <c r="BI77" s="23"/>
      <c r="BJ77" s="23"/>
      <c r="BK77" s="23">
        <v>1</v>
      </c>
      <c r="BL77" s="23"/>
      <c r="BM77" s="23"/>
      <c r="BN77" s="23"/>
      <c r="BO77" s="23"/>
      <c r="BP77" s="23"/>
      <c r="BQ77" s="23">
        <v>1</v>
      </c>
      <c r="BR77" s="23">
        <v>1</v>
      </c>
      <c r="BS77" s="23">
        <v>1</v>
      </c>
      <c r="BT77" s="23">
        <v>1</v>
      </c>
      <c r="BU77" s="23">
        <v>1</v>
      </c>
      <c r="BV77" s="23">
        <f t="shared" ref="BV77:BV92" si="4">SUM(C77:BU77)</f>
        <v>20</v>
      </c>
    </row>
    <row r="78" spans="1:74" ht="12.75" customHeight="1" x14ac:dyDescent="0.2">
      <c r="B78" s="23" t="s">
        <v>1035</v>
      </c>
      <c r="C78" s="23">
        <v>1</v>
      </c>
      <c r="D78" s="23"/>
      <c r="E78" s="23">
        <v>1</v>
      </c>
      <c r="F78" s="23">
        <v>1</v>
      </c>
      <c r="G78" s="23"/>
      <c r="H78" s="23">
        <v>1</v>
      </c>
      <c r="I78" s="23">
        <v>1</v>
      </c>
      <c r="J78" s="23"/>
      <c r="K78" s="23">
        <v>1</v>
      </c>
      <c r="L78" s="23"/>
      <c r="M78" s="23"/>
      <c r="N78" s="23"/>
      <c r="O78" s="23"/>
      <c r="Q78" s="23">
        <v>1</v>
      </c>
      <c r="R78" s="23"/>
      <c r="S78" s="23"/>
      <c r="T78" s="23"/>
      <c r="U78" s="23"/>
      <c r="V78" s="23">
        <v>1</v>
      </c>
      <c r="X78" s="23">
        <v>1</v>
      </c>
      <c r="Y78" s="23"/>
      <c r="Z78" s="23"/>
      <c r="AB78" s="23"/>
      <c r="AD78" s="23"/>
      <c r="AE78" s="23"/>
      <c r="AF78" s="23"/>
      <c r="AG78" s="23"/>
      <c r="AH78" s="23"/>
      <c r="AI78" s="23"/>
      <c r="AJ78" s="23">
        <v>1</v>
      </c>
      <c r="AK78" s="23"/>
      <c r="AL78" s="23"/>
      <c r="AM78" s="23">
        <v>1</v>
      </c>
      <c r="AN78" s="23"/>
      <c r="AO78" s="23">
        <v>1</v>
      </c>
      <c r="AP78" s="23">
        <v>1</v>
      </c>
      <c r="AQ78" s="23">
        <v>1</v>
      </c>
      <c r="AR78" s="23"/>
      <c r="AS78" s="23"/>
      <c r="AT78" s="23"/>
      <c r="AU78" s="23"/>
      <c r="AV78" s="23"/>
      <c r="AW78" s="23"/>
      <c r="AX78" s="23"/>
      <c r="AY78" s="23"/>
      <c r="AZ78" s="23"/>
      <c r="BA78" s="23"/>
      <c r="BC78" s="23">
        <v>1</v>
      </c>
      <c r="BD78" s="23">
        <v>1</v>
      </c>
      <c r="BE78" s="23"/>
      <c r="BF78" s="23"/>
      <c r="BG78" s="23"/>
      <c r="BH78" s="23"/>
      <c r="BI78" s="23">
        <v>1</v>
      </c>
      <c r="BJ78" s="23">
        <v>1</v>
      </c>
      <c r="BK78" s="23"/>
      <c r="BL78" s="23"/>
      <c r="BM78" s="23"/>
      <c r="BN78" s="23"/>
      <c r="BO78" s="23"/>
      <c r="BP78" s="23"/>
      <c r="BQ78" s="23">
        <v>1</v>
      </c>
      <c r="BR78" s="23">
        <v>1</v>
      </c>
      <c r="BS78" s="23">
        <v>1</v>
      </c>
      <c r="BT78" s="23">
        <v>1</v>
      </c>
      <c r="BU78" s="23">
        <v>1</v>
      </c>
      <c r="BV78" s="23">
        <f t="shared" si="4"/>
        <v>23</v>
      </c>
    </row>
    <row r="79" spans="1:74" ht="12.75" customHeight="1" x14ac:dyDescent="0.2">
      <c r="B79" s="23" t="s">
        <v>78</v>
      </c>
      <c r="C79" s="23">
        <v>1</v>
      </c>
      <c r="D79" s="23"/>
      <c r="E79" s="23"/>
      <c r="F79" s="23">
        <v>1</v>
      </c>
      <c r="G79" s="23"/>
      <c r="H79" s="23">
        <v>1</v>
      </c>
      <c r="I79" s="23"/>
      <c r="J79" s="23"/>
      <c r="K79" s="23">
        <v>1</v>
      </c>
      <c r="L79" s="23"/>
      <c r="M79" s="23"/>
      <c r="N79" s="23"/>
      <c r="O79" s="23"/>
      <c r="Q79" s="23">
        <v>1</v>
      </c>
      <c r="R79" s="23"/>
      <c r="S79" s="23"/>
      <c r="T79" s="23"/>
      <c r="U79" s="23"/>
      <c r="V79" s="23"/>
      <c r="X79" s="23">
        <v>1</v>
      </c>
      <c r="Y79" s="23"/>
      <c r="Z79" s="23">
        <v>1</v>
      </c>
      <c r="AB79" s="23"/>
      <c r="AD79" s="23"/>
      <c r="AE79" s="23"/>
      <c r="AF79" s="23"/>
      <c r="AG79" s="23"/>
      <c r="AH79" s="23"/>
      <c r="AI79" s="23"/>
      <c r="AJ79" s="23">
        <v>1</v>
      </c>
      <c r="AK79" s="23"/>
      <c r="AL79" s="23"/>
      <c r="AM79" s="23">
        <v>1</v>
      </c>
      <c r="AN79" s="23"/>
      <c r="AO79" s="23">
        <v>1</v>
      </c>
      <c r="AP79" s="23">
        <v>1</v>
      </c>
      <c r="AQ79" s="23">
        <v>1</v>
      </c>
      <c r="AR79" s="23"/>
      <c r="AS79" s="23"/>
      <c r="AT79" s="23"/>
      <c r="AU79" s="23"/>
      <c r="AV79" s="23"/>
      <c r="AW79" s="23"/>
      <c r="AX79" s="23">
        <v>1</v>
      </c>
      <c r="AY79" s="23">
        <v>1</v>
      </c>
      <c r="AZ79" s="23"/>
      <c r="BA79" s="23">
        <v>1</v>
      </c>
      <c r="BC79" s="23">
        <v>1</v>
      </c>
      <c r="BD79" s="23">
        <v>1</v>
      </c>
      <c r="BE79" s="23"/>
      <c r="BF79" s="23"/>
      <c r="BG79" s="23"/>
      <c r="BH79" s="23"/>
      <c r="BI79" s="23">
        <v>1</v>
      </c>
      <c r="BJ79" s="23">
        <v>1</v>
      </c>
      <c r="BK79" s="23"/>
      <c r="BL79" s="23"/>
      <c r="BM79" s="23"/>
      <c r="BN79" s="23"/>
      <c r="BO79" s="23"/>
      <c r="BP79" s="23"/>
      <c r="BQ79" s="23">
        <v>1</v>
      </c>
      <c r="BR79" s="23">
        <v>1</v>
      </c>
      <c r="BS79" s="23">
        <v>1</v>
      </c>
      <c r="BT79" s="23">
        <v>1</v>
      </c>
      <c r="BU79" s="23">
        <v>1</v>
      </c>
      <c r="BV79" s="23">
        <f t="shared" si="4"/>
        <v>24</v>
      </c>
    </row>
    <row r="80" spans="1:74" ht="12.75" customHeight="1" x14ac:dyDescent="0.2">
      <c r="B80" s="23" t="s">
        <v>1036</v>
      </c>
      <c r="C80" s="23"/>
      <c r="D80" s="23"/>
      <c r="E80" s="23"/>
      <c r="F80" s="23">
        <v>1</v>
      </c>
      <c r="G80" s="23"/>
      <c r="H80" s="23">
        <v>1</v>
      </c>
      <c r="I80" s="23"/>
      <c r="J80" s="23"/>
      <c r="K80" s="23"/>
      <c r="L80" s="23"/>
      <c r="M80" s="23"/>
      <c r="N80" s="23"/>
      <c r="O80" s="23"/>
      <c r="Q80" s="23">
        <v>1</v>
      </c>
      <c r="R80" s="23"/>
      <c r="S80" s="23">
        <v>1</v>
      </c>
      <c r="T80" s="23"/>
      <c r="U80" s="23"/>
      <c r="V80" s="23"/>
      <c r="X80" s="23">
        <v>1</v>
      </c>
      <c r="Y80" s="23"/>
      <c r="Z80" s="23"/>
      <c r="AB80" s="23"/>
      <c r="AD80" s="23"/>
      <c r="AE80" s="23"/>
      <c r="AF80" s="23"/>
      <c r="AG80" s="23"/>
      <c r="AH80" s="23"/>
      <c r="AI80" s="23"/>
      <c r="AJ80" s="23">
        <v>1</v>
      </c>
      <c r="AK80" s="23"/>
      <c r="AL80" s="23"/>
      <c r="AM80" s="23"/>
      <c r="AN80" s="23"/>
      <c r="AO80" s="23"/>
      <c r="AP80" s="23"/>
      <c r="AQ80" s="23"/>
      <c r="AR80" s="23"/>
      <c r="AS80" s="23"/>
      <c r="AT80" s="23"/>
      <c r="AU80" s="23"/>
      <c r="AV80" s="23"/>
      <c r="AW80" s="23"/>
      <c r="AX80" s="23"/>
      <c r="AY80" s="23"/>
      <c r="AZ80" s="23"/>
      <c r="BA80" s="23"/>
      <c r="BC80" s="23">
        <v>1</v>
      </c>
      <c r="BD80" s="23">
        <v>1</v>
      </c>
      <c r="BE80" s="23"/>
      <c r="BF80" s="23"/>
      <c r="BG80" s="23"/>
      <c r="BH80" s="23"/>
      <c r="BI80" s="23"/>
      <c r="BJ80" s="23"/>
      <c r="BK80" s="23"/>
      <c r="BL80" s="23"/>
      <c r="BM80" s="23"/>
      <c r="BN80" s="23"/>
      <c r="BO80" s="23"/>
      <c r="BP80" s="23"/>
      <c r="BQ80" s="23">
        <v>1</v>
      </c>
      <c r="BR80" s="23">
        <v>1</v>
      </c>
      <c r="BS80" s="23">
        <v>1</v>
      </c>
      <c r="BT80" s="23">
        <v>1</v>
      </c>
      <c r="BU80" s="23">
        <v>1</v>
      </c>
      <c r="BV80" s="23">
        <f t="shared" si="4"/>
        <v>13</v>
      </c>
    </row>
    <row r="81" spans="2:74" ht="12.75" customHeight="1" x14ac:dyDescent="0.2">
      <c r="B81" s="23" t="s">
        <v>48</v>
      </c>
      <c r="C81" s="23"/>
      <c r="D81" s="23"/>
      <c r="E81" s="23"/>
      <c r="F81" s="23">
        <v>1</v>
      </c>
      <c r="G81" s="23"/>
      <c r="H81" s="23"/>
      <c r="I81" s="23">
        <v>1</v>
      </c>
      <c r="J81" s="23"/>
      <c r="K81" s="23"/>
      <c r="L81" s="23"/>
      <c r="M81" s="23"/>
      <c r="N81" s="23"/>
      <c r="O81" s="23"/>
      <c r="Q81" s="23">
        <v>1</v>
      </c>
      <c r="R81" s="23">
        <v>1</v>
      </c>
      <c r="S81" s="23"/>
      <c r="T81" s="23">
        <v>1</v>
      </c>
      <c r="U81" s="23"/>
      <c r="V81" s="23"/>
      <c r="W81" s="23">
        <v>1</v>
      </c>
      <c r="X81" s="23"/>
      <c r="Y81" s="23"/>
      <c r="Z81" s="23"/>
      <c r="AA81" s="23"/>
      <c r="AB81" s="23"/>
      <c r="AD81" s="23"/>
      <c r="AE81" s="23"/>
      <c r="AF81" s="23"/>
      <c r="AG81" s="23"/>
      <c r="AH81" s="23"/>
      <c r="AI81" s="23"/>
      <c r="AJ81" s="23"/>
      <c r="AK81" s="23"/>
      <c r="AL81" s="23"/>
      <c r="AM81" s="23">
        <v>1</v>
      </c>
      <c r="AN81" s="23"/>
      <c r="AO81" s="23"/>
      <c r="AP81" s="23"/>
      <c r="AQ81" s="23"/>
      <c r="AR81" s="23"/>
      <c r="AS81" s="23"/>
      <c r="AT81" s="23">
        <v>1</v>
      </c>
      <c r="AU81" s="23">
        <v>1</v>
      </c>
      <c r="AV81" s="23"/>
      <c r="AW81" s="23"/>
      <c r="AX81" s="23"/>
      <c r="AY81" s="23"/>
      <c r="AZ81" s="23"/>
      <c r="BA81" s="23"/>
      <c r="BB81" s="23">
        <v>1</v>
      </c>
      <c r="BC81" s="23">
        <v>1</v>
      </c>
      <c r="BD81" s="23">
        <v>1</v>
      </c>
      <c r="BE81" s="23"/>
      <c r="BF81" s="23"/>
      <c r="BG81" s="23"/>
      <c r="BH81" s="23">
        <v>1</v>
      </c>
      <c r="BI81" s="23"/>
      <c r="BJ81" s="23"/>
      <c r="BK81" s="23"/>
      <c r="BL81" s="23"/>
      <c r="BM81" s="23">
        <v>1</v>
      </c>
      <c r="BN81" s="23"/>
      <c r="BO81" s="23">
        <v>1</v>
      </c>
      <c r="BP81" s="23">
        <v>1</v>
      </c>
      <c r="BQ81" s="23">
        <v>1</v>
      </c>
      <c r="BR81" s="23">
        <v>1</v>
      </c>
      <c r="BS81" s="23">
        <v>1</v>
      </c>
      <c r="BT81" s="23">
        <v>1</v>
      </c>
      <c r="BU81" s="23">
        <v>1</v>
      </c>
      <c r="BV81" s="23">
        <f t="shared" si="4"/>
        <v>21</v>
      </c>
    </row>
    <row r="82" spans="2:74" ht="12.75" customHeight="1" x14ac:dyDescent="0.2">
      <c r="B82" s="23" t="s">
        <v>1037</v>
      </c>
      <c r="C82" s="23"/>
      <c r="D82" s="23"/>
      <c r="E82" s="23"/>
      <c r="F82" s="23">
        <v>1</v>
      </c>
      <c r="G82" s="23"/>
      <c r="H82" s="23"/>
      <c r="I82" s="23"/>
      <c r="J82" s="23"/>
      <c r="K82" s="23"/>
      <c r="L82" s="23"/>
      <c r="M82" s="23"/>
      <c r="N82" s="23"/>
      <c r="O82" s="23"/>
      <c r="P82" s="23">
        <v>1</v>
      </c>
      <c r="Q82" s="23">
        <v>1</v>
      </c>
      <c r="R82" s="23"/>
      <c r="S82" s="23"/>
      <c r="T82" s="23"/>
      <c r="U82" s="23">
        <v>1</v>
      </c>
      <c r="V82" s="23"/>
      <c r="X82" s="23"/>
      <c r="Y82" s="23">
        <v>1</v>
      </c>
      <c r="Z82" s="23">
        <v>1</v>
      </c>
      <c r="AA82" s="23">
        <v>1</v>
      </c>
      <c r="AB82" s="23">
        <v>1</v>
      </c>
      <c r="AC82" s="23">
        <v>1</v>
      </c>
      <c r="AD82" s="23"/>
      <c r="AE82" s="23"/>
      <c r="AF82" s="23"/>
      <c r="AG82" s="23"/>
      <c r="AH82" s="23"/>
      <c r="AI82" s="23">
        <v>1</v>
      </c>
      <c r="AJ82" s="23"/>
      <c r="AK82" s="23">
        <v>1</v>
      </c>
      <c r="AL82" s="23"/>
      <c r="AM82" s="23"/>
      <c r="AN82" s="23">
        <v>1</v>
      </c>
      <c r="AO82" s="23"/>
      <c r="AP82" s="23"/>
      <c r="AQ82" s="23"/>
      <c r="AR82" s="23"/>
      <c r="AS82" s="23"/>
      <c r="AT82" s="23"/>
      <c r="AU82" s="23"/>
      <c r="AV82" s="23"/>
      <c r="AW82" s="23">
        <v>1</v>
      </c>
      <c r="AX82" s="23"/>
      <c r="AY82" s="23">
        <v>1</v>
      </c>
      <c r="AZ82" s="23"/>
      <c r="BA82" s="23">
        <v>1</v>
      </c>
      <c r="BC82" s="23">
        <v>1</v>
      </c>
      <c r="BD82" s="23">
        <v>1</v>
      </c>
      <c r="BE82" s="23"/>
      <c r="BF82" s="23">
        <v>1</v>
      </c>
      <c r="BG82" s="23"/>
      <c r="BH82" s="23"/>
      <c r="BI82" s="23"/>
      <c r="BJ82" s="23"/>
      <c r="BK82" s="23"/>
      <c r="BL82" s="23"/>
      <c r="BN82" s="23"/>
      <c r="BO82" s="23"/>
      <c r="BP82" s="23"/>
      <c r="BQ82" s="23">
        <v>1</v>
      </c>
      <c r="BR82" s="23">
        <v>1</v>
      </c>
      <c r="BS82" s="23">
        <v>1</v>
      </c>
      <c r="BT82" s="23">
        <v>1</v>
      </c>
      <c r="BU82" s="23">
        <v>1</v>
      </c>
      <c r="BV82" s="23">
        <f t="shared" si="4"/>
        <v>23</v>
      </c>
    </row>
    <row r="83" spans="2:74" ht="12.75" customHeight="1" x14ac:dyDescent="0.2">
      <c r="B83" s="23" t="s">
        <v>97</v>
      </c>
      <c r="C83" s="23"/>
      <c r="D83" s="23"/>
      <c r="E83" s="23"/>
      <c r="F83" s="23">
        <v>1</v>
      </c>
      <c r="G83" s="23"/>
      <c r="H83" s="23"/>
      <c r="I83" s="23"/>
      <c r="J83" s="23"/>
      <c r="K83" s="23"/>
      <c r="L83" s="23"/>
      <c r="M83" s="23">
        <v>1</v>
      </c>
      <c r="N83" s="23"/>
      <c r="O83" s="23"/>
      <c r="P83" s="23"/>
      <c r="Q83" s="23">
        <v>1</v>
      </c>
      <c r="R83" s="23"/>
      <c r="S83" s="23">
        <v>1</v>
      </c>
      <c r="T83" s="23"/>
      <c r="U83" s="23"/>
      <c r="V83" s="23"/>
      <c r="X83" s="23"/>
      <c r="Y83" s="23"/>
      <c r="Z83" s="23"/>
      <c r="AA83" s="23"/>
      <c r="AB83" s="23"/>
      <c r="AC83" s="23"/>
      <c r="AD83" s="23"/>
      <c r="AE83" s="23"/>
      <c r="AF83" s="23"/>
      <c r="AG83" s="23">
        <v>1</v>
      </c>
      <c r="AH83" s="23"/>
      <c r="AI83" s="23"/>
      <c r="AJ83" s="23"/>
      <c r="AK83" s="23"/>
      <c r="AL83" s="23"/>
      <c r="AM83" s="23"/>
      <c r="AN83" s="23"/>
      <c r="AO83" s="23"/>
      <c r="AP83" s="23"/>
      <c r="AQ83" s="23"/>
      <c r="AR83" s="23">
        <v>1</v>
      </c>
      <c r="AS83" s="23"/>
      <c r="AT83" s="23"/>
      <c r="AU83" s="23"/>
      <c r="AV83" s="23">
        <v>1</v>
      </c>
      <c r="AW83" s="23"/>
      <c r="AX83" s="23">
        <v>1</v>
      </c>
      <c r="AY83" s="23"/>
      <c r="AZ83" s="23"/>
      <c r="BA83" s="23"/>
      <c r="BC83" s="23">
        <v>1</v>
      </c>
      <c r="BD83" s="23">
        <v>1</v>
      </c>
      <c r="BE83" s="23">
        <v>1</v>
      </c>
      <c r="BF83" s="23"/>
      <c r="BG83" s="23"/>
      <c r="BH83" s="23"/>
      <c r="BI83" s="23"/>
      <c r="BJ83" s="23"/>
      <c r="BK83" s="23"/>
      <c r="BL83" s="23"/>
      <c r="BM83" s="23"/>
      <c r="BN83" s="23">
        <v>1</v>
      </c>
      <c r="BO83" s="23"/>
      <c r="BP83" s="23"/>
      <c r="BQ83" s="23"/>
      <c r="BR83" s="23">
        <v>1</v>
      </c>
      <c r="BS83" s="23">
        <v>1</v>
      </c>
      <c r="BT83" s="23">
        <v>1</v>
      </c>
      <c r="BU83" s="23">
        <v>1</v>
      </c>
      <c r="BV83" s="23">
        <f t="shared" si="4"/>
        <v>16</v>
      </c>
    </row>
    <row r="84" spans="2:74" ht="12.75" customHeight="1" x14ac:dyDescent="0.2">
      <c r="B84" s="23" t="s">
        <v>21</v>
      </c>
      <c r="C84" s="23"/>
      <c r="D84" s="23"/>
      <c r="E84" s="23"/>
      <c r="F84" s="23">
        <v>1</v>
      </c>
      <c r="G84" s="23"/>
      <c r="H84" s="23"/>
      <c r="I84" s="23"/>
      <c r="J84" s="23"/>
      <c r="K84" s="23"/>
      <c r="L84" s="23"/>
      <c r="M84" s="23"/>
      <c r="N84" s="23"/>
      <c r="O84" s="23"/>
      <c r="P84" s="23"/>
      <c r="Q84" s="23">
        <v>1</v>
      </c>
      <c r="R84" s="23"/>
      <c r="S84" s="23"/>
      <c r="T84" s="23"/>
      <c r="U84" s="23"/>
      <c r="V84" s="23"/>
      <c r="X84" s="23"/>
      <c r="Y84" s="23"/>
      <c r="Z84" s="23"/>
      <c r="AA84" s="23"/>
      <c r="AB84" s="23"/>
      <c r="AC84" s="23"/>
      <c r="AD84" s="23">
        <v>1</v>
      </c>
      <c r="AE84" s="23">
        <v>1</v>
      </c>
      <c r="AF84" s="23">
        <v>1</v>
      </c>
      <c r="AG84" s="23"/>
      <c r="AH84" s="23">
        <v>1</v>
      </c>
      <c r="AI84" s="23"/>
      <c r="AJ84" s="19"/>
      <c r="AK84" s="19"/>
      <c r="AL84" s="23">
        <v>1</v>
      </c>
      <c r="AM84" s="23"/>
      <c r="AN84" s="23"/>
      <c r="AO84" s="23">
        <v>1</v>
      </c>
      <c r="AP84" s="23">
        <v>1</v>
      </c>
      <c r="AQ84" s="23">
        <v>1</v>
      </c>
      <c r="AR84" s="23"/>
      <c r="AS84" s="23"/>
      <c r="AT84" s="23"/>
      <c r="AU84" s="23">
        <v>1</v>
      </c>
      <c r="AV84" s="23"/>
      <c r="AW84" s="23"/>
      <c r="AX84" s="23"/>
      <c r="AY84" s="23"/>
      <c r="AZ84" s="23"/>
      <c r="BA84" s="23"/>
      <c r="BC84" s="23">
        <v>1</v>
      </c>
      <c r="BD84" s="23">
        <v>1</v>
      </c>
      <c r="BE84" s="23"/>
      <c r="BF84" s="23"/>
      <c r="BG84" s="23">
        <v>1</v>
      </c>
      <c r="BH84" s="23"/>
      <c r="BI84" s="23"/>
      <c r="BJ84" s="23"/>
      <c r="BK84" s="23"/>
      <c r="BL84" s="23"/>
      <c r="BM84" s="23"/>
      <c r="BN84" s="23"/>
      <c r="BO84" s="23"/>
      <c r="BP84" s="23"/>
      <c r="BQ84" s="23">
        <v>1</v>
      </c>
      <c r="BR84" s="23">
        <v>1</v>
      </c>
      <c r="BS84" s="23">
        <v>1</v>
      </c>
      <c r="BT84" s="23">
        <v>1</v>
      </c>
      <c r="BU84" s="23">
        <v>1</v>
      </c>
      <c r="BV84" s="23">
        <f t="shared" si="4"/>
        <v>19</v>
      </c>
    </row>
    <row r="85" spans="2:74" ht="12.75" customHeight="1" x14ac:dyDescent="0.2">
      <c r="B85" s="23" t="s">
        <v>1508</v>
      </c>
      <c r="C85" s="23"/>
      <c r="D85" s="23">
        <v>1</v>
      </c>
      <c r="E85" s="23"/>
      <c r="F85" s="23">
        <v>1</v>
      </c>
      <c r="G85" s="23">
        <v>1</v>
      </c>
      <c r="H85" s="23"/>
      <c r="I85" s="23"/>
      <c r="J85" s="23">
        <v>1</v>
      </c>
      <c r="K85" s="23"/>
      <c r="L85" s="23">
        <v>1</v>
      </c>
      <c r="M85" s="23"/>
      <c r="N85" s="23">
        <v>1</v>
      </c>
      <c r="O85" s="23">
        <v>1</v>
      </c>
      <c r="P85" s="23"/>
      <c r="Q85" s="23">
        <v>1</v>
      </c>
      <c r="R85" s="23"/>
      <c r="S85" s="23"/>
      <c r="T85" s="23"/>
      <c r="U85" s="23"/>
      <c r="V85" s="23"/>
      <c r="X85" s="23"/>
      <c r="Y85" s="23">
        <v>1</v>
      </c>
      <c r="Z85" s="23"/>
      <c r="AA85" s="23">
        <v>1</v>
      </c>
      <c r="AB85" s="23"/>
      <c r="AC85" s="23"/>
      <c r="AD85" s="23"/>
      <c r="AE85" s="23"/>
      <c r="AF85" s="23"/>
      <c r="AG85" s="23"/>
      <c r="AH85" s="23"/>
      <c r="AI85" s="23">
        <v>1</v>
      </c>
      <c r="AJ85" s="19"/>
      <c r="AK85" s="23"/>
      <c r="AL85" s="23"/>
      <c r="AM85" s="23"/>
      <c r="AN85" s="23">
        <v>1</v>
      </c>
      <c r="AO85" s="23"/>
      <c r="AP85" s="23"/>
      <c r="AQ85" s="23"/>
      <c r="AR85" s="23"/>
      <c r="AS85" s="23">
        <v>1</v>
      </c>
      <c r="AT85" s="23"/>
      <c r="AU85" s="23"/>
      <c r="AV85" s="23"/>
      <c r="AW85" s="23"/>
      <c r="AX85" s="23"/>
      <c r="AY85" s="23"/>
      <c r="AZ85" s="23"/>
      <c r="BA85" s="23"/>
      <c r="BC85" s="23">
        <v>1</v>
      </c>
      <c r="BD85" s="23">
        <v>1</v>
      </c>
      <c r="BE85" s="23"/>
      <c r="BF85" s="23">
        <v>1</v>
      </c>
      <c r="BG85" s="23"/>
      <c r="BH85" s="23"/>
      <c r="BI85" s="23"/>
      <c r="BJ85" s="23"/>
      <c r="BK85" s="23">
        <v>1</v>
      </c>
      <c r="BL85" s="23">
        <v>1</v>
      </c>
      <c r="BM85" s="23"/>
      <c r="BN85" s="23"/>
      <c r="BO85" s="23"/>
      <c r="BP85" s="23"/>
      <c r="BQ85" s="23">
        <v>1</v>
      </c>
      <c r="BR85" s="23">
        <v>1</v>
      </c>
      <c r="BS85" s="23">
        <v>1</v>
      </c>
      <c r="BT85" s="23">
        <v>1</v>
      </c>
      <c r="BU85" s="23">
        <v>1</v>
      </c>
      <c r="BV85" s="23">
        <f t="shared" si="4"/>
        <v>23</v>
      </c>
    </row>
    <row r="86" spans="2:74" ht="12.75" customHeight="1" x14ac:dyDescent="0.2">
      <c r="B86" s="23" t="s">
        <v>111</v>
      </c>
      <c r="C86" s="23">
        <v>1</v>
      </c>
      <c r="D86" s="23">
        <v>1</v>
      </c>
      <c r="E86" s="23"/>
      <c r="F86" s="23">
        <v>1</v>
      </c>
      <c r="G86" s="23">
        <v>1</v>
      </c>
      <c r="H86" s="23">
        <v>1</v>
      </c>
      <c r="I86" s="23"/>
      <c r="J86" s="23">
        <v>1</v>
      </c>
      <c r="K86" s="23">
        <v>1</v>
      </c>
      <c r="L86" s="23">
        <v>1</v>
      </c>
      <c r="M86" s="23"/>
      <c r="N86" s="23">
        <v>1</v>
      </c>
      <c r="O86" s="23">
        <v>1</v>
      </c>
      <c r="P86" s="23"/>
      <c r="Q86" s="23">
        <v>1</v>
      </c>
      <c r="R86" s="23"/>
      <c r="S86" s="23"/>
      <c r="T86" s="23"/>
      <c r="U86" s="23">
        <v>1</v>
      </c>
      <c r="V86" s="23"/>
      <c r="X86" s="23">
        <v>1</v>
      </c>
      <c r="Y86" s="23"/>
      <c r="Z86" s="23">
        <v>1</v>
      </c>
      <c r="AA86" s="23"/>
      <c r="AB86" s="23"/>
      <c r="AC86" s="23"/>
      <c r="AD86" s="23"/>
      <c r="AE86" s="23"/>
      <c r="AF86" s="23"/>
      <c r="AG86" s="23"/>
      <c r="AH86" s="23"/>
      <c r="AI86" s="23"/>
      <c r="AJ86" s="23">
        <v>1</v>
      </c>
      <c r="AK86" s="23"/>
      <c r="AL86" s="23"/>
      <c r="AM86" s="23">
        <v>1</v>
      </c>
      <c r="AN86" s="23"/>
      <c r="AO86" s="23">
        <v>1</v>
      </c>
      <c r="AP86" s="23">
        <v>1</v>
      </c>
      <c r="AQ86" s="23">
        <v>1</v>
      </c>
      <c r="AR86" s="23"/>
      <c r="AS86" s="23">
        <v>1</v>
      </c>
      <c r="AT86" s="23"/>
      <c r="AU86" s="23"/>
      <c r="AV86" s="23"/>
      <c r="AW86" s="23"/>
      <c r="AX86" s="23">
        <v>1</v>
      </c>
      <c r="AY86" s="23">
        <v>1</v>
      </c>
      <c r="AZ86" s="23">
        <v>1</v>
      </c>
      <c r="BA86" s="23">
        <v>1</v>
      </c>
      <c r="BC86" s="23">
        <v>1</v>
      </c>
      <c r="BD86" s="23">
        <v>1</v>
      </c>
      <c r="BE86" s="23"/>
      <c r="BF86" s="23"/>
      <c r="BG86" s="23"/>
      <c r="BH86" s="23"/>
      <c r="BI86" s="23">
        <v>1</v>
      </c>
      <c r="BJ86" s="23">
        <v>1</v>
      </c>
      <c r="BK86" s="23">
        <v>1</v>
      </c>
      <c r="BL86" s="23">
        <v>1</v>
      </c>
      <c r="BM86" s="23"/>
      <c r="BN86" s="23"/>
      <c r="BO86" s="23"/>
      <c r="BP86" s="23"/>
      <c r="BQ86" s="23">
        <v>1</v>
      </c>
      <c r="BR86" s="23">
        <v>1</v>
      </c>
      <c r="BS86" s="23">
        <v>1</v>
      </c>
      <c r="BT86" s="23">
        <v>1</v>
      </c>
      <c r="BU86" s="23">
        <v>1</v>
      </c>
      <c r="BV86" s="23">
        <f t="shared" si="4"/>
        <v>35</v>
      </c>
    </row>
    <row r="87" spans="2:74" ht="12.75" customHeight="1" x14ac:dyDescent="0.2">
      <c r="B87" s="23" t="s">
        <v>104</v>
      </c>
      <c r="C87" s="23">
        <v>1</v>
      </c>
      <c r="D87" s="23"/>
      <c r="E87" s="23"/>
      <c r="F87" s="23">
        <v>1</v>
      </c>
      <c r="G87" s="23"/>
      <c r="H87" s="23">
        <v>1</v>
      </c>
      <c r="J87" s="23"/>
      <c r="K87" s="23">
        <v>1</v>
      </c>
      <c r="L87" s="23"/>
      <c r="M87" s="23"/>
      <c r="N87" s="23"/>
      <c r="O87" s="23"/>
      <c r="P87" s="23"/>
      <c r="Q87" s="23">
        <v>1</v>
      </c>
      <c r="R87" s="23"/>
      <c r="S87" s="23"/>
      <c r="T87" s="23"/>
      <c r="U87" s="23"/>
      <c r="V87" s="23"/>
      <c r="X87" s="23">
        <v>1</v>
      </c>
      <c r="Y87" s="23"/>
      <c r="Z87" s="23">
        <v>1</v>
      </c>
      <c r="AA87" s="23"/>
      <c r="AB87" s="23"/>
      <c r="AC87" s="23"/>
      <c r="AD87" s="23">
        <v>1</v>
      </c>
      <c r="AE87" s="23">
        <v>1</v>
      </c>
      <c r="AF87" s="23">
        <v>1</v>
      </c>
      <c r="AG87" s="23"/>
      <c r="AH87" s="23">
        <v>1</v>
      </c>
      <c r="AI87" s="23"/>
      <c r="AJ87" s="23">
        <v>1</v>
      </c>
      <c r="AK87" s="23"/>
      <c r="AL87" s="23">
        <v>1</v>
      </c>
      <c r="AM87" s="2">
        <v>1</v>
      </c>
      <c r="AN87" s="23"/>
      <c r="AO87" s="23">
        <v>1</v>
      </c>
      <c r="AP87" s="23">
        <v>1</v>
      </c>
      <c r="AQ87" s="23">
        <v>1</v>
      </c>
      <c r="AR87" s="23"/>
      <c r="AS87" s="23"/>
      <c r="AT87" s="23"/>
      <c r="AU87" s="23">
        <v>1</v>
      </c>
      <c r="AV87" s="23"/>
      <c r="AW87" s="23"/>
      <c r="AX87" s="23">
        <v>1</v>
      </c>
      <c r="AY87" s="23">
        <v>1</v>
      </c>
      <c r="AZ87" s="23"/>
      <c r="BA87" s="23">
        <v>1</v>
      </c>
      <c r="BC87" s="23">
        <v>1</v>
      </c>
      <c r="BD87" s="23">
        <v>1</v>
      </c>
      <c r="BE87" s="23"/>
      <c r="BF87" s="23"/>
      <c r="BG87" s="23">
        <v>1</v>
      </c>
      <c r="BH87" s="23"/>
      <c r="BI87" s="23">
        <v>1</v>
      </c>
      <c r="BJ87" s="23">
        <v>1</v>
      </c>
      <c r="BK87" s="23"/>
      <c r="BL87" s="23"/>
      <c r="BM87" s="23"/>
      <c r="BN87" s="23"/>
      <c r="BO87" s="23"/>
      <c r="BP87" s="23"/>
      <c r="BQ87" s="23">
        <v>1</v>
      </c>
      <c r="BR87" s="23">
        <v>1</v>
      </c>
      <c r="BS87" s="23">
        <v>1</v>
      </c>
      <c r="BT87" s="23">
        <v>1</v>
      </c>
      <c r="BU87" s="23">
        <v>1</v>
      </c>
      <c r="BV87" s="23">
        <f t="shared" si="4"/>
        <v>31</v>
      </c>
    </row>
    <row r="88" spans="2:74" ht="12.75" customHeight="1" x14ac:dyDescent="0.2">
      <c r="B88" s="23" t="s">
        <v>68</v>
      </c>
      <c r="C88" s="23">
        <v>1</v>
      </c>
      <c r="D88" s="23"/>
      <c r="E88" s="23">
        <v>1</v>
      </c>
      <c r="F88" s="23">
        <v>1</v>
      </c>
      <c r="G88" s="23"/>
      <c r="H88" s="23">
        <v>1</v>
      </c>
      <c r="I88" s="2">
        <v>1</v>
      </c>
      <c r="J88" s="23"/>
      <c r="K88" s="23">
        <v>1</v>
      </c>
      <c r="L88" s="23"/>
      <c r="M88" s="23"/>
      <c r="N88" s="23"/>
      <c r="O88" s="23"/>
      <c r="P88" s="23"/>
      <c r="Q88" s="23">
        <v>1</v>
      </c>
      <c r="R88" s="23"/>
      <c r="S88" s="23"/>
      <c r="T88" s="23"/>
      <c r="U88" s="23"/>
      <c r="V88" s="23">
        <v>1</v>
      </c>
      <c r="X88" s="23">
        <v>1</v>
      </c>
      <c r="Y88" s="23"/>
      <c r="Z88" s="23">
        <v>1</v>
      </c>
      <c r="AA88" s="23"/>
      <c r="AB88" s="23"/>
      <c r="AC88" s="23"/>
      <c r="AD88" s="23"/>
      <c r="AE88" s="23"/>
      <c r="AF88" s="23"/>
      <c r="AG88" s="23"/>
      <c r="AH88" s="23"/>
      <c r="AI88" s="23"/>
      <c r="AJ88" s="23">
        <v>1</v>
      </c>
      <c r="AK88" s="23"/>
      <c r="AL88" s="23"/>
      <c r="AM88" s="2">
        <v>1</v>
      </c>
      <c r="AN88" s="23"/>
      <c r="AO88" s="23">
        <v>1</v>
      </c>
      <c r="AP88" s="23">
        <v>1</v>
      </c>
      <c r="AQ88" s="23">
        <v>1</v>
      </c>
      <c r="AR88" s="23"/>
      <c r="AS88" s="23"/>
      <c r="AT88" s="23"/>
      <c r="AU88" s="23"/>
      <c r="AV88" s="23"/>
      <c r="AW88" s="23"/>
      <c r="AX88" s="23">
        <v>1</v>
      </c>
      <c r="AY88" s="23">
        <v>1</v>
      </c>
      <c r="AZ88" s="23"/>
      <c r="BA88" s="23">
        <v>1</v>
      </c>
      <c r="BC88" s="23">
        <v>1</v>
      </c>
      <c r="BD88" s="23">
        <v>1</v>
      </c>
      <c r="BE88" s="23"/>
      <c r="BF88" s="23"/>
      <c r="BG88" s="23"/>
      <c r="BH88" s="23"/>
      <c r="BI88" s="23">
        <v>1</v>
      </c>
      <c r="BJ88" s="23">
        <v>1</v>
      </c>
      <c r="BK88" s="23"/>
      <c r="BL88" s="23"/>
      <c r="BM88" s="23"/>
      <c r="BN88" s="23"/>
      <c r="BO88" s="23"/>
      <c r="BP88" s="23"/>
      <c r="BQ88" s="23">
        <v>1</v>
      </c>
      <c r="BR88" s="23">
        <v>1</v>
      </c>
      <c r="BS88" s="23">
        <v>1</v>
      </c>
      <c r="BT88" s="23">
        <v>1</v>
      </c>
      <c r="BU88" s="23">
        <v>1</v>
      </c>
      <c r="BV88" s="23">
        <f t="shared" si="4"/>
        <v>27</v>
      </c>
    </row>
    <row r="89" spans="2:74" ht="12.75" customHeight="1" x14ac:dyDescent="0.2">
      <c r="B89" s="23" t="s">
        <v>63</v>
      </c>
      <c r="C89" s="23"/>
      <c r="D89" s="23">
        <v>1</v>
      </c>
      <c r="E89" s="23"/>
      <c r="F89" s="23">
        <v>1</v>
      </c>
      <c r="G89" s="23">
        <v>1</v>
      </c>
      <c r="H89" s="23"/>
      <c r="J89" s="23">
        <v>1</v>
      </c>
      <c r="K89" s="23"/>
      <c r="L89" s="23">
        <v>1</v>
      </c>
      <c r="M89" s="23"/>
      <c r="N89" s="23">
        <v>1</v>
      </c>
      <c r="O89" s="23">
        <v>1</v>
      </c>
      <c r="P89" s="23"/>
      <c r="Q89" s="23">
        <v>1</v>
      </c>
      <c r="R89" s="23"/>
      <c r="S89" s="23"/>
      <c r="T89" s="23"/>
      <c r="U89" s="23">
        <v>1</v>
      </c>
      <c r="V89" s="23"/>
      <c r="X89" s="23"/>
      <c r="Y89" s="23">
        <v>1</v>
      </c>
      <c r="Z89" s="23"/>
      <c r="AA89" s="23"/>
      <c r="AB89" s="23"/>
      <c r="AC89" s="23"/>
      <c r="AD89" s="23"/>
      <c r="AE89" s="23"/>
      <c r="AF89" s="23"/>
      <c r="AG89" s="23"/>
      <c r="AH89" s="23"/>
      <c r="AI89" s="23">
        <v>1</v>
      </c>
      <c r="AJ89" s="23"/>
      <c r="AK89" s="23"/>
      <c r="AL89" s="23"/>
      <c r="AN89" s="23">
        <v>1</v>
      </c>
      <c r="AO89" s="23"/>
      <c r="AP89" s="23"/>
      <c r="AQ89" s="23"/>
      <c r="AR89" s="23"/>
      <c r="AS89" s="23">
        <v>1</v>
      </c>
      <c r="AT89" s="23"/>
      <c r="AU89" s="23"/>
      <c r="AV89" s="23"/>
      <c r="AW89" s="23"/>
      <c r="AX89" s="23"/>
      <c r="AY89" s="23"/>
      <c r="AZ89" s="23">
        <v>1</v>
      </c>
      <c r="BA89" s="23"/>
      <c r="BC89" s="23">
        <v>1</v>
      </c>
      <c r="BD89" s="23">
        <v>1</v>
      </c>
      <c r="BE89" s="23"/>
      <c r="BF89" s="23"/>
      <c r="BG89" s="23"/>
      <c r="BH89" s="23"/>
      <c r="BI89" s="23"/>
      <c r="BJ89" s="23"/>
      <c r="BK89" s="23">
        <v>1</v>
      </c>
      <c r="BL89" s="23">
        <v>1</v>
      </c>
      <c r="BM89" s="23"/>
      <c r="BN89" s="23"/>
      <c r="BO89" s="23"/>
      <c r="BP89" s="23"/>
      <c r="BQ89" s="23">
        <v>1</v>
      </c>
      <c r="BR89" s="23">
        <v>1</v>
      </c>
      <c r="BS89" s="23">
        <v>1</v>
      </c>
      <c r="BT89" s="23">
        <v>1</v>
      </c>
      <c r="BU89" s="23">
        <v>1</v>
      </c>
      <c r="BV89" s="23">
        <f t="shared" si="4"/>
        <v>23</v>
      </c>
    </row>
    <row r="90" spans="2:74" ht="12.75" customHeight="1" x14ac:dyDescent="0.2">
      <c r="B90" s="23" t="s">
        <v>53</v>
      </c>
      <c r="C90" s="23">
        <v>1</v>
      </c>
      <c r="D90" s="23"/>
      <c r="E90" s="23"/>
      <c r="F90" s="23">
        <v>1</v>
      </c>
      <c r="G90" s="23"/>
      <c r="H90" s="23">
        <v>1</v>
      </c>
      <c r="J90" s="23"/>
      <c r="K90" s="23">
        <v>1</v>
      </c>
      <c r="L90" s="23"/>
      <c r="M90" s="23"/>
      <c r="N90" s="23"/>
      <c r="O90" s="23"/>
      <c r="P90" s="23"/>
      <c r="Q90" s="23">
        <v>1</v>
      </c>
      <c r="R90" s="23"/>
      <c r="S90" s="23">
        <v>1</v>
      </c>
      <c r="T90" s="23"/>
      <c r="U90" s="23"/>
      <c r="V90" s="23"/>
      <c r="X90" s="23">
        <v>1</v>
      </c>
      <c r="Y90" s="23"/>
      <c r="Z90" s="23">
        <v>1</v>
      </c>
      <c r="AA90" s="23"/>
      <c r="AB90" s="23"/>
      <c r="AC90" s="23"/>
      <c r="AD90" s="23"/>
      <c r="AE90" s="23"/>
      <c r="AF90" s="23"/>
      <c r="AG90" s="23"/>
      <c r="AH90" s="23"/>
      <c r="AI90" s="23"/>
      <c r="AJ90" s="23">
        <v>1</v>
      </c>
      <c r="AK90" s="23"/>
      <c r="AL90" s="23"/>
      <c r="AM90" s="2">
        <v>1</v>
      </c>
      <c r="AN90" s="23"/>
      <c r="AO90" s="23">
        <v>1</v>
      </c>
      <c r="AP90" s="23">
        <v>1</v>
      </c>
      <c r="AQ90" s="23">
        <v>1</v>
      </c>
      <c r="AR90" s="23"/>
      <c r="AS90" s="23"/>
      <c r="AT90" s="23"/>
      <c r="AU90" s="23"/>
      <c r="AV90" s="23"/>
      <c r="AW90" s="23"/>
      <c r="AX90" s="23">
        <v>1</v>
      </c>
      <c r="AY90" s="23">
        <v>1</v>
      </c>
      <c r="AZ90" s="23"/>
      <c r="BA90" s="23">
        <v>1</v>
      </c>
      <c r="BC90" s="23">
        <v>1</v>
      </c>
      <c r="BD90" s="23">
        <v>1</v>
      </c>
      <c r="BE90" s="23"/>
      <c r="BF90" s="23"/>
      <c r="BG90" s="23"/>
      <c r="BH90" s="23"/>
      <c r="BI90" s="23">
        <v>1</v>
      </c>
      <c r="BJ90" s="23">
        <v>1</v>
      </c>
      <c r="BK90" s="23"/>
      <c r="BL90" s="23"/>
      <c r="BM90" s="23"/>
      <c r="BN90" s="23"/>
      <c r="BO90" s="23"/>
      <c r="BP90" s="23"/>
      <c r="BQ90" s="23">
        <v>1</v>
      </c>
      <c r="BR90" s="23">
        <v>1</v>
      </c>
      <c r="BS90" s="23">
        <v>1</v>
      </c>
      <c r="BT90" s="23">
        <v>1</v>
      </c>
      <c r="BU90" s="23">
        <v>1</v>
      </c>
      <c r="BV90" s="23">
        <f t="shared" si="4"/>
        <v>25</v>
      </c>
    </row>
    <row r="91" spans="2:74" ht="12.75" customHeight="1" x14ac:dyDescent="0.2">
      <c r="B91" s="23" t="s">
        <v>1182</v>
      </c>
      <c r="C91" s="23">
        <v>1</v>
      </c>
      <c r="D91" s="23"/>
      <c r="E91" s="23"/>
      <c r="F91" s="23">
        <v>1</v>
      </c>
      <c r="G91" s="23"/>
      <c r="H91" s="23">
        <v>1</v>
      </c>
      <c r="J91" s="23"/>
      <c r="K91" s="23">
        <v>1</v>
      </c>
      <c r="L91" s="23"/>
      <c r="M91" s="23"/>
      <c r="N91" s="23"/>
      <c r="O91" s="23"/>
      <c r="P91" s="23">
        <v>1</v>
      </c>
      <c r="Q91" s="23">
        <v>1</v>
      </c>
      <c r="R91" s="23"/>
      <c r="S91" s="23"/>
      <c r="T91" s="23"/>
      <c r="U91" s="23">
        <v>1</v>
      </c>
      <c r="V91" s="23"/>
      <c r="X91" s="23">
        <v>1</v>
      </c>
      <c r="Y91" s="23">
        <v>1</v>
      </c>
      <c r="Z91" s="23">
        <v>1</v>
      </c>
      <c r="AA91" s="23">
        <v>1</v>
      </c>
      <c r="AB91" s="23">
        <v>1</v>
      </c>
      <c r="AC91" s="23">
        <v>1</v>
      </c>
      <c r="AD91" s="23"/>
      <c r="AE91" s="23"/>
      <c r="AF91" s="23"/>
      <c r="AG91" s="23"/>
      <c r="AH91" s="23"/>
      <c r="AI91" s="23">
        <v>1</v>
      </c>
      <c r="AJ91" s="23">
        <v>1</v>
      </c>
      <c r="AK91" s="23">
        <v>1</v>
      </c>
      <c r="AL91" s="23"/>
      <c r="AM91" s="2">
        <v>1</v>
      </c>
      <c r="AN91" s="23">
        <v>1</v>
      </c>
      <c r="AO91" s="23">
        <v>1</v>
      </c>
      <c r="AP91" s="23">
        <v>1</v>
      </c>
      <c r="AQ91" s="23">
        <v>1</v>
      </c>
      <c r="AR91" s="23"/>
      <c r="AS91" s="23"/>
      <c r="AT91" s="23"/>
      <c r="AU91" s="23"/>
      <c r="AV91" s="23"/>
      <c r="AW91" s="23">
        <v>1</v>
      </c>
      <c r="AX91" s="23">
        <v>1</v>
      </c>
      <c r="AY91" s="23">
        <v>1</v>
      </c>
      <c r="AZ91" s="23"/>
      <c r="BA91" s="23">
        <v>1</v>
      </c>
      <c r="BC91" s="23">
        <v>1</v>
      </c>
      <c r="BD91" s="23">
        <v>1</v>
      </c>
      <c r="BE91" s="23"/>
      <c r="BF91" s="23">
        <v>1</v>
      </c>
      <c r="BG91" s="23"/>
      <c r="BH91" s="23"/>
      <c r="BI91" s="23">
        <v>1</v>
      </c>
      <c r="BJ91" s="23">
        <v>1</v>
      </c>
      <c r="BK91" s="23"/>
      <c r="BL91" s="23"/>
      <c r="BM91" s="23"/>
      <c r="BN91" s="23"/>
      <c r="BO91" s="23"/>
      <c r="BP91" s="23"/>
      <c r="BQ91" s="23">
        <v>1</v>
      </c>
      <c r="BR91" s="23">
        <v>1</v>
      </c>
      <c r="BS91" s="23">
        <v>1</v>
      </c>
      <c r="BT91" s="23">
        <v>1</v>
      </c>
      <c r="BU91" s="23">
        <v>1</v>
      </c>
      <c r="BV91" s="23">
        <f t="shared" si="4"/>
        <v>35</v>
      </c>
    </row>
    <row r="92" spans="2:74" ht="12.75" customHeight="1" x14ac:dyDescent="0.2">
      <c r="B92" s="23" t="s">
        <v>1038</v>
      </c>
      <c r="C92" s="23"/>
      <c r="D92" s="23">
        <v>1</v>
      </c>
      <c r="E92" s="23"/>
      <c r="F92" s="23">
        <v>1</v>
      </c>
      <c r="G92" s="23">
        <v>1</v>
      </c>
      <c r="H92" s="23">
        <v>1</v>
      </c>
      <c r="J92" s="23">
        <v>1</v>
      </c>
      <c r="K92" s="23"/>
      <c r="L92" s="23">
        <v>1</v>
      </c>
      <c r="M92" s="23"/>
      <c r="N92" s="23">
        <v>1</v>
      </c>
      <c r="O92" s="23">
        <v>1</v>
      </c>
      <c r="P92" s="23">
        <v>1</v>
      </c>
      <c r="Q92" s="23">
        <v>1</v>
      </c>
      <c r="R92" s="23"/>
      <c r="S92" s="23">
        <v>1</v>
      </c>
      <c r="T92" s="23"/>
      <c r="U92" s="23">
        <v>1</v>
      </c>
      <c r="V92" s="23"/>
      <c r="X92" s="23">
        <v>1</v>
      </c>
      <c r="Y92" s="23">
        <v>1</v>
      </c>
      <c r="Z92" s="23">
        <v>1</v>
      </c>
      <c r="AA92" s="23">
        <v>1</v>
      </c>
      <c r="AB92" s="23">
        <v>1</v>
      </c>
      <c r="AC92" s="23">
        <v>1</v>
      </c>
      <c r="AD92" s="23"/>
      <c r="AE92" s="23"/>
      <c r="AF92" s="23"/>
      <c r="AG92" s="23"/>
      <c r="AH92" s="23"/>
      <c r="AI92" s="23">
        <v>1</v>
      </c>
      <c r="AJ92" s="23">
        <v>1</v>
      </c>
      <c r="AK92" s="23">
        <v>1</v>
      </c>
      <c r="AL92" s="23"/>
      <c r="AM92" s="2">
        <v>1</v>
      </c>
      <c r="AN92" s="23">
        <v>1</v>
      </c>
      <c r="AO92" s="23">
        <v>1</v>
      </c>
      <c r="AP92" s="23"/>
      <c r="AQ92" s="23"/>
      <c r="AR92" s="23"/>
      <c r="AS92" s="23">
        <v>1</v>
      </c>
      <c r="AT92" s="23"/>
      <c r="AU92" s="23"/>
      <c r="AV92" s="23"/>
      <c r="AW92" s="23">
        <v>1</v>
      </c>
      <c r="AX92" s="23"/>
      <c r="AY92" s="23">
        <v>1</v>
      </c>
      <c r="AZ92" s="23">
        <v>1</v>
      </c>
      <c r="BA92" s="23">
        <v>1</v>
      </c>
      <c r="BC92" s="23">
        <v>1</v>
      </c>
      <c r="BD92" s="23">
        <v>1</v>
      </c>
      <c r="BE92" s="23"/>
      <c r="BF92" s="23">
        <v>1</v>
      </c>
      <c r="BG92" s="23"/>
      <c r="BH92" s="23"/>
      <c r="BI92" s="23"/>
      <c r="BJ92" s="23"/>
      <c r="BK92" s="23">
        <v>1</v>
      </c>
      <c r="BL92" s="23">
        <v>1</v>
      </c>
      <c r="BM92" s="23"/>
      <c r="BN92" s="23"/>
      <c r="BO92" s="23"/>
      <c r="BP92" s="23"/>
      <c r="BQ92" s="23">
        <v>1</v>
      </c>
      <c r="BR92" s="23">
        <v>1</v>
      </c>
      <c r="BS92" s="23">
        <v>1</v>
      </c>
      <c r="BT92" s="23">
        <v>1</v>
      </c>
      <c r="BU92" s="23">
        <v>1</v>
      </c>
      <c r="BV92" s="23">
        <f t="shared" si="4"/>
        <v>39</v>
      </c>
    </row>
    <row r="93" spans="2:74" ht="12.75" customHeight="1" x14ac:dyDescent="0.2">
      <c r="C93" s="2"/>
      <c r="D93" s="2"/>
      <c r="E93" s="2"/>
      <c r="F93" s="2"/>
      <c r="G93" s="2"/>
      <c r="H93" s="2"/>
      <c r="I93" s="2"/>
      <c r="J93" s="2"/>
      <c r="K93" s="2"/>
      <c r="L93" s="2"/>
      <c r="M93" s="2"/>
      <c r="N93" s="2"/>
      <c r="O93" s="2"/>
      <c r="P93" s="23"/>
      <c r="R93" s="2"/>
      <c r="S93" s="2"/>
      <c r="T93" s="2"/>
      <c r="U93" s="23"/>
      <c r="V93" s="2"/>
      <c r="W93" s="2"/>
      <c r="X93" s="2"/>
      <c r="Z93" s="2"/>
      <c r="AA93" s="2"/>
      <c r="AB93" s="2"/>
      <c r="AC93" s="2"/>
      <c r="AD93" s="2"/>
      <c r="AE93" s="2"/>
      <c r="AF93" s="2"/>
      <c r="AG93" s="2"/>
      <c r="AH93" s="2"/>
      <c r="AI93" s="2"/>
      <c r="AL93" s="23"/>
      <c r="AM93" s="23"/>
    </row>
    <row r="94" spans="2:74" ht="12.75" customHeight="1" x14ac:dyDescent="0.2">
      <c r="B94" s="2" t="e">
        <f>CONCATENATE(C72,D72,E72,F72,G72,H72,I72,J72,K72,L72,M72,N72,O72,P72,Q72,R72,S72,T72,U72,V72,W72,X72,Y72,Z72,AA72,AB72,AC72,AD72,AE72,AF72,AG72,AH72,AI72,AJ72,AK72,AL72,AM72,AN72,AO72,AP72,AQ72,AR72,AS72,AT72,AU72,AV72,AW72,AX72,AY72,AZ72,BA72,BB72,BC72,BD72,BE72,BF72,BG72,BH72,BI72,BJ72,BK72,BL72,BM72,BN72,BO72,BP72,BQ72,BR72,BS72,BT72,BU72)</f>
        <v>#N/A</v>
      </c>
      <c r="C94" s="2" t="str">
        <f>" "</f>
        <v xml:space="preserve"> </v>
      </c>
      <c r="D94" s="2"/>
      <c r="E94" s="5" t="s">
        <v>24</v>
      </c>
      <c r="F94" s="5" t="s">
        <v>139</v>
      </c>
      <c r="G94" s="5" t="s">
        <v>1035</v>
      </c>
      <c r="H94" s="5" t="s">
        <v>78</v>
      </c>
      <c r="I94" s="5" t="s">
        <v>1036</v>
      </c>
      <c r="J94" s="5" t="s">
        <v>48</v>
      </c>
      <c r="K94" s="5" t="s">
        <v>1037</v>
      </c>
      <c r="L94" s="5" t="s">
        <v>97</v>
      </c>
      <c r="M94" s="5" t="s">
        <v>21</v>
      </c>
      <c r="N94" s="5" t="s">
        <v>111</v>
      </c>
      <c r="O94" s="5" t="s">
        <v>104</v>
      </c>
      <c r="P94" s="5" t="s">
        <v>68</v>
      </c>
      <c r="Q94" s="5" t="s">
        <v>63</v>
      </c>
      <c r="R94" s="5" t="s">
        <v>53</v>
      </c>
      <c r="S94" s="5" t="s">
        <v>1038</v>
      </c>
      <c r="T94" s="2"/>
      <c r="U94" s="2"/>
      <c r="V94" s="2"/>
      <c r="W94" s="2"/>
      <c r="X94" s="2"/>
      <c r="Y94" s="2"/>
      <c r="Z94" s="2" t="str">
        <f>" "</f>
        <v xml:space="preserve"> </v>
      </c>
      <c r="AA94" s="2"/>
      <c r="AB94" s="2"/>
      <c r="AC94" s="2"/>
      <c r="AD94" s="2"/>
      <c r="AE94" s="2"/>
      <c r="AF94" s="2"/>
      <c r="AG94" s="2"/>
      <c r="AH94" s="2"/>
    </row>
    <row r="95" spans="2:74" ht="12.75" customHeight="1" x14ac:dyDescent="0.2">
      <c r="B95" s="2" t="e">
        <f>MID($B$94,1,3)</f>
        <v>#N/A</v>
      </c>
      <c r="C95" s="2" t="str">
        <f t="shared" ref="C95:C140" si="5">IFERROR((VLOOKUP(B95,$A$4:$B$70,2,FALSE))," ")</f>
        <v xml:space="preserve"> </v>
      </c>
      <c r="D95" s="2"/>
      <c r="E95" s="19" t="str">
        <f t="shared" ref="E95:S95" si="6">""</f>
        <v/>
      </c>
      <c r="F95" s="19" t="str">
        <f t="shared" si="6"/>
        <v/>
      </c>
      <c r="G95" s="19" t="str">
        <f t="shared" si="6"/>
        <v/>
      </c>
      <c r="H95" s="19" t="str">
        <f t="shared" si="6"/>
        <v/>
      </c>
      <c r="I95" s="19" t="str">
        <f t="shared" si="6"/>
        <v/>
      </c>
      <c r="J95" s="19" t="str">
        <f t="shared" si="6"/>
        <v/>
      </c>
      <c r="K95" s="19" t="str">
        <f t="shared" si="6"/>
        <v/>
      </c>
      <c r="L95" s="19" t="str">
        <f t="shared" si="6"/>
        <v/>
      </c>
      <c r="M95" s="19" t="str">
        <f t="shared" si="6"/>
        <v/>
      </c>
      <c r="N95" s="19" t="str">
        <f t="shared" si="6"/>
        <v/>
      </c>
      <c r="O95" s="19" t="str">
        <f t="shared" si="6"/>
        <v/>
      </c>
      <c r="P95" s="19" t="str">
        <f t="shared" si="6"/>
        <v/>
      </c>
      <c r="Q95" s="19" t="str">
        <f t="shared" si="6"/>
        <v/>
      </c>
      <c r="R95" s="19" t="str">
        <f t="shared" si="6"/>
        <v/>
      </c>
      <c r="S95" s="19" t="str">
        <f t="shared" si="6"/>
        <v/>
      </c>
      <c r="T95" s="2"/>
      <c r="U95" s="2"/>
      <c r="V95" s="2"/>
      <c r="W95" s="2"/>
      <c r="X95" s="2"/>
      <c r="Y95" s="2"/>
      <c r="Z95" s="2" t="str">
        <f t="shared" ref="Z95:Z112" si="7">IFERROR((VLOOKUP(B95,$A$4:$B$75,2,FALSE))," ")</f>
        <v xml:space="preserve"> </v>
      </c>
      <c r="AA95" s="2"/>
      <c r="AB95" s="2"/>
      <c r="AC95" s="2"/>
      <c r="AD95" s="2"/>
      <c r="AE95" s="2"/>
      <c r="AF95" s="2"/>
      <c r="AG95" s="2"/>
      <c r="AH95" s="2"/>
    </row>
    <row r="96" spans="2:74" ht="12.75" customHeight="1" x14ac:dyDescent="0.2">
      <c r="B96" s="2" t="e">
        <f>MID($B$94,4,3)</f>
        <v>#N/A</v>
      </c>
      <c r="C96" s="2" t="str">
        <f t="shared" si="5"/>
        <v xml:space="preserve"> </v>
      </c>
      <c r="D96" s="2"/>
      <c r="E96" s="2" t="s">
        <v>1111</v>
      </c>
      <c r="F96" s="2" t="s">
        <v>1111</v>
      </c>
      <c r="G96" s="2" t="s">
        <v>715</v>
      </c>
      <c r="H96" s="2" t="s">
        <v>715</v>
      </c>
      <c r="I96" s="2" t="s">
        <v>715</v>
      </c>
      <c r="J96" s="2" t="s">
        <v>715</v>
      </c>
      <c r="K96" s="9" t="s">
        <v>715</v>
      </c>
      <c r="L96" s="2" t="s">
        <v>715</v>
      </c>
      <c r="M96" s="2" t="s">
        <v>715</v>
      </c>
      <c r="N96" s="2" t="s">
        <v>1111</v>
      </c>
      <c r="O96" s="2" t="s">
        <v>715</v>
      </c>
      <c r="P96" s="2" t="s">
        <v>715</v>
      </c>
      <c r="Q96" s="2" t="s">
        <v>1111</v>
      </c>
      <c r="R96" s="2" t="s">
        <v>715</v>
      </c>
      <c r="S96" s="2" t="s">
        <v>715</v>
      </c>
      <c r="T96" s="2"/>
      <c r="U96" s="2"/>
      <c r="V96" s="2"/>
      <c r="W96" s="2"/>
      <c r="X96" s="2"/>
      <c r="Y96" s="2"/>
      <c r="Z96" s="2" t="str">
        <f t="shared" si="7"/>
        <v xml:space="preserve"> </v>
      </c>
      <c r="AA96" s="2"/>
      <c r="AB96" s="2"/>
      <c r="AC96" s="2"/>
      <c r="AD96" s="2"/>
      <c r="AE96" s="2"/>
      <c r="AF96" s="2"/>
      <c r="AG96" s="2"/>
      <c r="AH96" s="2"/>
    </row>
    <row r="97" spans="2:34" ht="12.75" customHeight="1" x14ac:dyDescent="0.2">
      <c r="B97" s="2" t="e">
        <f>MID($B$94,7,3)</f>
        <v>#N/A</v>
      </c>
      <c r="C97" s="2" t="str">
        <f t="shared" si="5"/>
        <v xml:space="preserve"> </v>
      </c>
      <c r="D97" s="2"/>
      <c r="E97" s="2" t="s">
        <v>715</v>
      </c>
      <c r="F97" s="2" t="s">
        <v>715</v>
      </c>
      <c r="G97" s="2" t="s">
        <v>1101</v>
      </c>
      <c r="H97" s="2" t="s">
        <v>1101</v>
      </c>
      <c r="I97" s="2" t="s">
        <v>1101</v>
      </c>
      <c r="J97" s="2" t="s">
        <v>727</v>
      </c>
      <c r="K97" s="9" t="s">
        <v>1026</v>
      </c>
      <c r="L97" s="2" t="s">
        <v>966</v>
      </c>
      <c r="M97" s="2" t="s">
        <v>727</v>
      </c>
      <c r="N97" s="2" t="s">
        <v>715</v>
      </c>
      <c r="O97" s="2" t="s">
        <v>1101</v>
      </c>
      <c r="P97" s="2" t="s">
        <v>1101</v>
      </c>
      <c r="Q97" s="2" t="s">
        <v>715</v>
      </c>
      <c r="R97" s="2" t="s">
        <v>1101</v>
      </c>
      <c r="S97" s="2" t="s">
        <v>1101</v>
      </c>
      <c r="T97" s="2"/>
      <c r="U97" s="2"/>
      <c r="V97" s="2"/>
      <c r="W97" s="2"/>
      <c r="X97" s="2"/>
      <c r="Y97" s="2"/>
      <c r="Z97" s="2" t="str">
        <f t="shared" si="7"/>
        <v xml:space="preserve"> </v>
      </c>
      <c r="AA97" s="2"/>
      <c r="AB97" s="2"/>
      <c r="AC97" s="2"/>
      <c r="AD97" s="2"/>
      <c r="AE97" s="2"/>
      <c r="AF97" s="2"/>
      <c r="AG97" s="2"/>
      <c r="AH97" s="2"/>
    </row>
    <row r="98" spans="2:34" ht="12.75" customHeight="1" x14ac:dyDescent="0.2">
      <c r="B98" s="2" t="e">
        <f>MID($B$94,10,3)</f>
        <v>#N/A</v>
      </c>
      <c r="C98" s="2" t="str">
        <f t="shared" si="5"/>
        <v xml:space="preserve"> </v>
      </c>
      <c r="D98" s="10"/>
      <c r="E98" s="2" t="s">
        <v>1108</v>
      </c>
      <c r="F98" s="2" t="s">
        <v>1108</v>
      </c>
      <c r="G98" s="2" t="s">
        <v>727</v>
      </c>
      <c r="H98" s="2" t="s">
        <v>727</v>
      </c>
      <c r="I98" s="2" t="s">
        <v>727</v>
      </c>
      <c r="J98" s="2" t="s">
        <v>889</v>
      </c>
      <c r="K98" s="9" t="s">
        <v>727</v>
      </c>
      <c r="L98" s="2" t="s">
        <v>727</v>
      </c>
      <c r="M98" s="2" t="s">
        <v>1201</v>
      </c>
      <c r="N98" s="2" t="s">
        <v>1108</v>
      </c>
      <c r="O98" s="2" t="s">
        <v>727</v>
      </c>
      <c r="P98" s="2" t="s">
        <v>727</v>
      </c>
      <c r="Q98" s="2" t="s">
        <v>1108</v>
      </c>
      <c r="R98" s="2" t="s">
        <v>727</v>
      </c>
      <c r="S98" s="2" t="s">
        <v>1026</v>
      </c>
      <c r="T98" s="2"/>
      <c r="U98" s="2"/>
      <c r="V98" s="2"/>
      <c r="W98" s="2"/>
      <c r="X98" s="2"/>
      <c r="Y98" s="2"/>
      <c r="Z98" s="2" t="str">
        <f t="shared" si="7"/>
        <v xml:space="preserve"> </v>
      </c>
      <c r="AA98" s="2"/>
      <c r="AB98" s="2"/>
      <c r="AC98" s="2"/>
      <c r="AD98" s="2"/>
      <c r="AE98" s="2"/>
      <c r="AF98" s="2"/>
      <c r="AG98" s="2"/>
      <c r="AH98" s="2"/>
    </row>
    <row r="99" spans="2:34" ht="12.75" customHeight="1" x14ac:dyDescent="0.2">
      <c r="B99" s="2" t="e">
        <f>MID($B$94,13,3)</f>
        <v>#N/A</v>
      </c>
      <c r="C99" s="2" t="str">
        <f t="shared" si="5"/>
        <v xml:space="preserve"> </v>
      </c>
      <c r="D99" s="10"/>
      <c r="E99" s="2" t="s">
        <v>727</v>
      </c>
      <c r="F99" s="2" t="s">
        <v>727</v>
      </c>
      <c r="G99" s="2" t="s">
        <v>810</v>
      </c>
      <c r="H99" s="2" t="s">
        <v>810</v>
      </c>
      <c r="I99" s="2" t="s">
        <v>879</v>
      </c>
      <c r="J99" s="2" t="s">
        <v>899</v>
      </c>
      <c r="K99" s="9" t="s">
        <v>1093</v>
      </c>
      <c r="L99" s="2" t="s">
        <v>879</v>
      </c>
      <c r="M99" s="2" t="s">
        <v>1223</v>
      </c>
      <c r="N99" s="2" t="s">
        <v>1101</v>
      </c>
      <c r="O99" s="2" t="s">
        <v>810</v>
      </c>
      <c r="P99" s="2" t="s">
        <v>810</v>
      </c>
      <c r="Q99" s="2" t="s">
        <v>727</v>
      </c>
      <c r="R99" s="2" t="s">
        <v>879</v>
      </c>
      <c r="S99" s="2" t="s">
        <v>727</v>
      </c>
      <c r="T99" s="2"/>
      <c r="U99" s="2"/>
      <c r="V99" s="2"/>
      <c r="W99" s="2"/>
      <c r="X99" s="2"/>
      <c r="Y99" s="2"/>
      <c r="Z99" s="2" t="str">
        <f t="shared" si="7"/>
        <v xml:space="preserve"> </v>
      </c>
      <c r="AA99" s="2"/>
      <c r="AB99" s="2"/>
      <c r="AC99" s="2"/>
      <c r="AD99" s="2"/>
      <c r="AE99" s="2"/>
      <c r="AF99" s="2"/>
      <c r="AG99" s="2"/>
      <c r="AH99" s="2"/>
    </row>
    <row r="100" spans="2:34" ht="12.75" customHeight="1" x14ac:dyDescent="0.2">
      <c r="B100" s="2" t="e">
        <f>MID($B$94,16,3)</f>
        <v>#N/A</v>
      </c>
      <c r="C100" s="2" t="str">
        <f t="shared" si="5"/>
        <v xml:space="preserve"> </v>
      </c>
      <c r="D100" s="2"/>
      <c r="E100" s="2" t="s">
        <v>739</v>
      </c>
      <c r="F100" s="2" t="s">
        <v>1093</v>
      </c>
      <c r="G100" s="2" t="s">
        <v>1172</v>
      </c>
      <c r="H100" s="2" t="s">
        <v>1172</v>
      </c>
      <c r="I100" s="2" t="s">
        <v>810</v>
      </c>
      <c r="J100" s="2" t="s">
        <v>909</v>
      </c>
      <c r="K100" s="9" t="s">
        <v>1172</v>
      </c>
      <c r="L100" s="2" t="s">
        <v>976</v>
      </c>
      <c r="M100" s="2" t="s">
        <v>830</v>
      </c>
      <c r="N100" s="2" t="s">
        <v>727</v>
      </c>
      <c r="O100" s="2" t="s">
        <v>1172</v>
      </c>
      <c r="P100" s="2" t="s">
        <v>1172</v>
      </c>
      <c r="Q100" s="2" t="s">
        <v>1093</v>
      </c>
      <c r="R100" s="2" t="s">
        <v>810</v>
      </c>
      <c r="S100" s="2" t="s">
        <v>879</v>
      </c>
      <c r="T100" s="2"/>
      <c r="U100" s="2"/>
      <c r="V100" s="2"/>
      <c r="W100" s="2"/>
      <c r="X100" s="2"/>
      <c r="Y100" s="2"/>
      <c r="Z100" s="2" t="str">
        <f t="shared" si="7"/>
        <v xml:space="preserve"> </v>
      </c>
    </row>
    <row r="101" spans="2:34" ht="12.75" customHeight="1" x14ac:dyDescent="0.2">
      <c r="B101" s="2" t="e">
        <f>MID($B$94,19,3)</f>
        <v>#N/A</v>
      </c>
      <c r="C101" s="2" t="str">
        <f t="shared" si="5"/>
        <v xml:space="preserve"> </v>
      </c>
      <c r="D101" s="2"/>
      <c r="E101" s="2" t="s">
        <v>748</v>
      </c>
      <c r="F101" s="2" t="s">
        <v>800</v>
      </c>
      <c r="G101" s="2" t="s">
        <v>820</v>
      </c>
      <c r="H101" s="2" t="s">
        <v>820</v>
      </c>
      <c r="I101" s="2" t="s">
        <v>820</v>
      </c>
      <c r="J101" s="2" t="s">
        <v>919</v>
      </c>
      <c r="K101" s="9" t="s">
        <v>800</v>
      </c>
      <c r="L101" s="2" t="s">
        <v>870</v>
      </c>
      <c r="M101" s="2" t="s">
        <v>840</v>
      </c>
      <c r="N101" s="2" t="s">
        <v>810</v>
      </c>
      <c r="O101" s="2" t="s">
        <v>1201</v>
      </c>
      <c r="P101" s="2" t="s">
        <v>820</v>
      </c>
      <c r="Q101" s="2" t="s">
        <v>800</v>
      </c>
      <c r="R101" s="2" t="s">
        <v>1172</v>
      </c>
      <c r="S101" s="2" t="s">
        <v>810</v>
      </c>
      <c r="T101" s="2"/>
      <c r="U101" s="2"/>
      <c r="V101" s="2"/>
      <c r="W101" s="2"/>
      <c r="X101" s="2"/>
      <c r="Y101" s="2"/>
      <c r="Z101" s="2" t="str">
        <f t="shared" si="7"/>
        <v xml:space="preserve"> </v>
      </c>
    </row>
    <row r="102" spans="2:34" ht="12.75" customHeight="1" x14ac:dyDescent="0.2">
      <c r="B102" s="2" t="e">
        <f>MID($B$94,22,3)</f>
        <v>#N/A</v>
      </c>
      <c r="C102" s="2" t="str">
        <f t="shared" si="5"/>
        <v xml:space="preserve"> </v>
      </c>
      <c r="D102" s="2"/>
      <c r="E102" s="2" t="s">
        <v>760</v>
      </c>
      <c r="F102" s="2" t="s">
        <v>789</v>
      </c>
      <c r="G102" s="2" t="s">
        <v>830</v>
      </c>
      <c r="H102" s="2" t="s">
        <v>830</v>
      </c>
      <c r="I102" s="2" t="s">
        <v>748</v>
      </c>
      <c r="J102" s="2" t="s">
        <v>748</v>
      </c>
      <c r="K102" s="9" t="s">
        <v>1016</v>
      </c>
      <c r="L102" s="2" t="s">
        <v>748</v>
      </c>
      <c r="M102" s="2" t="s">
        <v>996</v>
      </c>
      <c r="N102" s="2" t="s">
        <v>1172</v>
      </c>
      <c r="O102" s="2" t="s">
        <v>820</v>
      </c>
      <c r="P102" s="2" t="s">
        <v>830</v>
      </c>
      <c r="Q102" s="2" t="s">
        <v>789</v>
      </c>
      <c r="R102" s="2" t="s">
        <v>820</v>
      </c>
      <c r="S102" s="2" t="s">
        <v>1093</v>
      </c>
      <c r="T102" s="2"/>
      <c r="U102" s="2"/>
      <c r="V102" s="2"/>
      <c r="W102" s="2"/>
      <c r="X102" s="2"/>
      <c r="Y102" s="2"/>
      <c r="Z102" s="2" t="str">
        <f t="shared" si="7"/>
        <v xml:space="preserve"> </v>
      </c>
    </row>
    <row r="103" spans="2:34" ht="12.75" customHeight="1" x14ac:dyDescent="0.2">
      <c r="B103" s="2" t="e">
        <f>MID($B$94,25,3)</f>
        <v>#N/A</v>
      </c>
      <c r="C103" s="2" t="str">
        <f t="shared" si="5"/>
        <v xml:space="preserve"> </v>
      </c>
      <c r="D103" s="2"/>
      <c r="E103" s="2" t="s">
        <v>767</v>
      </c>
      <c r="F103" s="2" t="s">
        <v>739</v>
      </c>
      <c r="G103" s="2" t="s">
        <v>840</v>
      </c>
      <c r="H103" s="2" t="s">
        <v>840</v>
      </c>
      <c r="I103" s="2" t="s">
        <v>760</v>
      </c>
      <c r="J103" s="2" t="s">
        <v>760</v>
      </c>
      <c r="K103" s="9" t="s">
        <v>789</v>
      </c>
      <c r="L103" s="2" t="s">
        <v>760</v>
      </c>
      <c r="M103" s="2" t="s">
        <v>919</v>
      </c>
      <c r="N103" s="2" t="s">
        <v>820</v>
      </c>
      <c r="O103" s="2" t="s">
        <v>1223</v>
      </c>
      <c r="P103" s="2" t="s">
        <v>840</v>
      </c>
      <c r="Q103" s="2" t="s">
        <v>739</v>
      </c>
      <c r="R103" s="2" t="s">
        <v>830</v>
      </c>
      <c r="S103" s="2" t="s">
        <v>1172</v>
      </c>
      <c r="T103" s="2"/>
      <c r="U103" s="2"/>
      <c r="V103" s="2"/>
      <c r="W103" s="2"/>
      <c r="X103" s="2"/>
      <c r="Y103" s="2"/>
      <c r="Z103" s="2" t="str">
        <f t="shared" si="7"/>
        <v xml:space="preserve"> </v>
      </c>
    </row>
    <row r="104" spans="2:34" ht="12.75" customHeight="1" x14ac:dyDescent="0.2">
      <c r="B104" s="2" t="e">
        <f>MID($B$94,28,3)</f>
        <v>#N/A</v>
      </c>
      <c r="C104" s="2" t="str">
        <f t="shared" si="5"/>
        <v xml:space="preserve"> </v>
      </c>
      <c r="D104" s="2"/>
      <c r="E104" s="2" t="s">
        <v>778</v>
      </c>
      <c r="F104" s="2" t="s">
        <v>748</v>
      </c>
      <c r="G104" s="2" t="s">
        <v>996</v>
      </c>
      <c r="H104" s="2" t="s">
        <v>996</v>
      </c>
      <c r="I104" s="2" t="s">
        <v>778</v>
      </c>
      <c r="J104" s="2" t="s">
        <v>929</v>
      </c>
      <c r="K104" s="9" t="s">
        <v>1006</v>
      </c>
      <c r="L104" s="2" t="s">
        <v>986</v>
      </c>
      <c r="M104" s="2" t="s">
        <v>748</v>
      </c>
      <c r="N104" s="2" t="s">
        <v>830</v>
      </c>
      <c r="O104" s="2" t="s">
        <v>830</v>
      </c>
      <c r="P104" s="2" t="s">
        <v>996</v>
      </c>
      <c r="Q104" s="2" t="s">
        <v>748</v>
      </c>
      <c r="R104" s="2" t="s">
        <v>840</v>
      </c>
      <c r="S104" s="2" t="s">
        <v>800</v>
      </c>
      <c r="T104" s="2"/>
      <c r="U104" s="2"/>
      <c r="V104" s="2"/>
      <c r="W104" s="2"/>
      <c r="X104" s="2"/>
      <c r="Y104" s="2"/>
      <c r="Z104" s="2" t="str">
        <f t="shared" si="7"/>
        <v xml:space="preserve"> </v>
      </c>
    </row>
    <row r="105" spans="2:34" ht="12.75" customHeight="1" x14ac:dyDescent="0.2">
      <c r="B105" s="2" t="e">
        <f>MID($B$94,31,3)</f>
        <v>#N/A</v>
      </c>
      <c r="C105" s="2" t="str">
        <f t="shared" si="5"/>
        <v xml:space="preserve"> </v>
      </c>
      <c r="D105" s="2"/>
      <c r="E105" s="2" t="str">
        <f t="shared" ref="E105:F112" si="8">""</f>
        <v/>
      </c>
      <c r="F105" s="2" t="s">
        <v>760</v>
      </c>
      <c r="G105" s="2" t="s">
        <v>870</v>
      </c>
      <c r="H105" s="2" t="s">
        <v>870</v>
      </c>
      <c r="I105" s="2" t="str">
        <f t="shared" ref="I105:Q112" si="9">""</f>
        <v/>
      </c>
      <c r="J105" s="2" t="s">
        <v>940</v>
      </c>
      <c r="K105" s="9" t="s">
        <v>1150</v>
      </c>
      <c r="L105" s="2" t="str">
        <f t="shared" ref="L105:L107" si="10">""</f>
        <v/>
      </c>
      <c r="M105" s="2" t="s">
        <v>760</v>
      </c>
      <c r="N105" s="2" t="s">
        <v>840</v>
      </c>
      <c r="O105" s="2" t="s">
        <v>840</v>
      </c>
      <c r="P105" s="2" t="s">
        <v>870</v>
      </c>
      <c r="Q105" s="2" t="s">
        <v>760</v>
      </c>
      <c r="R105" s="2" t="s">
        <v>996</v>
      </c>
      <c r="S105" s="2" t="s">
        <v>820</v>
      </c>
      <c r="T105" s="2"/>
      <c r="U105" s="2"/>
      <c r="V105" s="2"/>
      <c r="W105" s="2"/>
      <c r="X105" s="2"/>
      <c r="Y105" s="2"/>
      <c r="Z105" s="2" t="str">
        <f t="shared" si="7"/>
        <v xml:space="preserve"> </v>
      </c>
    </row>
    <row r="106" spans="2:34" ht="12.75" customHeight="1" x14ac:dyDescent="0.2">
      <c r="B106" s="2" t="e">
        <f>MID($B$94,34,3)</f>
        <v>#N/A</v>
      </c>
      <c r="C106" s="2" t="str">
        <f t="shared" si="5"/>
        <v xml:space="preserve"> </v>
      </c>
      <c r="D106" s="2"/>
      <c r="E106" s="2" t="str">
        <f t="shared" si="8"/>
        <v/>
      </c>
      <c r="F106" s="2" t="s">
        <v>767</v>
      </c>
      <c r="G106" s="2" t="s">
        <v>1150</v>
      </c>
      <c r="H106" s="2" t="s">
        <v>1150</v>
      </c>
      <c r="I106" s="2" t="str">
        <f t="shared" si="9"/>
        <v/>
      </c>
      <c r="J106" s="2" t="s">
        <v>950</v>
      </c>
      <c r="K106" s="9" t="s">
        <v>1161</v>
      </c>
      <c r="L106" s="2" t="str">
        <f t="shared" si="10"/>
        <v/>
      </c>
      <c r="M106" s="2" t="s">
        <v>1212</v>
      </c>
      <c r="N106" s="2" t="s">
        <v>996</v>
      </c>
      <c r="O106" s="2" t="s">
        <v>996</v>
      </c>
      <c r="P106" s="2" t="s">
        <v>1150</v>
      </c>
      <c r="Q106" s="2" t="s">
        <v>767</v>
      </c>
      <c r="R106" s="2" t="s">
        <v>870</v>
      </c>
      <c r="S106" s="2" t="s">
        <v>1016</v>
      </c>
      <c r="T106" s="2"/>
      <c r="U106" s="2"/>
      <c r="V106" s="2"/>
      <c r="W106" s="2"/>
      <c r="X106" s="2"/>
      <c r="Y106" s="2"/>
      <c r="Z106" s="2" t="str">
        <f t="shared" si="7"/>
        <v xml:space="preserve"> </v>
      </c>
    </row>
    <row r="107" spans="2:34" ht="12.75" customHeight="1" x14ac:dyDescent="0.2">
      <c r="B107" s="2" t="e">
        <f>MID($B$94,37,3)</f>
        <v>#N/A</v>
      </c>
      <c r="C107" s="2" t="str">
        <f t="shared" si="5"/>
        <v xml:space="preserve"> </v>
      </c>
      <c r="D107" s="2"/>
      <c r="E107" s="2" t="str">
        <f t="shared" si="8"/>
        <v/>
      </c>
      <c r="F107" s="2" t="s">
        <v>778</v>
      </c>
      <c r="G107" s="2" t="s">
        <v>1161</v>
      </c>
      <c r="H107" s="2" t="s">
        <v>1161</v>
      </c>
      <c r="I107" s="2" t="str">
        <f t="shared" si="9"/>
        <v/>
      </c>
      <c r="J107" s="2" t="s">
        <v>778</v>
      </c>
      <c r="K107" s="9" t="s">
        <v>748</v>
      </c>
      <c r="L107" s="2" t="str">
        <f t="shared" si="10"/>
        <v/>
      </c>
      <c r="M107" s="2" t="s">
        <v>778</v>
      </c>
      <c r="N107" s="2" t="s">
        <v>739</v>
      </c>
      <c r="O107" s="2" t="s">
        <v>919</v>
      </c>
      <c r="P107" s="2" t="s">
        <v>1161</v>
      </c>
      <c r="Q107" s="2" t="s">
        <v>778</v>
      </c>
      <c r="R107" s="2" t="s">
        <v>1150</v>
      </c>
      <c r="S107" s="2" t="s">
        <v>789</v>
      </c>
      <c r="T107" s="2"/>
      <c r="U107" s="2"/>
      <c r="V107" s="2"/>
      <c r="W107" s="2"/>
      <c r="X107" s="2"/>
      <c r="Y107" s="2"/>
      <c r="Z107" s="2" t="str">
        <f t="shared" si="7"/>
        <v xml:space="preserve"> </v>
      </c>
    </row>
    <row r="108" spans="2:34" ht="12.75" customHeight="1" x14ac:dyDescent="0.2">
      <c r="B108" s="2" t="e">
        <f>MID($B$94,40,3)</f>
        <v>#N/A</v>
      </c>
      <c r="C108" s="2" t="str">
        <f t="shared" si="5"/>
        <v xml:space="preserve"> </v>
      </c>
      <c r="D108" s="2"/>
      <c r="E108" s="2" t="str">
        <f t="shared" si="8"/>
        <v/>
      </c>
      <c r="F108" s="2" t="str">
        <f t="shared" si="8"/>
        <v/>
      </c>
      <c r="G108" s="2" t="s">
        <v>748</v>
      </c>
      <c r="H108" s="2" t="s">
        <v>748</v>
      </c>
      <c r="I108" s="2" t="str">
        <f t="shared" si="9"/>
        <v/>
      </c>
      <c r="J108" s="2" t="str">
        <f t="shared" si="9"/>
        <v/>
      </c>
      <c r="K108" s="9" t="s">
        <v>760</v>
      </c>
      <c r="L108" s="2" t="str">
        <f t="shared" si="9"/>
        <v/>
      </c>
      <c r="M108" s="2" t="str">
        <f t="shared" si="9"/>
        <v/>
      </c>
      <c r="N108" s="2" t="s">
        <v>870</v>
      </c>
      <c r="O108" s="2" t="s">
        <v>870</v>
      </c>
      <c r="P108" s="2" t="s">
        <v>748</v>
      </c>
      <c r="Q108" s="2" t="str">
        <f t="shared" ref="Q108:Q110" si="11">""</f>
        <v/>
      </c>
      <c r="R108" s="2" t="s">
        <v>1161</v>
      </c>
      <c r="S108" s="2" t="s">
        <v>830</v>
      </c>
      <c r="T108" s="2"/>
      <c r="U108" s="2"/>
      <c r="V108" s="2"/>
      <c r="W108" s="2"/>
      <c r="X108" s="2"/>
      <c r="Y108" s="2"/>
      <c r="Z108" s="2" t="str">
        <f t="shared" si="7"/>
        <v xml:space="preserve"> </v>
      </c>
    </row>
    <row r="109" spans="2:34" ht="12.75" customHeight="1" x14ac:dyDescent="0.2">
      <c r="B109" s="2" t="e">
        <f>MID($B$94,43,3)</f>
        <v>#N/A</v>
      </c>
      <c r="C109" s="2" t="str">
        <f t="shared" si="5"/>
        <v xml:space="preserve"> </v>
      </c>
      <c r="D109" s="2"/>
      <c r="E109" s="2" t="str">
        <f t="shared" si="8"/>
        <v/>
      </c>
      <c r="F109" s="2" t="str">
        <f t="shared" si="8"/>
        <v/>
      </c>
      <c r="G109" s="2" t="s">
        <v>760</v>
      </c>
      <c r="H109" s="2" t="s">
        <v>760</v>
      </c>
      <c r="I109" s="2" t="str">
        <f t="shared" si="9"/>
        <v/>
      </c>
      <c r="J109" s="2" t="str">
        <f t="shared" si="9"/>
        <v/>
      </c>
      <c r="K109" s="2" t="s">
        <v>956</v>
      </c>
      <c r="L109" s="2" t="str">
        <f t="shared" si="9"/>
        <v/>
      </c>
      <c r="M109" s="2" t="str">
        <f t="shared" si="9"/>
        <v/>
      </c>
      <c r="N109" s="2" t="s">
        <v>1150</v>
      </c>
      <c r="O109" s="2" t="s">
        <v>1150</v>
      </c>
      <c r="P109" s="2" t="s">
        <v>760</v>
      </c>
      <c r="Q109" s="2" t="str">
        <f t="shared" si="11"/>
        <v/>
      </c>
      <c r="R109" s="2" t="s">
        <v>748</v>
      </c>
      <c r="S109" s="2" t="s">
        <v>739</v>
      </c>
      <c r="T109" s="2"/>
      <c r="U109" s="2"/>
      <c r="V109" s="2"/>
      <c r="W109" s="2"/>
      <c r="X109" s="2"/>
      <c r="Y109" s="2"/>
      <c r="Z109" s="2" t="str">
        <f t="shared" si="7"/>
        <v xml:space="preserve"> </v>
      </c>
    </row>
    <row r="110" spans="2:34" ht="12.75" customHeight="1" x14ac:dyDescent="0.2">
      <c r="B110" s="2" t="e">
        <f>MID($B$94,46,3)</f>
        <v>#N/A</v>
      </c>
      <c r="C110" s="2" t="str">
        <f t="shared" si="5"/>
        <v xml:space="preserve"> </v>
      </c>
      <c r="D110" s="2"/>
      <c r="E110" s="2" t="str">
        <f t="shared" si="8"/>
        <v/>
      </c>
      <c r="F110" s="2" t="str">
        <f t="shared" si="8"/>
        <v/>
      </c>
      <c r="G110" s="2" t="s">
        <v>850</v>
      </c>
      <c r="H110" s="2" t="s">
        <v>850</v>
      </c>
      <c r="I110" s="2" t="str">
        <f t="shared" si="9"/>
        <v/>
      </c>
      <c r="J110" s="2" t="str">
        <f t="shared" si="9"/>
        <v/>
      </c>
      <c r="K110" s="2" t="s">
        <v>778</v>
      </c>
      <c r="L110" s="2" t="str">
        <f t="shared" si="9"/>
        <v/>
      </c>
      <c r="M110" s="2" t="str">
        <f t="shared" si="9"/>
        <v/>
      </c>
      <c r="N110" s="2" t="s">
        <v>1161</v>
      </c>
      <c r="O110" s="2" t="s">
        <v>1161</v>
      </c>
      <c r="P110" s="2" t="s">
        <v>850</v>
      </c>
      <c r="Q110" s="2" t="str">
        <f t="shared" si="11"/>
        <v/>
      </c>
      <c r="R110" s="2" t="s">
        <v>760</v>
      </c>
      <c r="S110" s="2" t="s">
        <v>1006</v>
      </c>
      <c r="T110" s="2"/>
      <c r="U110" s="2"/>
      <c r="V110" s="2"/>
      <c r="W110" s="2"/>
      <c r="X110" s="2"/>
      <c r="Y110" s="2"/>
      <c r="Z110" s="2" t="str">
        <f t="shared" si="7"/>
        <v xml:space="preserve"> </v>
      </c>
    </row>
    <row r="111" spans="2:34" ht="12.75" customHeight="1" x14ac:dyDescent="0.2">
      <c r="B111" s="2" t="e">
        <f>MID($B$94,49,3)</f>
        <v>#N/A</v>
      </c>
      <c r="C111" s="2" t="str">
        <f t="shared" si="5"/>
        <v xml:space="preserve"> </v>
      </c>
      <c r="D111" s="2"/>
      <c r="E111" s="2" t="str">
        <f t="shared" si="8"/>
        <v/>
      </c>
      <c r="F111" s="2" t="str">
        <f t="shared" si="8"/>
        <v/>
      </c>
      <c r="G111" s="2" t="s">
        <v>860</v>
      </c>
      <c r="H111" s="2" t="s">
        <v>860</v>
      </c>
      <c r="I111" s="2" t="str">
        <f t="shared" si="9"/>
        <v/>
      </c>
      <c r="J111" s="2" t="str">
        <f t="shared" si="9"/>
        <v/>
      </c>
      <c r="K111" s="2" t="str">
        <f t="shared" si="9"/>
        <v/>
      </c>
      <c r="L111" s="2" t="str">
        <f t="shared" si="9"/>
        <v/>
      </c>
      <c r="M111" s="2" t="str">
        <f t="shared" si="9"/>
        <v/>
      </c>
      <c r="N111" s="2" t="s">
        <v>748</v>
      </c>
      <c r="O111" s="2" t="s">
        <v>748</v>
      </c>
      <c r="P111" s="2" t="s">
        <v>860</v>
      </c>
      <c r="Q111" s="2" t="str">
        <f t="shared" si="9"/>
        <v/>
      </c>
      <c r="R111" s="2" t="s">
        <v>850</v>
      </c>
      <c r="S111" s="2" t="s">
        <v>1150</v>
      </c>
      <c r="T111" s="2"/>
      <c r="U111" s="2"/>
      <c r="V111" s="2"/>
      <c r="W111" s="2"/>
      <c r="X111" s="2"/>
      <c r="Y111" s="2"/>
      <c r="Z111" s="2" t="str">
        <f t="shared" si="7"/>
        <v xml:space="preserve"> </v>
      </c>
    </row>
    <row r="112" spans="2:34" ht="12.75" customHeight="1" x14ac:dyDescent="0.2">
      <c r="B112" s="2" t="e">
        <f>MID($B$94,52,3)</f>
        <v>#N/A</v>
      </c>
      <c r="C112" s="2" t="str">
        <f t="shared" si="5"/>
        <v xml:space="preserve"> </v>
      </c>
      <c r="D112" s="2"/>
      <c r="E112" s="2" t="str">
        <f t="shared" si="8"/>
        <v/>
      </c>
      <c r="F112" s="2" t="str">
        <f t="shared" si="8"/>
        <v/>
      </c>
      <c r="G112" s="2" t="s">
        <v>778</v>
      </c>
      <c r="H112" s="2" t="s">
        <v>778</v>
      </c>
      <c r="I112" s="2" t="str">
        <f t="shared" si="9"/>
        <v/>
      </c>
      <c r="J112" s="2" t="str">
        <f t="shared" si="9"/>
        <v/>
      </c>
      <c r="K112" s="2" t="str">
        <f t="shared" si="9"/>
        <v/>
      </c>
      <c r="L112" s="2" t="str">
        <f t="shared" si="9"/>
        <v/>
      </c>
      <c r="M112" s="2" t="str">
        <f t="shared" si="9"/>
        <v/>
      </c>
      <c r="N112" s="2" t="s">
        <v>760</v>
      </c>
      <c r="O112" s="2" t="s">
        <v>760</v>
      </c>
      <c r="P112" s="2" t="s">
        <v>778</v>
      </c>
      <c r="Q112" s="2" t="str">
        <f t="shared" si="9"/>
        <v/>
      </c>
      <c r="R112" s="2" t="s">
        <v>860</v>
      </c>
      <c r="S112" s="2" t="s">
        <v>1161</v>
      </c>
      <c r="T112" s="2"/>
      <c r="U112" s="2"/>
      <c r="V112" s="2"/>
      <c r="W112" s="2"/>
      <c r="X112" s="2"/>
      <c r="Y112" s="2"/>
      <c r="Z112" s="2" t="str">
        <f t="shared" si="7"/>
        <v xml:space="preserve"> </v>
      </c>
    </row>
    <row r="113" spans="2:26" ht="12.75" customHeight="1" x14ac:dyDescent="0.2">
      <c r="B113" s="2" t="e">
        <f>MID($B$94,55,3)</f>
        <v>#N/A</v>
      </c>
      <c r="C113" s="2" t="str">
        <f t="shared" si="5"/>
        <v xml:space="preserve"> </v>
      </c>
      <c r="D113" s="2"/>
      <c r="E113" s="2" t="str">
        <f t="shared" ref="E113:E115" si="12">""</f>
        <v/>
      </c>
      <c r="F113" s="2" t="str">
        <f t="shared" ref="F113:F115" si="13">""</f>
        <v/>
      </c>
      <c r="G113" s="2" t="str">
        <f t="shared" ref="G113:G115" si="14">""</f>
        <v/>
      </c>
      <c r="H113" s="2" t="str">
        <f t="shared" ref="H113:Q113" si="15">""</f>
        <v/>
      </c>
      <c r="I113" s="2" t="str">
        <f t="shared" si="15"/>
        <v/>
      </c>
      <c r="J113" s="2" t="str">
        <f t="shared" si="15"/>
        <v/>
      </c>
      <c r="K113" s="2" t="str">
        <f t="shared" si="15"/>
        <v/>
      </c>
      <c r="L113" s="2" t="str">
        <f t="shared" si="15"/>
        <v/>
      </c>
      <c r="M113" s="2" t="str">
        <f t="shared" si="15"/>
        <v/>
      </c>
      <c r="N113" s="2" t="s">
        <v>850</v>
      </c>
      <c r="O113" s="2" t="s">
        <v>1212</v>
      </c>
      <c r="P113" s="2" t="str">
        <f t="shared" si="15"/>
        <v/>
      </c>
      <c r="Q113" s="2" t="str">
        <f t="shared" si="15"/>
        <v/>
      </c>
      <c r="R113" s="2" t="s">
        <v>778</v>
      </c>
      <c r="S113" s="2" t="s">
        <v>748</v>
      </c>
      <c r="T113" s="2"/>
      <c r="U113" s="2"/>
      <c r="V113" s="2"/>
      <c r="W113" s="2"/>
      <c r="X113" s="2"/>
      <c r="Y113" s="2"/>
      <c r="Z113" s="2"/>
    </row>
    <row r="114" spans="2:26" ht="12.75" customHeight="1" x14ac:dyDescent="0.2">
      <c r="B114" s="23" t="e">
        <f>MID($B$94,58,3)</f>
        <v>#N/A</v>
      </c>
      <c r="C114" s="2" t="str">
        <f t="shared" si="5"/>
        <v xml:space="preserve"> </v>
      </c>
      <c r="D114" s="2"/>
      <c r="E114" s="2" t="str">
        <f t="shared" si="12"/>
        <v/>
      </c>
      <c r="F114" s="2" t="str">
        <f t="shared" si="13"/>
        <v/>
      </c>
      <c r="G114" s="2" t="str">
        <f t="shared" si="14"/>
        <v/>
      </c>
      <c r="H114" s="2" t="str">
        <f t="shared" ref="H114:R114" si="16">""</f>
        <v/>
      </c>
      <c r="I114" s="2" t="str">
        <f t="shared" si="16"/>
        <v/>
      </c>
      <c r="J114" s="2" t="str">
        <f t="shared" si="16"/>
        <v/>
      </c>
      <c r="K114" s="2" t="str">
        <f t="shared" si="16"/>
        <v/>
      </c>
      <c r="L114" s="2" t="str">
        <f t="shared" si="16"/>
        <v/>
      </c>
      <c r="M114" s="2" t="str">
        <f t="shared" si="16"/>
        <v/>
      </c>
      <c r="N114" s="2" t="s">
        <v>860</v>
      </c>
      <c r="O114" s="2" t="s">
        <v>850</v>
      </c>
      <c r="P114" s="2" t="str">
        <f t="shared" si="16"/>
        <v/>
      </c>
      <c r="Q114" s="2" t="str">
        <f t="shared" si="16"/>
        <v/>
      </c>
      <c r="R114" s="2" t="str">
        <f t="shared" si="16"/>
        <v/>
      </c>
      <c r="S114" s="2" t="s">
        <v>760</v>
      </c>
      <c r="T114" s="2"/>
      <c r="U114" s="2"/>
      <c r="V114" s="2"/>
      <c r="W114" s="2"/>
      <c r="X114" s="2"/>
      <c r="Y114" s="2"/>
      <c r="Z114" s="2"/>
    </row>
    <row r="115" spans="2:26" ht="12.75" customHeight="1" x14ac:dyDescent="0.2">
      <c r="B115" s="23" t="e">
        <f>MID($B$94,61,3)</f>
        <v>#N/A</v>
      </c>
      <c r="C115" s="2" t="str">
        <f t="shared" si="5"/>
        <v xml:space="preserve"> </v>
      </c>
      <c r="D115" s="2"/>
      <c r="E115" s="2" t="str">
        <f t="shared" si="12"/>
        <v/>
      </c>
      <c r="F115" s="2" t="str">
        <f t="shared" si="13"/>
        <v/>
      </c>
      <c r="G115" s="2" t="str">
        <f t="shared" si="14"/>
        <v/>
      </c>
      <c r="H115" s="2" t="str">
        <f t="shared" ref="H115:R115" si="17">""</f>
        <v/>
      </c>
      <c r="I115" s="2" t="str">
        <f t="shared" si="17"/>
        <v/>
      </c>
      <c r="J115" s="2" t="str">
        <f t="shared" si="17"/>
        <v/>
      </c>
      <c r="K115" s="2" t="str">
        <f t="shared" si="17"/>
        <v/>
      </c>
      <c r="L115" s="2" t="str">
        <f t="shared" si="17"/>
        <v/>
      </c>
      <c r="M115" s="2" t="str">
        <f t="shared" si="17"/>
        <v/>
      </c>
      <c r="N115" s="2" t="s">
        <v>767</v>
      </c>
      <c r="O115" s="2" t="s">
        <v>860</v>
      </c>
      <c r="P115" s="2" t="str">
        <f t="shared" si="17"/>
        <v/>
      </c>
      <c r="Q115" s="2" t="str">
        <f t="shared" si="17"/>
        <v/>
      </c>
      <c r="R115" s="2" t="str">
        <f t="shared" si="17"/>
        <v/>
      </c>
      <c r="S115" s="2" t="s">
        <v>956</v>
      </c>
      <c r="T115" s="2"/>
      <c r="U115" s="2"/>
      <c r="V115" s="2"/>
      <c r="W115" s="2"/>
      <c r="X115" s="2"/>
      <c r="Y115" s="2"/>
      <c r="Z115" s="21"/>
    </row>
    <row r="116" spans="2:26" ht="12.75" customHeight="1" x14ac:dyDescent="0.2">
      <c r="B116" s="23" t="e">
        <f>MID($B$94,64,3)</f>
        <v>#N/A</v>
      </c>
      <c r="C116" s="2" t="str">
        <f t="shared" si="5"/>
        <v xml:space="preserve"> </v>
      </c>
      <c r="D116" s="2"/>
      <c r="E116" s="2"/>
      <c r="F116" s="2"/>
      <c r="G116" s="2"/>
      <c r="H116" s="2"/>
      <c r="I116" s="2"/>
      <c r="J116" s="2"/>
      <c r="K116" s="2"/>
      <c r="L116" s="2"/>
      <c r="M116" s="2"/>
      <c r="N116" s="2" t="s">
        <v>778</v>
      </c>
      <c r="O116" s="2" t="s">
        <v>778</v>
      </c>
      <c r="P116" s="2"/>
      <c r="Q116" s="2"/>
      <c r="R116" s="2" t="str">
        <f>""</f>
        <v/>
      </c>
      <c r="S116" s="2" t="s">
        <v>767</v>
      </c>
    </row>
    <row r="117" spans="2:26" ht="12.75" customHeight="1" x14ac:dyDescent="0.2">
      <c r="B117" s="23" t="e">
        <f>MID($B$94,67,3)</f>
        <v>#N/A</v>
      </c>
      <c r="C117" s="2" t="str">
        <f t="shared" si="5"/>
        <v xml:space="preserve"> </v>
      </c>
      <c r="D117" s="2"/>
      <c r="E117" s="2"/>
      <c r="F117" s="2"/>
      <c r="G117" s="2"/>
      <c r="H117" s="2"/>
      <c r="I117" s="2"/>
      <c r="J117" s="2"/>
      <c r="K117" s="2"/>
      <c r="L117" s="2"/>
      <c r="M117" s="2"/>
      <c r="N117" s="2"/>
      <c r="O117" s="2"/>
      <c r="P117" s="2"/>
      <c r="Q117" s="2"/>
      <c r="R117" s="2"/>
      <c r="S117" s="2" t="s">
        <v>778</v>
      </c>
    </row>
    <row r="118" spans="2:26" ht="12.75" customHeight="1" x14ac:dyDescent="0.2">
      <c r="B118" s="23" t="e">
        <f>MID($B$94,70,3)</f>
        <v>#N/A</v>
      </c>
      <c r="C118" s="2" t="str">
        <f t="shared" si="5"/>
        <v xml:space="preserve"> </v>
      </c>
      <c r="D118" s="2"/>
      <c r="E118" s="2"/>
      <c r="F118" s="2"/>
      <c r="G118" s="2"/>
      <c r="H118" s="2"/>
      <c r="I118" s="2"/>
      <c r="J118" s="2"/>
      <c r="K118" s="2"/>
      <c r="L118" s="2"/>
      <c r="M118" s="2"/>
      <c r="N118" s="2"/>
      <c r="O118" s="2"/>
      <c r="P118" s="2"/>
      <c r="Q118" s="2"/>
      <c r="R118" s="2"/>
      <c r="S118" s="2"/>
    </row>
    <row r="119" spans="2:26" ht="12.75" customHeight="1" x14ac:dyDescent="0.2">
      <c r="B119" s="23" t="e">
        <f>MID($B$94,73,3)</f>
        <v>#N/A</v>
      </c>
      <c r="C119" s="2" t="str">
        <f t="shared" si="5"/>
        <v xml:space="preserve"> </v>
      </c>
      <c r="D119" s="2"/>
      <c r="E119" s="2"/>
      <c r="F119" s="2"/>
      <c r="G119" s="2"/>
      <c r="H119" s="2"/>
      <c r="I119" s="2"/>
      <c r="J119" s="2"/>
      <c r="K119" s="2"/>
      <c r="L119" s="2"/>
      <c r="M119" s="2"/>
      <c r="N119" s="2"/>
      <c r="O119" s="2"/>
      <c r="P119" s="2"/>
      <c r="Q119" s="2"/>
      <c r="R119" s="2"/>
      <c r="S119" s="2"/>
    </row>
    <row r="120" spans="2:26" ht="12.75" customHeight="1" x14ac:dyDescent="0.2">
      <c r="B120" s="23" t="e">
        <f>MID($B$94,76,3)</f>
        <v>#N/A</v>
      </c>
      <c r="C120" s="2" t="str">
        <f t="shared" si="5"/>
        <v xml:space="preserve"> </v>
      </c>
      <c r="D120" s="2"/>
      <c r="E120" s="2"/>
      <c r="F120" s="2"/>
      <c r="G120" s="2"/>
      <c r="H120" s="2"/>
      <c r="I120" s="2"/>
      <c r="J120" s="2"/>
      <c r="K120" s="2"/>
      <c r="L120" s="2"/>
      <c r="M120" s="2"/>
      <c r="N120" s="2"/>
      <c r="O120" s="2"/>
      <c r="P120" s="2"/>
      <c r="Q120" s="2"/>
      <c r="R120" s="2"/>
      <c r="S120" s="2"/>
    </row>
    <row r="121" spans="2:26" ht="12.75" customHeight="1" x14ac:dyDescent="0.2">
      <c r="B121" s="2" t="e">
        <f>MID($B$94,79,3)</f>
        <v>#N/A</v>
      </c>
      <c r="C121" s="2" t="str">
        <f t="shared" si="5"/>
        <v xml:space="preserve"> </v>
      </c>
      <c r="D121" s="19"/>
      <c r="E121" s="19"/>
      <c r="F121" s="19"/>
      <c r="G121" s="19"/>
      <c r="H121" s="19"/>
      <c r="I121" s="19"/>
      <c r="J121" s="19"/>
      <c r="K121" s="19"/>
      <c r="L121" s="19"/>
    </row>
    <row r="122" spans="2:26" ht="12.75" customHeight="1" x14ac:dyDescent="0.2">
      <c r="B122" s="2" t="e">
        <f>MID($B$94,82,3)</f>
        <v>#N/A</v>
      </c>
      <c r="C122" s="2" t="str">
        <f t="shared" si="5"/>
        <v xml:space="preserve"> </v>
      </c>
      <c r="D122" s="19"/>
      <c r="E122" s="19"/>
      <c r="F122" s="19"/>
      <c r="G122" s="19"/>
      <c r="H122" s="19"/>
      <c r="I122" s="19"/>
      <c r="J122" s="19"/>
      <c r="K122" s="19"/>
      <c r="L122" s="19"/>
    </row>
    <row r="123" spans="2:26" ht="12.75" customHeight="1" x14ac:dyDescent="0.2">
      <c r="B123" s="2" t="e">
        <f>MID($B$94,85,3)</f>
        <v>#N/A</v>
      </c>
      <c r="C123" s="2" t="str">
        <f t="shared" si="5"/>
        <v xml:space="preserve"> </v>
      </c>
      <c r="D123" s="3"/>
      <c r="E123" s="19"/>
      <c r="F123" s="19"/>
      <c r="G123" s="19"/>
      <c r="H123" s="19"/>
      <c r="I123" s="19"/>
      <c r="J123" s="19"/>
      <c r="K123" s="19"/>
      <c r="L123" s="19"/>
    </row>
    <row r="124" spans="2:26" ht="12.75" customHeight="1" x14ac:dyDescent="0.2">
      <c r="B124" s="2" t="e">
        <f>MID($B$94,88,3)</f>
        <v>#N/A</v>
      </c>
      <c r="C124" s="2" t="str">
        <f t="shared" si="5"/>
        <v xml:space="preserve"> </v>
      </c>
      <c r="D124" s="3"/>
      <c r="E124" s="19"/>
      <c r="F124" s="19"/>
      <c r="G124" s="19"/>
      <c r="H124" s="19"/>
      <c r="I124" s="19"/>
      <c r="J124" s="19"/>
      <c r="K124" s="19"/>
      <c r="L124" s="19"/>
    </row>
    <row r="125" spans="2:26" ht="12.75" customHeight="1" x14ac:dyDescent="0.2">
      <c r="B125" s="23" t="e">
        <f>MID($B$94,91,3)</f>
        <v>#N/A</v>
      </c>
      <c r="C125" s="2" t="str">
        <f t="shared" si="5"/>
        <v xml:space="preserve"> </v>
      </c>
      <c r="D125" s="3"/>
      <c r="E125" s="19"/>
      <c r="F125" s="19"/>
      <c r="G125" s="19"/>
      <c r="H125" s="19"/>
      <c r="I125" s="19"/>
      <c r="J125" s="19"/>
      <c r="K125" s="19"/>
      <c r="L125" s="19"/>
    </row>
    <row r="126" spans="2:26" ht="12.75" customHeight="1" x14ac:dyDescent="0.2">
      <c r="B126" s="23" t="e">
        <f>MID($B$94,94,3)</f>
        <v>#N/A</v>
      </c>
      <c r="C126" s="2" t="str">
        <f t="shared" si="5"/>
        <v xml:space="preserve"> </v>
      </c>
      <c r="D126" s="19"/>
      <c r="E126" s="19"/>
      <c r="F126" s="19"/>
      <c r="G126" s="19"/>
      <c r="H126" s="19"/>
      <c r="I126" s="19"/>
      <c r="J126" s="19"/>
      <c r="K126" s="19"/>
      <c r="L126" s="19"/>
    </row>
    <row r="127" spans="2:26" ht="15" customHeight="1" x14ac:dyDescent="0.2">
      <c r="B127" s="23" t="e">
        <f>MID($B$94,97,3)</f>
        <v>#N/A</v>
      </c>
      <c r="C127" s="2" t="str">
        <f t="shared" si="5"/>
        <v xml:space="preserve"> </v>
      </c>
    </row>
    <row r="128" spans="2:26" ht="15" customHeight="1" x14ac:dyDescent="0.2">
      <c r="B128" s="23" t="e">
        <f>MID($B$94,100,3)</f>
        <v>#N/A</v>
      </c>
      <c r="C128" s="2" t="str">
        <f t="shared" si="5"/>
        <v xml:space="preserve"> </v>
      </c>
    </row>
    <row r="129" spans="2:3" ht="15" customHeight="1" x14ac:dyDescent="0.2">
      <c r="B129" s="23" t="e">
        <f>MID($B$94,103,3)</f>
        <v>#N/A</v>
      </c>
      <c r="C129" s="2" t="str">
        <f t="shared" si="5"/>
        <v xml:space="preserve"> </v>
      </c>
    </row>
    <row r="130" spans="2:3" ht="15" customHeight="1" x14ac:dyDescent="0.2">
      <c r="B130" s="23" t="e">
        <f>MID($B$94,106,3)</f>
        <v>#N/A</v>
      </c>
      <c r="C130" s="23" t="str">
        <f t="shared" si="5"/>
        <v xml:space="preserve"> </v>
      </c>
    </row>
    <row r="131" spans="2:3" ht="15" customHeight="1" x14ac:dyDescent="0.2">
      <c r="B131" s="23" t="e">
        <f>MID($B$94,109,3)</f>
        <v>#N/A</v>
      </c>
      <c r="C131" s="23" t="str">
        <f t="shared" si="5"/>
        <v xml:space="preserve"> </v>
      </c>
    </row>
    <row r="132" spans="2:3" ht="15" customHeight="1" x14ac:dyDescent="0.2">
      <c r="B132" s="23" t="e">
        <f>MID($B$94,112,3)</f>
        <v>#N/A</v>
      </c>
      <c r="C132" s="23" t="str">
        <f t="shared" si="5"/>
        <v xml:space="preserve"> </v>
      </c>
    </row>
    <row r="133" spans="2:3" ht="15" customHeight="1" x14ac:dyDescent="0.2">
      <c r="B133" s="23" t="e">
        <f>MID($B$94,115,3)</f>
        <v>#N/A</v>
      </c>
      <c r="C133" s="23" t="str">
        <f t="shared" si="5"/>
        <v xml:space="preserve"> </v>
      </c>
    </row>
    <row r="134" spans="2:3" ht="15" customHeight="1" x14ac:dyDescent="0.2">
      <c r="B134" s="23" t="e">
        <f>MID($B$94,118,3)</f>
        <v>#N/A</v>
      </c>
      <c r="C134" s="23" t="str">
        <f t="shared" si="5"/>
        <v xml:space="preserve"> </v>
      </c>
    </row>
    <row r="135" spans="2:3" ht="15" customHeight="1" x14ac:dyDescent="0.2">
      <c r="B135" s="23" t="e">
        <f>MID($B$94,121,3)</f>
        <v>#N/A</v>
      </c>
      <c r="C135" s="23" t="str">
        <f t="shared" si="5"/>
        <v xml:space="preserve"> </v>
      </c>
    </row>
    <row r="136" spans="2:3" ht="15" customHeight="1" x14ac:dyDescent="0.2">
      <c r="B136" s="23" t="e">
        <f>MID($B$94,124,3)</f>
        <v>#N/A</v>
      </c>
      <c r="C136" s="23" t="str">
        <f t="shared" si="5"/>
        <v xml:space="preserve"> </v>
      </c>
    </row>
    <row r="137" spans="2:3" ht="15" customHeight="1" x14ac:dyDescent="0.2">
      <c r="B137" s="23" t="e">
        <f>MID($B$94,127,3)</f>
        <v>#N/A</v>
      </c>
      <c r="C137" s="23" t="str">
        <f t="shared" si="5"/>
        <v xml:space="preserve"> </v>
      </c>
    </row>
    <row r="138" spans="2:3" ht="15" customHeight="1" x14ac:dyDescent="0.2">
      <c r="B138" s="23" t="e">
        <f>MID($B$94,130,3)</f>
        <v>#N/A</v>
      </c>
      <c r="C138" s="23" t="str">
        <f t="shared" si="5"/>
        <v xml:space="preserve"> </v>
      </c>
    </row>
    <row r="139" spans="2:3" ht="15" customHeight="1" x14ac:dyDescent="0.2">
      <c r="B139" s="23" t="e">
        <f>MID($B$94,133,3)</f>
        <v>#N/A</v>
      </c>
      <c r="C139" s="23" t="str">
        <f t="shared" si="5"/>
        <v xml:space="preserve"> </v>
      </c>
    </row>
    <row r="140" spans="2:3" ht="15" customHeight="1" x14ac:dyDescent="0.2">
      <c r="B140" s="23" t="e">
        <f>MID($B$94,136,3)</f>
        <v>#N/A</v>
      </c>
      <c r="C140" s="23" t="str">
        <f t="shared" si="5"/>
        <v xml:space="preserve"> </v>
      </c>
    </row>
    <row r="141" spans="2:3" ht="15" customHeight="1" x14ac:dyDescent="0.2">
      <c r="B141" s="23" t="s">
        <v>1039</v>
      </c>
      <c r="C141" s="23" t="s">
        <v>1039</v>
      </c>
    </row>
  </sheetData>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406B-1569-4D4C-BC45-3F6AE9042573}">
  <dimension ref="A1:BV141"/>
  <sheetViews>
    <sheetView zoomScale="80" zoomScaleNormal="80" workbookViewId="0">
      <pane xSplit="2" ySplit="1" topLeftCell="C50" activePane="bottomRight" state="frozen"/>
      <selection activeCell="C18" sqref="C18:F18"/>
      <selection pane="topRight" activeCell="C18" sqref="C18:F18"/>
      <selection pane="bottomLeft" activeCell="C18" sqref="C18:F18"/>
      <selection pane="bottomRight" activeCell="B74" sqref="B74"/>
    </sheetView>
  </sheetViews>
  <sheetFormatPr baseColWidth="10" defaultColWidth="14.42578125" defaultRowHeight="15" customHeight="1" x14ac:dyDescent="0.2"/>
  <cols>
    <col min="1" max="1" width="9.140625" customWidth="1"/>
    <col min="2" max="2" width="33.85546875" customWidth="1"/>
    <col min="3" max="34" width="15.5703125" customWidth="1"/>
  </cols>
  <sheetData>
    <row r="1" spans="1:23" ht="12.75" customHeight="1" x14ac:dyDescent="0.2">
      <c r="B1" s="5" t="s">
        <v>701</v>
      </c>
      <c r="C1" s="5" t="s">
        <v>172</v>
      </c>
      <c r="D1" s="5" t="s">
        <v>176</v>
      </c>
      <c r="E1" s="5" t="s">
        <v>174</v>
      </c>
      <c r="F1" s="5" t="s">
        <v>175</v>
      </c>
      <c r="G1" s="5" t="s">
        <v>173</v>
      </c>
      <c r="H1" s="5" t="s">
        <v>228</v>
      </c>
      <c r="I1" s="5" t="s">
        <v>702</v>
      </c>
      <c r="J1" s="5" t="s">
        <v>229</v>
      </c>
      <c r="K1" s="5" t="s">
        <v>230</v>
      </c>
      <c r="M1" s="6" t="s">
        <v>703</v>
      </c>
      <c r="N1" s="6" t="s">
        <v>704</v>
      </c>
      <c r="O1" s="6" t="s">
        <v>705</v>
      </c>
      <c r="P1" s="6" t="s">
        <v>706</v>
      </c>
      <c r="Q1" s="6" t="s">
        <v>707</v>
      </c>
      <c r="R1" s="19"/>
      <c r="S1" s="6" t="s">
        <v>708</v>
      </c>
      <c r="T1" s="6" t="s">
        <v>709</v>
      </c>
      <c r="U1" s="6" t="s">
        <v>710</v>
      </c>
      <c r="V1" s="6" t="s">
        <v>711</v>
      </c>
      <c r="W1" s="6" t="s">
        <v>712</v>
      </c>
    </row>
    <row r="2" spans="1:23" ht="12.75" customHeight="1" x14ac:dyDescent="0.2">
      <c r="B2" t="s">
        <v>713</v>
      </c>
    </row>
    <row r="3" spans="1:23" ht="12.75" customHeight="1" x14ac:dyDescent="0.2">
      <c r="B3" s="2" t="s">
        <v>216</v>
      </c>
      <c r="C3" s="2">
        <v>0</v>
      </c>
      <c r="D3" s="2">
        <v>0</v>
      </c>
      <c r="E3" s="2">
        <v>0</v>
      </c>
      <c r="F3" s="2">
        <v>0</v>
      </c>
      <c r="G3" s="2">
        <v>0</v>
      </c>
      <c r="H3" s="2">
        <v>0</v>
      </c>
      <c r="I3" s="2">
        <v>0</v>
      </c>
      <c r="J3" s="1">
        <v>0</v>
      </c>
      <c r="K3" s="1">
        <v>2</v>
      </c>
      <c r="M3" s="19">
        <v>0</v>
      </c>
      <c r="N3" s="19">
        <v>0</v>
      </c>
      <c r="O3" s="19">
        <v>0</v>
      </c>
      <c r="P3" s="19">
        <v>0</v>
      </c>
      <c r="Q3" s="19">
        <v>0</v>
      </c>
      <c r="R3" s="19"/>
      <c r="S3" s="19">
        <v>0</v>
      </c>
      <c r="T3" s="19">
        <v>0</v>
      </c>
      <c r="U3" s="19">
        <v>0</v>
      </c>
      <c r="V3" s="19">
        <v>0</v>
      </c>
      <c r="W3" s="19">
        <v>0</v>
      </c>
    </row>
    <row r="4" spans="1:23" ht="12.75" customHeight="1" x14ac:dyDescent="0.2">
      <c r="A4" s="9" t="s">
        <v>714</v>
      </c>
      <c r="B4" s="9" t="s">
        <v>715</v>
      </c>
      <c r="C4" s="2">
        <v>7</v>
      </c>
      <c r="D4" s="2">
        <v>1</v>
      </c>
      <c r="E4" s="2" t="s">
        <v>716</v>
      </c>
      <c r="F4" s="2" t="s">
        <v>223</v>
      </c>
      <c r="G4" s="2" t="s">
        <v>717</v>
      </c>
      <c r="H4" s="3" t="str">
        <f>IF('Pack BB2020'!$J$24="Español",T4,(IF('Pack BB2020'!$J$24="Deutsch",U4,(IF('Pack BB2020'!$J$24="Français",V4,S4)))))</f>
        <v>Garras, Agallas, Furia, En pie de un salto, Solitario (4+), Sin manos, Echarse a un lado, Escurridizo, Canijo</v>
      </c>
      <c r="I4" s="3" t="str">
        <f>IF('Pack BB2020'!$J$24="Español",N4,(IF('Pack BB2020'!$J$24="Deutsch",O4,(IF('Pack BB2020'!$J$24="Italiano",Q4,(IF('Pack BB2020'!$J$24="Français",P4,M4)))))))</f>
        <v>Furia ciega: Akhorne puede elegir volver a tirar el D6 cuando tira la habilidad de Agallas</v>
      </c>
      <c r="J4" s="1">
        <v>80000</v>
      </c>
      <c r="K4" s="1">
        <f>IF((IFERROR((VLOOKUP(A4,$B$95:$B$141,1,FALSE)),0))&lt;&gt;0,1,0)</f>
        <v>1</v>
      </c>
      <c r="M4" s="19" t="s">
        <v>718</v>
      </c>
      <c r="N4" s="19" t="s">
        <v>719</v>
      </c>
      <c r="O4" s="19" t="s">
        <v>720</v>
      </c>
      <c r="P4" s="19" t="s">
        <v>721</v>
      </c>
      <c r="Q4" s="19" t="s">
        <v>1371</v>
      </c>
      <c r="R4" s="19"/>
      <c r="S4" s="19" t="s">
        <v>722</v>
      </c>
      <c r="T4" s="19" t="s">
        <v>723</v>
      </c>
      <c r="U4" s="19" t="s">
        <v>724</v>
      </c>
      <c r="V4" s="19" t="s">
        <v>725</v>
      </c>
      <c r="W4" s="19"/>
    </row>
    <row r="5" spans="1:23" ht="12.75" customHeight="1" x14ac:dyDescent="0.2">
      <c r="A5" s="9" t="s">
        <v>726</v>
      </c>
      <c r="B5" s="9" t="s">
        <v>727</v>
      </c>
      <c r="C5" s="2">
        <v>6</v>
      </c>
      <c r="D5" s="2">
        <v>3</v>
      </c>
      <c r="E5" s="2" t="s">
        <v>728</v>
      </c>
      <c r="F5" s="2" t="s">
        <v>223</v>
      </c>
      <c r="G5" s="2" t="s">
        <v>729</v>
      </c>
      <c r="H5" s="3" t="str">
        <f>IF('Pack BB2020'!$J$24="Español",T5,(IF('Pack BB2020'!$J$24="Deutsch",U5,(IF('Pack BB2020'!$J$24="Français",V5,S5)))))</f>
        <v>Motosierra, Solitario (4+), Pro, Arma secreta, Mantenerse firme</v>
      </c>
      <c r="I5" s="3" t="str">
        <f>IF('Pack BB2020'!$J$24="Español",N5,(IF('Pack BB2020'!$J$24="Deutsch",O5,(IF('Pack BB2020'!$J$24="Italiano",Q5,(IF('Pack BB2020'!$J$24="Français",P5,M5)))))))</f>
        <v>Viejo profesional: Una vez por partido, Helmut puese usar su habilidad Pro para repetir un solo dado de la tirada de Armadura</v>
      </c>
      <c r="J5" s="1">
        <v>140000</v>
      </c>
      <c r="K5" s="1">
        <f t="shared" ref="K5:K68" si="0">IF((IFERROR((VLOOKUP(A5,$B$95:$B$141,1,FALSE)),0))&lt;&gt;0,1,0)</f>
        <v>1</v>
      </c>
      <c r="M5" s="19" t="s">
        <v>730</v>
      </c>
      <c r="N5" s="19" t="s">
        <v>731</v>
      </c>
      <c r="O5" s="19" t="s">
        <v>732</v>
      </c>
      <c r="P5" s="19" t="s">
        <v>733</v>
      </c>
      <c r="Q5" s="19" t="s">
        <v>1372</v>
      </c>
      <c r="R5" s="19"/>
      <c r="S5" s="19" t="s">
        <v>734</v>
      </c>
      <c r="T5" s="19" t="s">
        <v>735</v>
      </c>
      <c r="U5" s="19" t="s">
        <v>736</v>
      </c>
      <c r="V5" s="19" t="s">
        <v>737</v>
      </c>
      <c r="W5" s="19"/>
    </row>
    <row r="6" spans="1:23" ht="12.75" customHeight="1" x14ac:dyDescent="0.2">
      <c r="A6" s="9" t="s">
        <v>738</v>
      </c>
      <c r="B6" s="9" t="s">
        <v>739</v>
      </c>
      <c r="C6" s="2">
        <v>6</v>
      </c>
      <c r="D6" s="2">
        <v>2</v>
      </c>
      <c r="E6" s="2" t="s">
        <v>728</v>
      </c>
      <c r="F6" s="2" t="s">
        <v>728</v>
      </c>
      <c r="G6" s="2" t="s">
        <v>729</v>
      </c>
      <c r="H6" s="3" t="str">
        <f>IF('Pack BB2020'!$J$24="Español",T6,(IF('Pack BB2020'!$J$24="Deutsch",U6,(IF('Pack BB2020'!$J$24="Français",V6,S6)))))</f>
        <v>Bombardero, Presencia perturbadora, Esquivar, Solitario (3+), Echarse a un lado, Furtivo, Puñal, Escurridizo</v>
      </c>
      <c r="I6" s="3" t="str">
        <f>IF('Pack BB2020'!$J$24="Español",N6,(IF('Pack BB2020'!$J$24="Deutsch",O6,(IF('Pack BB2020'!$J$24="Italiano",Q6,(IF('Pack BB2020'!$J$24="Français",P6,M6)))))))</f>
        <v>El más astuto de todos: Si tu equipo incluye al Black Gobbo, puedes cometer dos acciones de falta por turno, siempre que una de las faltas sea cometida por el mismo Black Gobbo.</v>
      </c>
      <c r="J6" s="1">
        <v>225000</v>
      </c>
      <c r="K6" s="1">
        <f t="shared" si="0"/>
        <v>0</v>
      </c>
      <c r="M6" s="19" t="s">
        <v>740</v>
      </c>
      <c r="N6" s="19" t="s">
        <v>741</v>
      </c>
      <c r="O6" s="19" t="s">
        <v>742</v>
      </c>
      <c r="P6" s="19" t="s">
        <v>743</v>
      </c>
      <c r="Q6" s="19" t="s">
        <v>1373</v>
      </c>
      <c r="R6" s="19"/>
      <c r="S6" s="19" t="s">
        <v>744</v>
      </c>
      <c r="T6" s="19" t="s">
        <v>1130</v>
      </c>
      <c r="U6" s="19" t="s">
        <v>745</v>
      </c>
      <c r="V6" s="19" t="s">
        <v>746</v>
      </c>
      <c r="W6" s="19"/>
    </row>
    <row r="7" spans="1:23" ht="12.75" customHeight="1" x14ac:dyDescent="0.2">
      <c r="A7" s="9" t="s">
        <v>747</v>
      </c>
      <c r="B7" s="9" t="s">
        <v>748</v>
      </c>
      <c r="C7" s="2">
        <v>5</v>
      </c>
      <c r="D7" s="2">
        <v>5</v>
      </c>
      <c r="E7" s="2" t="s">
        <v>749</v>
      </c>
      <c r="F7" s="2" t="s">
        <v>749</v>
      </c>
      <c r="G7" s="2" t="s">
        <v>750</v>
      </c>
      <c r="H7" s="3" t="str">
        <f>IF('Pack BB2020'!$J$24="Español",T7,(IF('Pack BB2020'!$J$24="Deutsch",U7,(IF('Pack BB2020'!$J$24="Français",V7,S7)))))</f>
        <v>Estúpido, Patear compañero, Solitario (4+), Golpe mortífero (+1), Cabeza dura</v>
      </c>
      <c r="I7" s="3" t="str">
        <f>IF('Pack BB2020'!$J$24="Español",N7,(IF('Pack BB2020'!$J$24="Deutsch",O7,(IF('Pack BB2020'!$J$24="Italiano",Q7,(IF('Pack BB2020'!$J$24="Français",P7,M7)))))))</f>
        <v>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v>
      </c>
      <c r="J7" s="1">
        <v>250000</v>
      </c>
      <c r="K7" s="1">
        <f t="shared" si="0"/>
        <v>1</v>
      </c>
      <c r="M7" s="19" t="s">
        <v>751</v>
      </c>
      <c r="N7" s="19" t="s">
        <v>752</v>
      </c>
      <c r="O7" s="19" t="s">
        <v>753</v>
      </c>
      <c r="P7" s="19" t="s">
        <v>754</v>
      </c>
      <c r="Q7" s="19" t="s">
        <v>1374</v>
      </c>
      <c r="R7" s="19"/>
      <c r="S7" s="19" t="s">
        <v>755</v>
      </c>
      <c r="T7" s="19" t="s">
        <v>756</v>
      </c>
      <c r="U7" s="19" t="s">
        <v>757</v>
      </c>
      <c r="V7" s="19" t="s">
        <v>758</v>
      </c>
      <c r="W7" s="19"/>
    </row>
    <row r="8" spans="1:23" ht="12.75" customHeight="1" x14ac:dyDescent="0.2">
      <c r="A8" s="9" t="s">
        <v>759</v>
      </c>
      <c r="B8" s="9" t="s">
        <v>760</v>
      </c>
      <c r="C8" s="2">
        <v>5</v>
      </c>
      <c r="D8" s="2">
        <v>2</v>
      </c>
      <c r="E8" s="2" t="s">
        <v>728</v>
      </c>
      <c r="F8" s="2" t="s">
        <v>717</v>
      </c>
      <c r="G8" s="2" t="s">
        <v>761</v>
      </c>
      <c r="H8" s="3" t="str">
        <f>IF('Pack BB2020'!$J$24="Español",T8,(IF('Pack BB2020'!$J$24="Deutsch",U8,(IF('Pack BB2020'!$J$24="Français",V8,S8)))))</f>
        <v>Esquivar, Solitario (4+), Humanoide bala, Escurridizo, Manos seguras</v>
      </c>
      <c r="I8" s="3" t="str">
        <f>IF('Pack BB2020'!$J$24="Español",N8,(IF('Pack BB2020'!$J$24="Deutsch",O8,(IF('Pack BB2020'!$J$24="Italiano",Q8,(IF('Pack BB2020'!$J$24="Français",P8,M8)))))))</f>
        <v>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v>
      </c>
      <c r="J8" s="1">
        <v>0</v>
      </c>
      <c r="K8" s="1">
        <f t="shared" si="0"/>
        <v>1</v>
      </c>
      <c r="M8" s="19" t="s">
        <v>751</v>
      </c>
      <c r="N8" s="19" t="s">
        <v>752</v>
      </c>
      <c r="O8" s="19" t="s">
        <v>753</v>
      </c>
      <c r="P8" s="19" t="s">
        <v>754</v>
      </c>
      <c r="Q8" s="19" t="s">
        <v>1374</v>
      </c>
      <c r="R8" s="19"/>
      <c r="S8" s="19" t="s">
        <v>762</v>
      </c>
      <c r="T8" s="19" t="s">
        <v>763</v>
      </c>
      <c r="U8" s="19" t="s">
        <v>764</v>
      </c>
      <c r="V8" s="19" t="s">
        <v>765</v>
      </c>
      <c r="W8" s="19"/>
    </row>
    <row r="9" spans="1:23" ht="12.75" customHeight="1" x14ac:dyDescent="0.2">
      <c r="A9" s="9" t="s">
        <v>766</v>
      </c>
      <c r="B9" s="9" t="s">
        <v>767</v>
      </c>
      <c r="C9" s="2">
        <v>6</v>
      </c>
      <c r="D9" s="2">
        <v>5</v>
      </c>
      <c r="E9" s="2" t="s">
        <v>728</v>
      </c>
      <c r="F9" s="2" t="s">
        <v>768</v>
      </c>
      <c r="G9" s="2" t="s">
        <v>750</v>
      </c>
      <c r="H9" s="3" t="str">
        <f>IF('Pack BB2020'!$J$24="Español",T9,(IF('Pack BB2020'!$J$24="Deutsch",U9,(IF('Pack BB2020'!$J$24="Français",V9,S9)))))</f>
        <v>Placar, En pie de un salto, Solitario (4+), Golpe mortífero (+1), Cabeza dura</v>
      </c>
      <c r="I9" s="3" t="str">
        <f>IF('Pack BB2020'!$J$24="Español",N9,(IF('Pack BB2020'!$J$24="Deutsch",O9,(IF('Pack BB2020'!$J$24="Italiano",Q9,(IF('Pack BB2020'!$J$24="Français",P9,M9)))))))</f>
        <v>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v>
      </c>
      <c r="J9" s="1">
        <v>280000</v>
      </c>
      <c r="K9" s="1">
        <f t="shared" si="0"/>
        <v>0</v>
      </c>
      <c r="M9" s="19" t="s">
        <v>769</v>
      </c>
      <c r="N9" s="19" t="s">
        <v>770</v>
      </c>
      <c r="O9" s="19" t="s">
        <v>771</v>
      </c>
      <c r="P9" s="19" t="s">
        <v>772</v>
      </c>
      <c r="Q9" s="19" t="s">
        <v>1375</v>
      </c>
      <c r="R9" s="19"/>
      <c r="S9" s="19" t="s">
        <v>773</v>
      </c>
      <c r="T9" s="19" t="s">
        <v>774</v>
      </c>
      <c r="U9" s="19" t="s">
        <v>775</v>
      </c>
      <c r="V9" s="19" t="s">
        <v>776</v>
      </c>
      <c r="W9" s="19"/>
    </row>
    <row r="10" spans="1:23" ht="12.75" customHeight="1" x14ac:dyDescent="0.2">
      <c r="A10" s="9" t="s">
        <v>777</v>
      </c>
      <c r="B10" s="9" t="s">
        <v>778</v>
      </c>
      <c r="C10" s="2">
        <v>6</v>
      </c>
      <c r="D10" s="2">
        <v>6</v>
      </c>
      <c r="E10" s="2" t="s">
        <v>728</v>
      </c>
      <c r="F10" s="2" t="s">
        <v>749</v>
      </c>
      <c r="G10" s="2" t="s">
        <v>779</v>
      </c>
      <c r="H10" s="3" t="str">
        <f>IF('Pack BB2020'!$J$24="Español",T10,(IF('Pack BB2020'!$J$24="Deutsch",U10,(IF('Pack BB2020'!$J$24="Français",V10,S10)))))</f>
        <v>Placar, Solitario (4+), Golpe mortífero (+2), Cabeza dura, Lanzar compañero</v>
      </c>
      <c r="I10" s="3" t="str">
        <f>IF('Pack BB2020'!$J$24="Español",N10,(IF('Pack BB2020'!$J$24="Deutsch",O10,(IF('Pack BB2020'!$J$24="Italiano",Q10,(IF('Pack BB2020'!$J$24="Français",P10,M10)))))))</f>
        <v>La Ballesta: Una vez por partido, si Morg falla el test de habilidad para pasar cuando hace una acción de pasar o una acción de lanzar a un compañero de equipo, puede volver a tirar el D6</v>
      </c>
      <c r="J10" s="1">
        <v>380000</v>
      </c>
      <c r="K10" s="1">
        <f t="shared" si="0"/>
        <v>1</v>
      </c>
      <c r="M10" s="19" t="s">
        <v>780</v>
      </c>
      <c r="N10" s="19" t="s">
        <v>781</v>
      </c>
      <c r="O10" s="19" t="s">
        <v>782</v>
      </c>
      <c r="P10" s="19" t="s">
        <v>783</v>
      </c>
      <c r="Q10" s="19" t="s">
        <v>1376</v>
      </c>
      <c r="R10" s="19"/>
      <c r="S10" s="19" t="s">
        <v>784</v>
      </c>
      <c r="T10" s="19" t="s">
        <v>785</v>
      </c>
      <c r="U10" s="19" t="s">
        <v>786</v>
      </c>
      <c r="V10" s="19" t="s">
        <v>787</v>
      </c>
      <c r="W10" s="19"/>
    </row>
    <row r="11" spans="1:23" ht="12.75" customHeight="1" x14ac:dyDescent="0.2">
      <c r="A11" s="9" t="s">
        <v>788</v>
      </c>
      <c r="B11" s="9" t="s">
        <v>789</v>
      </c>
      <c r="C11" s="2">
        <v>9</v>
      </c>
      <c r="D11" s="2">
        <v>3</v>
      </c>
      <c r="E11" s="2" t="s">
        <v>716</v>
      </c>
      <c r="F11" s="2" t="s">
        <v>728</v>
      </c>
      <c r="G11" s="2" t="s">
        <v>790</v>
      </c>
      <c r="H11" s="3" t="str">
        <f>IF('Pack BB2020'!$J$24="Español",T11,(IF('Pack BB2020'!$J$24="Deutsch",U11,(IF('Pack BB2020'!$J$24="Français",V11,S11)))))</f>
        <v>Esquivar, Brazos adicionales, Solitario (4+), Cola prensil, Dos cabezas</v>
      </c>
      <c r="I11" s="3" t="str">
        <f>IF('Pack BB2020'!$J$24="Español",N11,(IF('Pack BB2020'!$J$24="Deutsch",O11,(IF('Pack BB2020'!$J$24="Italiano",Q11,(IF('Pack BB2020'!$J$24="Français",P11,M11)))))))</f>
        <v>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v>
      </c>
      <c r="J11" s="1">
        <v>210000</v>
      </c>
      <c r="K11" s="1">
        <f t="shared" si="0"/>
        <v>0</v>
      </c>
      <c r="M11" s="19" t="s">
        <v>791</v>
      </c>
      <c r="N11" s="19" t="s">
        <v>792</v>
      </c>
      <c r="O11" s="19" t="s">
        <v>793</v>
      </c>
      <c r="P11" s="19" t="s">
        <v>794</v>
      </c>
      <c r="Q11" s="19" t="s">
        <v>1377</v>
      </c>
      <c r="R11" s="19"/>
      <c r="S11" s="19" t="s">
        <v>795</v>
      </c>
      <c r="T11" s="19" t="s">
        <v>796</v>
      </c>
      <c r="U11" s="19" t="s">
        <v>797</v>
      </c>
      <c r="V11" s="19" t="s">
        <v>798</v>
      </c>
      <c r="W11" s="19"/>
    </row>
    <row r="12" spans="1:23" ht="12.75" customHeight="1" x14ac:dyDescent="0.2">
      <c r="A12" s="9" t="s">
        <v>799</v>
      </c>
      <c r="B12" s="9" t="s">
        <v>800</v>
      </c>
      <c r="C12" s="2">
        <v>5</v>
      </c>
      <c r="D12" s="2">
        <v>4</v>
      </c>
      <c r="E12" s="2" t="s">
        <v>749</v>
      </c>
      <c r="F12" s="2" t="s">
        <v>223</v>
      </c>
      <c r="G12" s="2" t="s">
        <v>729</v>
      </c>
      <c r="H12" s="3" t="str">
        <f>IF('Pack BB2020'!$J$24="Español",T12,(IF('Pack BB2020'!$J$24="Deutsch",U12,(IF('Pack BB2020'!$J$24="Français",V12,S12)))))</f>
        <v>Placar, Garras, Apartar, Imparable, Solitario (4+), Mantenerse firme</v>
      </c>
      <c r="I12" s="3" t="str">
        <f>IF('Pack BB2020'!$J$24="Español",N12,(IF('Pack BB2020'!$J$24="Deutsch",O12,(IF('Pack BB2020'!$J$24="Italiano",Q12,(IF('Pack BB2020'!$J$24="Français",P12,M12)))))))</f>
        <v>Carrera frenética: Una vez por partido, cuando Glart realiza una acción Blitz, puede ganar la habilidad Furia. Debes declarar que esta regla especial se usa cuando Glart es activado. Glart no puede usar la habilidad de Apartar durante el turno en el que use esta regla especial.</v>
      </c>
      <c r="J12" s="1">
        <v>195000</v>
      </c>
      <c r="K12" s="1">
        <f t="shared" si="0"/>
        <v>0</v>
      </c>
      <c r="M12" s="19" t="s">
        <v>801</v>
      </c>
      <c r="N12" s="19" t="s">
        <v>802</v>
      </c>
      <c r="O12" s="19" t="s">
        <v>803</v>
      </c>
      <c r="P12" s="19" t="s">
        <v>804</v>
      </c>
      <c r="Q12" s="19" t="s">
        <v>1378</v>
      </c>
      <c r="R12" s="19"/>
      <c r="S12" s="19" t="s">
        <v>805</v>
      </c>
      <c r="T12" s="19" t="s">
        <v>806</v>
      </c>
      <c r="U12" s="19" t="s">
        <v>807</v>
      </c>
      <c r="V12" s="19" t="s">
        <v>808</v>
      </c>
      <c r="W12" s="19"/>
    </row>
    <row r="13" spans="1:23" ht="12.75" customHeight="1" x14ac:dyDescent="0.2">
      <c r="A13" s="9" t="s">
        <v>809</v>
      </c>
      <c r="B13" s="9" t="s">
        <v>810</v>
      </c>
      <c r="C13" s="2">
        <v>6</v>
      </c>
      <c r="D13" s="2">
        <v>3</v>
      </c>
      <c r="E13" s="2" t="s">
        <v>728</v>
      </c>
      <c r="F13" s="2" t="s">
        <v>223</v>
      </c>
      <c r="G13" s="2" t="s">
        <v>790</v>
      </c>
      <c r="H13" s="3" t="str">
        <f>IF('Pack BB2020'!$J$24="Español",T13,(IF('Pack BB2020'!$J$24="Deutsch",U13,(IF('Pack BB2020'!$J$24="Français",V13,S13)))))</f>
        <v>Placar, Cuernos, Imparable, Solitario (4+), Sin manos, Placaje defensivo, Cabeza dura</v>
      </c>
      <c r="I13" s="3" t="str">
        <f>IF('Pack BB2020'!$J$24="Español",N13,(IF('Pack BB2020'!$J$24="Deutsch",O13,(IF('Pack BB2020'!$J$24="Italiano",Q13,(IF('Pack BB2020'!$J$24="Français",P13,M13)))))))</f>
        <v>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v>
      </c>
      <c r="J13" s="1">
        <v>170000</v>
      </c>
      <c r="K13" s="1">
        <f t="shared" si="0"/>
        <v>1</v>
      </c>
      <c r="M13" s="19" t="s">
        <v>811</v>
      </c>
      <c r="N13" s="19" t="s">
        <v>812</v>
      </c>
      <c r="O13" s="19" t="s">
        <v>813</v>
      </c>
      <c r="P13" s="19" t="s">
        <v>814</v>
      </c>
      <c r="Q13" s="19" t="s">
        <v>1379</v>
      </c>
      <c r="R13" s="19"/>
      <c r="S13" s="19" t="s">
        <v>815</v>
      </c>
      <c r="T13" s="19" t="s">
        <v>816</v>
      </c>
      <c r="U13" s="19" t="s">
        <v>817</v>
      </c>
      <c r="V13" s="19" t="s">
        <v>818</v>
      </c>
      <c r="W13" s="19"/>
    </row>
    <row r="14" spans="1:23" ht="12.75" customHeight="1" x14ac:dyDescent="0.2">
      <c r="A14" s="9" t="s">
        <v>819</v>
      </c>
      <c r="B14" s="9" t="s">
        <v>820</v>
      </c>
      <c r="C14" s="2">
        <v>5</v>
      </c>
      <c r="D14" s="2">
        <v>4</v>
      </c>
      <c r="E14" s="2" t="s">
        <v>728</v>
      </c>
      <c r="F14" s="2" t="s">
        <v>223</v>
      </c>
      <c r="G14" s="2" t="s">
        <v>729</v>
      </c>
      <c r="H14" s="3" t="str">
        <f>IF('Pack BB2020'!$J$24="Español",T14,(IF('Pack BB2020'!$J$24="Deutsch",U14,(IF('Pack BB2020'!$J$24="Français",V14,S14)))))</f>
        <v>Placar, Agallas, Furia, Solitario (4+), Placaje múltiple, Cabeza dura</v>
      </c>
      <c r="I14" s="3" t="str">
        <f>IF('Pack BB2020'!$J$24="Español",N14,(IF('Pack BB2020'!$J$24="Deutsch",O14,(IF('Pack BB2020'!$J$24="Italiano",Q14,(IF('Pack BB2020'!$J$24="Français",P14,M14)))))))</f>
        <v>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v>
      </c>
      <c r="J14" s="1">
        <v>200000</v>
      </c>
      <c r="K14" s="1">
        <f t="shared" si="0"/>
        <v>1</v>
      </c>
      <c r="M14" s="19" t="s">
        <v>821</v>
      </c>
      <c r="N14" s="19" t="s">
        <v>822</v>
      </c>
      <c r="O14" s="19" t="s">
        <v>823</v>
      </c>
      <c r="P14" s="19" t="s">
        <v>824</v>
      </c>
      <c r="Q14" s="19" t="s">
        <v>1380</v>
      </c>
      <c r="R14" s="19"/>
      <c r="S14" s="19" t="s">
        <v>825</v>
      </c>
      <c r="T14" s="19" t="s">
        <v>826</v>
      </c>
      <c r="U14" s="19" t="s">
        <v>827</v>
      </c>
      <c r="V14" s="19" t="s">
        <v>828</v>
      </c>
      <c r="W14" s="19"/>
    </row>
    <row r="15" spans="1:23" ht="12.75" customHeight="1" x14ac:dyDescent="0.2">
      <c r="A15" s="9" t="s">
        <v>829</v>
      </c>
      <c r="B15" s="9" t="s">
        <v>830</v>
      </c>
      <c r="C15" s="2">
        <v>5</v>
      </c>
      <c r="D15" s="2">
        <v>3</v>
      </c>
      <c r="E15" s="2" t="s">
        <v>728</v>
      </c>
      <c r="F15" s="2" t="s">
        <v>749</v>
      </c>
      <c r="G15" s="2" t="s">
        <v>750</v>
      </c>
      <c r="H15" s="3" t="str">
        <f>IF('Pack BB2020'!$J$24="Español",T15,(IF('Pack BB2020'!$J$24="Deutsch",U15,(IF('Pack BB2020'!$J$24="Français",V15,S15)))))</f>
        <v>Placar, Agallas, Solitario (4+), Golpe mortífero (+1), Mantenerse firme, Cabeza dura</v>
      </c>
      <c r="I15" s="3" t="str">
        <f>IF('Pack BB2020'!$J$24="Español",N15,(IF('Pack BB2020'!$J$24="Deutsch",O15,(IF('Pack BB2020'!$J$24="Italiano",Q15,(IF('Pack BB2020'!$J$24="Français",P15,M15)))))))</f>
        <v>Sabiduría del Enano Blanco: Una vez por turno de equipo, cuando uno de los compañeros de Grombrindal que está en una casilla adyacente es activado, ese jugador gana la habilidad de Abrirse paso, Agallas, Golpe Mortífero (+1) o Pies firmes hasta el final de su activación.</v>
      </c>
      <c r="J15" s="1">
        <v>210000</v>
      </c>
      <c r="K15" s="1">
        <f t="shared" si="0"/>
        <v>1</v>
      </c>
      <c r="M15" s="19" t="s">
        <v>831</v>
      </c>
      <c r="N15" s="19" t="s">
        <v>832</v>
      </c>
      <c r="O15" s="19" t="s">
        <v>833</v>
      </c>
      <c r="P15" s="19" t="s">
        <v>834</v>
      </c>
      <c r="Q15" s="19" t="s">
        <v>1381</v>
      </c>
      <c r="R15" s="19"/>
      <c r="S15" s="19" t="s">
        <v>835</v>
      </c>
      <c r="T15" s="19" t="s">
        <v>836</v>
      </c>
      <c r="U15" s="19" t="s">
        <v>837</v>
      </c>
      <c r="V15" s="19" t="s">
        <v>838</v>
      </c>
      <c r="W15" s="19"/>
    </row>
    <row r="16" spans="1:23" ht="12.75" customHeight="1" x14ac:dyDescent="0.2">
      <c r="A16" s="9" t="s">
        <v>839</v>
      </c>
      <c r="B16" s="9" t="s">
        <v>840</v>
      </c>
      <c r="C16" s="2">
        <v>6</v>
      </c>
      <c r="D16" s="2">
        <v>4</v>
      </c>
      <c r="E16" s="2" t="s">
        <v>728</v>
      </c>
      <c r="F16" s="2" t="s">
        <v>749</v>
      </c>
      <c r="G16" s="2" t="s">
        <v>729</v>
      </c>
      <c r="H16" s="3" t="str">
        <f>IF('Pack BB2020'!$J$24="Español",T16,(IF('Pack BB2020'!$J$24="Deutsch",U16,(IF('Pack BB2020'!$J$24="Français",V16,S16)))))</f>
        <v>Placar, Agallas, Esquivar, En pie de un salto, Solitario (4+)</v>
      </c>
      <c r="I16" s="3" t="str">
        <f>IF('Pack BB2020'!$J$24="Español",N16,(IF('Pack BB2020'!$J$24="Deutsch",O16,(IF('Pack BB2020'!$J$24="Italiano",Q16,(IF('Pack BB2020'!$J$24="Français",P16,M16)))))))</f>
        <v>Indomable: Una vez por partido, cuando Karla tira con éxito para usar su habilidad Agallas, puede aumentar su característica de fuerza para doblar la del objetivo elegido en su acción de placaje.</v>
      </c>
      <c r="J16" s="1">
        <v>210000</v>
      </c>
      <c r="K16" s="1">
        <f t="shared" si="0"/>
        <v>1</v>
      </c>
      <c r="M16" s="19" t="s">
        <v>841</v>
      </c>
      <c r="N16" s="19" t="s">
        <v>842</v>
      </c>
      <c r="O16" s="19" t="s">
        <v>843</v>
      </c>
      <c r="P16" s="19" t="s">
        <v>844</v>
      </c>
      <c r="Q16" s="19" t="s">
        <v>1382</v>
      </c>
      <c r="R16" s="19"/>
      <c r="S16" s="19" t="s">
        <v>845</v>
      </c>
      <c r="T16" s="19" t="s">
        <v>846</v>
      </c>
      <c r="U16" s="19" t="s">
        <v>847</v>
      </c>
      <c r="V16" s="19" t="s">
        <v>848</v>
      </c>
      <c r="W16" s="19"/>
    </row>
    <row r="17" spans="1:23" ht="12.75" customHeight="1" x14ac:dyDescent="0.2">
      <c r="A17" s="9" t="s">
        <v>849</v>
      </c>
      <c r="B17" s="9" t="s">
        <v>850</v>
      </c>
      <c r="C17" s="2">
        <v>2</v>
      </c>
      <c r="D17" s="2">
        <v>7</v>
      </c>
      <c r="E17" s="2" t="s">
        <v>768</v>
      </c>
      <c r="F17" s="2" t="s">
        <v>749</v>
      </c>
      <c r="G17" s="2" t="s">
        <v>779</v>
      </c>
      <c r="H17" s="3" t="str">
        <f>IF('Pack BB2020'!$J$24="Español",T17,(IF('Pack BB2020'!$J$24="Deutsch",U17,(IF('Pack BB2020'!$J$24="Français",V17,S17)))))</f>
        <v>Placar, Solitario (4+), Golpe mortífero (+2), Mantenerse firme, Brazo fuerte, Cabeza dura, Lanzar compañero, ¡Árbol va!</v>
      </c>
      <c r="I17" s="3" t="str">
        <f>IF('Pack BB2020'!$J$24="Español",N17,(IF('Pack BB2020'!$J$24="Deutsch",O17,(IF('Pack BB2020'!$J$24="Italiano",Q17,(IF('Pack BB2020'!$J$24="Français",P17,M17)))))))</f>
        <v>Fiable: Si Deeproot falla en una acción de lanzar a un compañero, el jugador que iba a ser lanzado rebotará normalmente pero aterrizará automáticamente de forma segura.</v>
      </c>
      <c r="J17" s="1">
        <v>280000</v>
      </c>
      <c r="K17" s="1">
        <f t="shared" si="0"/>
        <v>1</v>
      </c>
      <c r="M17" s="19" t="s">
        <v>851</v>
      </c>
      <c r="N17" s="19" t="s">
        <v>852</v>
      </c>
      <c r="O17" s="19" t="s">
        <v>853</v>
      </c>
      <c r="P17" s="19" t="s">
        <v>854</v>
      </c>
      <c r="Q17" s="19" t="s">
        <v>1383</v>
      </c>
      <c r="R17" s="19"/>
      <c r="S17" s="19" t="s">
        <v>855</v>
      </c>
      <c r="T17" s="19" t="s">
        <v>856</v>
      </c>
      <c r="U17" s="19" t="s">
        <v>857</v>
      </c>
      <c r="V17" s="19" t="s">
        <v>858</v>
      </c>
      <c r="W17" s="19"/>
    </row>
    <row r="18" spans="1:23" ht="12.75" customHeight="1" x14ac:dyDescent="0.2">
      <c r="A18" s="9" t="s">
        <v>859</v>
      </c>
      <c r="B18" s="9" t="s">
        <v>860</v>
      </c>
      <c r="C18" s="2">
        <v>7</v>
      </c>
      <c r="D18" s="2">
        <v>4</v>
      </c>
      <c r="E18" s="2" t="s">
        <v>716</v>
      </c>
      <c r="F18" s="2" t="s">
        <v>728</v>
      </c>
      <c r="G18" s="2" t="s">
        <v>729</v>
      </c>
      <c r="H18" s="3" t="str">
        <f>IF('Pack BB2020'!$J$24="Español",T18,(IF('Pack BB2020'!$J$24="Deutsch",U18,(IF('Pack BB2020'!$J$24="Français",V18,S18)))))</f>
        <v>Placar, Esquivar, Zafarse, Solitario (3+), Esprintar, Pies firmes</v>
      </c>
      <c r="I18" s="3" t="str">
        <f>IF('Pack BB2020'!$J$24="Español",N18,(IF('Pack BB2020'!$J$24="Deutsch",O18,(IF('Pack BB2020'!$J$24="Italiano",Q18,(IF('Pack BB2020'!$J$24="Français",P18,M18)))))))</f>
        <v>Profesional consumado: Una vez por partido, Griff puede volver a lanzar un dado que se haya tirado como una sola tirada, como parte de una tirada múltiple o como parte de un grupo de dados (no puede ser un dado que se haya tirado como parte de una tirada de Armadura o Herida)</v>
      </c>
      <c r="J18" s="1">
        <v>280000</v>
      </c>
      <c r="K18" s="1">
        <f t="shared" si="0"/>
        <v>1</v>
      </c>
      <c r="M18" s="19" t="s">
        <v>861</v>
      </c>
      <c r="N18" s="19" t="s">
        <v>862</v>
      </c>
      <c r="O18" s="19" t="s">
        <v>863</v>
      </c>
      <c r="P18" s="19" t="s">
        <v>864</v>
      </c>
      <c r="Q18" s="19" t="s">
        <v>1384</v>
      </c>
      <c r="R18" s="19"/>
      <c r="S18" s="19" t="s">
        <v>865</v>
      </c>
      <c r="T18" s="19" t="s">
        <v>866</v>
      </c>
      <c r="U18" s="19" t="s">
        <v>867</v>
      </c>
      <c r="V18" s="19" t="s">
        <v>868</v>
      </c>
      <c r="W18" s="19"/>
    </row>
    <row r="19" spans="1:23" ht="12.75" customHeight="1" x14ac:dyDescent="0.2">
      <c r="A19" s="9" t="s">
        <v>869</v>
      </c>
      <c r="B19" s="9" t="s">
        <v>870</v>
      </c>
      <c r="C19" s="2">
        <v>4</v>
      </c>
      <c r="D19" s="2">
        <v>5</v>
      </c>
      <c r="E19" s="2" t="s">
        <v>749</v>
      </c>
      <c r="F19" s="2" t="s">
        <v>223</v>
      </c>
      <c r="G19" s="2" t="s">
        <v>750</v>
      </c>
      <c r="H19" s="3" t="str">
        <f>IF('Pack BB2020'!$J$24="Español",T19,(IF('Pack BB2020'!$J$24="Deutsch",U19,(IF('Pack BB2020'!$J$24="Français",V19,S19)))))</f>
        <v>Abrirse paso, Solitario (4+), Golpe mortífero (+1), Regeneración, Mantenerse firme, Cabeza dura</v>
      </c>
      <c r="I19" s="3" t="str">
        <f>IF('Pack BB2020'!$J$24="Español",N19,(IF('Pack BB2020'!$J$24="Deutsch",O19,(IF('Pack BB2020'!$J$24="Italiano",Q19,(IF('Pack BB2020'!$J$24="Français",P19,M19)))))))</f>
        <v>Placaje brutal: Una vez por partido, cuando Frank'n'Stein efectúe una tirada de Herida contra un oponente como resultado de un placaje, puede añadir un +1 adicional a la tirada, este modificador puede aplicarse después de hacer la tirada.</v>
      </c>
      <c r="J19" s="1">
        <v>250000</v>
      </c>
      <c r="K19" s="1">
        <f t="shared" si="0"/>
        <v>1</v>
      </c>
      <c r="M19" s="19" t="s">
        <v>871</v>
      </c>
      <c r="N19" s="19" t="s">
        <v>1386</v>
      </c>
      <c r="O19" s="19" t="s">
        <v>872</v>
      </c>
      <c r="P19" s="19" t="s">
        <v>873</v>
      </c>
      <c r="Q19" s="19" t="s">
        <v>1385</v>
      </c>
      <c r="R19" s="19"/>
      <c r="S19" s="19" t="s">
        <v>874</v>
      </c>
      <c r="T19" s="19" t="s">
        <v>875</v>
      </c>
      <c r="U19" s="19" t="s">
        <v>876</v>
      </c>
      <c r="V19" s="19" t="s">
        <v>877</v>
      </c>
      <c r="W19" s="19"/>
    </row>
    <row r="20" spans="1:23" ht="12.75" customHeight="1" x14ac:dyDescent="0.2">
      <c r="A20" s="9" t="s">
        <v>878</v>
      </c>
      <c r="B20" s="9" t="s">
        <v>879</v>
      </c>
      <c r="C20" s="2">
        <v>6</v>
      </c>
      <c r="D20" s="2">
        <v>3</v>
      </c>
      <c r="E20" s="2" t="s">
        <v>749</v>
      </c>
      <c r="F20" s="2" t="s">
        <v>749</v>
      </c>
      <c r="G20" s="2" t="s">
        <v>729</v>
      </c>
      <c r="H20" s="3" t="str">
        <f>IF('Pack BB2020'!$J$24="Español",T20,(IF('Pack BB2020'!$J$24="Deutsch",U20,(IF('Pack BB2020'!$J$24="Français",V20,S20)))))</f>
        <v>Precisión, Solitario (4+), Nervios de acero, Pasar, Regeneración, Manos seguras, Cabeza dura</v>
      </c>
      <c r="I20" s="3" t="str">
        <f>IF('Pack BB2020'!$J$24="Español",N20,(IF('Pack BB2020'!$J$24="Deutsch",O20,(IF('Pack BB2020'!$J$24="Italiano",Q20,(IF('Pack BB2020'!$J$24="Français",P20,M20)))))))</f>
        <v>Fuerte juego de pases: Una vez por partido, después de hacer una tirada de habilidad de pase para realizar un pase, Skrull puede elegir modificar la tirada de dados añadiendo su característica de fuerza.</v>
      </c>
      <c r="J20" s="1">
        <v>150000</v>
      </c>
      <c r="K20" s="1">
        <f t="shared" si="0"/>
        <v>0</v>
      </c>
      <c r="M20" s="19" t="s">
        <v>880</v>
      </c>
      <c r="N20" s="19" t="s">
        <v>881</v>
      </c>
      <c r="O20" s="19" t="s">
        <v>882</v>
      </c>
      <c r="P20" s="19" t="s">
        <v>883</v>
      </c>
      <c r="Q20" s="19" t="s">
        <v>1387</v>
      </c>
      <c r="R20" s="19"/>
      <c r="S20" s="19" t="s">
        <v>884</v>
      </c>
      <c r="T20" s="19" t="s">
        <v>885</v>
      </c>
      <c r="U20" s="19" t="s">
        <v>886</v>
      </c>
      <c r="V20" s="19" t="s">
        <v>887</v>
      </c>
      <c r="W20" s="19"/>
    </row>
    <row r="21" spans="1:23" ht="12.75" customHeight="1" x14ac:dyDescent="0.2">
      <c r="A21" s="9" t="s">
        <v>888</v>
      </c>
      <c r="B21" s="9" t="s">
        <v>889</v>
      </c>
      <c r="C21" s="2">
        <v>7</v>
      </c>
      <c r="D21" s="2">
        <v>2</v>
      </c>
      <c r="E21" s="2" t="s">
        <v>716</v>
      </c>
      <c r="F21" s="2" t="s">
        <v>716</v>
      </c>
      <c r="G21" s="2" t="s">
        <v>790</v>
      </c>
      <c r="H21" s="3" t="str">
        <f>IF('Pack BB2020'!$J$24="Español",T21,(IF('Pack BB2020'!$J$24="Deutsch",U21,(IF('Pack BB2020'!$J$24="Français",V21,S21)))))</f>
        <v>Precisión, Esquivar, Solitario (3+), Pasar, Echarse a un lado, Manos seguras</v>
      </c>
      <c r="I21" s="3" t="str">
        <f>IF('Pack BB2020'!$J$24="Español",N21,(IF('Pack BB2020'!$J$24="Deutsch",O21,(IF('Pack BB2020'!$J$24="Italiano",Q21,(IF('Pack BB2020'!$J$24="Français",P21,M21)))))))</f>
        <v>Disparo a la nada: Una vez por partido, cuando Gloriel realiza una acción de pase, puede ganar la habilidad de Pase a lo loco. Debes declarar que esta regla especial se usa en el momento que Gloriel es activado.</v>
      </c>
      <c r="J21" s="1">
        <v>150000</v>
      </c>
      <c r="K21" s="1">
        <f t="shared" si="0"/>
        <v>0</v>
      </c>
      <c r="M21" s="19" t="s">
        <v>890</v>
      </c>
      <c r="N21" s="19" t="s">
        <v>891</v>
      </c>
      <c r="O21" s="19" t="s">
        <v>892</v>
      </c>
      <c r="P21" s="19" t="s">
        <v>893</v>
      </c>
      <c r="Q21" s="19" t="s">
        <v>1388</v>
      </c>
      <c r="R21" s="19"/>
      <c r="S21" s="19" t="s">
        <v>894</v>
      </c>
      <c r="T21" s="19" t="s">
        <v>895</v>
      </c>
      <c r="U21" s="19" t="s">
        <v>896</v>
      </c>
      <c r="V21" s="19" t="s">
        <v>897</v>
      </c>
      <c r="W21" s="19"/>
    </row>
    <row r="22" spans="1:23" ht="12.75" customHeight="1" x14ac:dyDescent="0.2">
      <c r="A22" s="9" t="s">
        <v>898</v>
      </c>
      <c r="B22" s="9" t="s">
        <v>899</v>
      </c>
      <c r="C22" s="2">
        <v>5</v>
      </c>
      <c r="D22" s="2">
        <v>4</v>
      </c>
      <c r="E22" s="2" t="s">
        <v>728</v>
      </c>
      <c r="F22" s="2" t="s">
        <v>717</v>
      </c>
      <c r="G22" s="2" t="s">
        <v>729</v>
      </c>
      <c r="H22" s="3" t="str">
        <f>IF('Pack BB2020'!$J$24="Español",T22,(IF('Pack BB2020'!$J$24="Deutsch",U22,(IF('Pack BB2020'!$J$24="Français",V22,S22)))))</f>
        <v>Agallas, Solitario (4+), Echarse a un lado, Cabeza dura</v>
      </c>
      <c r="I22" s="3" t="str">
        <f>IF('Pack BB2020'!$J$24="Español",N22,(IF('Pack BB2020'!$J$24="Deutsch",O22,(IF('Pack BB2020'!$J$24="Italiano",Q22,(IF('Pack BB2020'!$J$24="Français",P22,M22)))))))</f>
        <v>Indomable: Una vez por partido, cuando Willow lanza con éxito para usar su habilidad Agallas, puede aumentar su característica de fuerza para doblar la del objetivo nominado en su acción de Bloqueo</v>
      </c>
      <c r="J22" s="1">
        <v>150000</v>
      </c>
      <c r="K22" s="1">
        <f t="shared" si="0"/>
        <v>0</v>
      </c>
      <c r="M22" s="19" t="s">
        <v>900</v>
      </c>
      <c r="N22" s="19" t="s">
        <v>901</v>
      </c>
      <c r="O22" s="19" t="s">
        <v>902</v>
      </c>
      <c r="P22" s="19" t="s">
        <v>903</v>
      </c>
      <c r="Q22" s="19" t="s">
        <v>1389</v>
      </c>
      <c r="R22" s="19"/>
      <c r="S22" s="19" t="s">
        <v>904</v>
      </c>
      <c r="T22" s="19" t="s">
        <v>905</v>
      </c>
      <c r="U22" s="19" t="s">
        <v>906</v>
      </c>
      <c r="V22" s="19" t="s">
        <v>907</v>
      </c>
      <c r="W22" s="19"/>
    </row>
    <row r="23" spans="1:23" ht="12.75" customHeight="1" x14ac:dyDescent="0.2">
      <c r="A23" s="9" t="s">
        <v>908</v>
      </c>
      <c r="B23" s="9" t="s">
        <v>909</v>
      </c>
      <c r="C23" s="2">
        <v>8</v>
      </c>
      <c r="D23" s="2">
        <v>3</v>
      </c>
      <c r="E23" s="2" t="s">
        <v>716</v>
      </c>
      <c r="F23" s="2" t="s">
        <v>768</v>
      </c>
      <c r="G23" s="2" t="s">
        <v>790</v>
      </c>
      <c r="H23" s="3" t="str">
        <f>IF('Pack BB2020'!$J$24="Español",T23,(IF('Pack BB2020'!$J$24="Deutsch",U23,(IF('Pack BB2020'!$J$24="Français",V23,S23)))))</f>
        <v>Atrapar, Esquivar, Mirada hipnótica, Solitario (4+), Nervios de acero, Atento al balón</v>
      </c>
      <c r="I23" s="3" t="str">
        <f>IF('Pack BB2020'!$J$24="Español",N23,(IF('Pack BB2020'!$J$24="Deutsch",O23,(IF('Pack BB2020'!$J$24="Italiano",Q23,(IF('Pack BB2020'!$J$24="Français",P23,M23)))))))</f>
        <v>Danza hipnotizante: Una vez por partido, Eldril puede repetir una tirada de agilidad fallida al intentar usar el rasgo de Mirada hipnótica.</v>
      </c>
      <c r="J23" s="1">
        <v>230000</v>
      </c>
      <c r="K23" s="1">
        <f t="shared" si="0"/>
        <v>0</v>
      </c>
      <c r="M23" s="19" t="s">
        <v>910</v>
      </c>
      <c r="N23" s="19" t="s">
        <v>911</v>
      </c>
      <c r="O23" s="19" t="s">
        <v>912</v>
      </c>
      <c r="P23" s="19" t="s">
        <v>913</v>
      </c>
      <c r="Q23" s="19" t="s">
        <v>1390</v>
      </c>
      <c r="R23" s="19"/>
      <c r="S23" s="19" t="s">
        <v>914</v>
      </c>
      <c r="T23" s="19" t="s">
        <v>915</v>
      </c>
      <c r="U23" s="19" t="s">
        <v>916</v>
      </c>
      <c r="V23" s="19" t="s">
        <v>917</v>
      </c>
      <c r="W23" s="19"/>
    </row>
    <row r="24" spans="1:23" ht="12.75" customHeight="1" x14ac:dyDescent="0.2">
      <c r="A24" s="9" t="s">
        <v>918</v>
      </c>
      <c r="B24" s="9" t="s">
        <v>919</v>
      </c>
      <c r="C24" s="2">
        <v>5</v>
      </c>
      <c r="D24" s="2">
        <v>5</v>
      </c>
      <c r="E24" s="2" t="s">
        <v>749</v>
      </c>
      <c r="F24" s="2" t="s">
        <v>768</v>
      </c>
      <c r="G24" s="2" t="s">
        <v>750</v>
      </c>
      <c r="H24" s="3" t="str">
        <f>IF('Pack BB2020'!$J$24="Español",T24,(IF('Pack BB2020'!$J$24="Deutsch",U24,(IF('Pack BB2020'!$J$24="Français",V24,S24)))))</f>
        <v>Presencia perturbadora, Imparable, Solitario (4+), Golpe mortífero (+1), Cola prensil, Regeneración, Pies firmes</v>
      </c>
      <c r="I24" s="3" t="str">
        <f>IF('Pack BB2020'!$J$24="Español",N24,(IF('Pack BB2020'!$J$24="Deutsch",O24,(IF('Pack BB2020'!$J$24="Italiano",Q24,(IF('Pack BB2020'!$J$24="Français",P24,M24)))))))</f>
        <v>Disculpa, ¿eres un Zoat?: Una vez por partido, cuando Zolcath es activado, puede obtener el rasgo de Mirada hipnótica. Debes declarar que esta regla especial se usa cuando Zolcath es activado</v>
      </c>
      <c r="J24" s="1">
        <v>230000</v>
      </c>
      <c r="K24" s="1">
        <f t="shared" si="0"/>
        <v>0</v>
      </c>
      <c r="M24" s="19" t="s">
        <v>920</v>
      </c>
      <c r="N24" s="19" t="s">
        <v>921</v>
      </c>
      <c r="O24" s="19" t="s">
        <v>922</v>
      </c>
      <c r="P24" s="19" t="s">
        <v>923</v>
      </c>
      <c r="Q24" s="19" t="s">
        <v>1391</v>
      </c>
      <c r="R24" s="19"/>
      <c r="S24" s="19" t="s">
        <v>924</v>
      </c>
      <c r="T24" s="19" t="s">
        <v>925</v>
      </c>
      <c r="U24" s="19" t="s">
        <v>926</v>
      </c>
      <c r="V24" s="19" t="s">
        <v>927</v>
      </c>
      <c r="W24" s="19"/>
    </row>
    <row r="25" spans="1:23" ht="12.75" customHeight="1" x14ac:dyDescent="0.2">
      <c r="A25" s="9" t="s">
        <v>928</v>
      </c>
      <c r="B25" s="9" t="s">
        <v>929</v>
      </c>
      <c r="C25" s="2">
        <v>8</v>
      </c>
      <c r="D25" s="2">
        <v>3</v>
      </c>
      <c r="E25" s="2" t="s">
        <v>930</v>
      </c>
      <c r="F25" s="2" t="s">
        <v>749</v>
      </c>
      <c r="G25" s="2" t="s">
        <v>790</v>
      </c>
      <c r="H25" s="3" t="str">
        <f>IF('Pack BB2020'!$J$24="Español",T25,(IF('Pack BB2020'!$J$24="Deutsch",U25,(IF('Pack BB2020'!$J$24="Français",V25,S25)))))</f>
        <v>Esquivar, Imparable, Furia, En pie de un salto, Saltar, Solitario (4+)</v>
      </c>
      <c r="I25" s="3" t="str">
        <f>IF('Pack BB2020'!$J$24="Español",N25,(IF('Pack BB2020'!$J$24="Deutsch",O25,(IF('Pack BB2020'!$J$24="Italiano",Q25,(IF('Pack BB2020'!$J$24="Français",P25,M25)))))))</f>
        <v>Ráfaga de velocidad: Una vez por partido, Roxanna puede intentar esprintar tres veces, en lugar de las dos habituales. Puedes declarar que estás usando esta regla especial después de que Roxanna se haya esprintado dos veces</v>
      </c>
      <c r="J25" s="1">
        <v>270000</v>
      </c>
      <c r="K25" s="1">
        <f t="shared" si="0"/>
        <v>0</v>
      </c>
      <c r="M25" s="19" t="s">
        <v>931</v>
      </c>
      <c r="N25" s="19" t="s">
        <v>932</v>
      </c>
      <c r="O25" s="19" t="s">
        <v>933</v>
      </c>
      <c r="P25" s="19" t="s">
        <v>934</v>
      </c>
      <c r="Q25" s="19" t="s">
        <v>1392</v>
      </c>
      <c r="R25" s="19"/>
      <c r="S25" s="19" t="s">
        <v>935</v>
      </c>
      <c r="T25" s="19" t="s">
        <v>936</v>
      </c>
      <c r="U25" s="19" t="s">
        <v>937</v>
      </c>
      <c r="V25" s="19" t="s">
        <v>938</v>
      </c>
      <c r="W25" s="19"/>
    </row>
    <row r="26" spans="1:23" ht="12.75" customHeight="1" x14ac:dyDescent="0.2">
      <c r="A26" s="9" t="s">
        <v>939</v>
      </c>
      <c r="B26" s="9" t="s">
        <v>940</v>
      </c>
      <c r="C26" s="2">
        <v>7</v>
      </c>
      <c r="D26" s="2">
        <v>3</v>
      </c>
      <c r="E26" s="2" t="s">
        <v>716</v>
      </c>
      <c r="F26" s="2" t="s">
        <v>768</v>
      </c>
      <c r="G26" s="2" t="s">
        <v>729</v>
      </c>
      <c r="H26" s="3" t="str">
        <f>IF('Pack BB2020'!$J$24="Español",T26,(IF('Pack BB2020'!$J$24="Deutsch",U26,(IF('Pack BB2020'!$J$24="Français",V26,S26)))))</f>
        <v>Placar, Solitario (4+), Golpe mortífero (+1), Placaje defensivo</v>
      </c>
      <c r="I26" s="3" t="str">
        <f>IF('Pack BB2020'!$J$24="Español",N26,(IF('Pack BB2020'!$J$24="Deutsch",O26,(IF('Pack BB2020'!$J$24="Italiano",Q26,(IF('Pack BB2020'!$J$24="Français",P26,M26)))))))</f>
        <v>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v>
      </c>
      <c r="J26" s="1">
        <v>340000</v>
      </c>
      <c r="K26" s="1">
        <f t="shared" si="0"/>
        <v>0</v>
      </c>
      <c r="M26" s="19" t="s">
        <v>941</v>
      </c>
      <c r="N26" s="19" t="s">
        <v>942</v>
      </c>
      <c r="O26" s="19" t="s">
        <v>943</v>
      </c>
      <c r="P26" s="19" t="s">
        <v>944</v>
      </c>
      <c r="Q26" s="19" t="s">
        <v>1393</v>
      </c>
      <c r="R26" s="19"/>
      <c r="S26" s="19" t="s">
        <v>945</v>
      </c>
      <c r="T26" s="19" t="s">
        <v>946</v>
      </c>
      <c r="U26" s="19" t="s">
        <v>947</v>
      </c>
      <c r="V26" s="19" t="s">
        <v>948</v>
      </c>
      <c r="W26" s="19"/>
    </row>
    <row r="27" spans="1:23" ht="12.75" customHeight="1" x14ac:dyDescent="0.2">
      <c r="A27" s="9" t="s">
        <v>949</v>
      </c>
      <c r="B27" s="9" t="s">
        <v>950</v>
      </c>
      <c r="C27" s="2">
        <v>7</v>
      </c>
      <c r="D27" s="2">
        <v>3</v>
      </c>
      <c r="E27" s="2" t="s">
        <v>716</v>
      </c>
      <c r="F27" s="2" t="s">
        <v>716</v>
      </c>
      <c r="G27" s="2" t="s">
        <v>790</v>
      </c>
      <c r="H27" s="3" t="str">
        <f>IF('Pack BB2020'!$J$24="Español",T27,(IF('Pack BB2020'!$J$24="Deutsch",U27,(IF('Pack BB2020'!$J$24="Français",V27,S27)))))</f>
        <v>Precisión, Solitario (4+), Nervios de acero, Pasar, Pase seguro, Manos seguras</v>
      </c>
      <c r="I27" s="3" t="str">
        <f>IF('Pack BB2020'!$J$24="Español",N27,(IF('Pack BB2020'!$J$24="Deutsch",O27,(IF('Pack BB2020'!$J$24="Italiano",Q27,(IF('Pack BB2020'!$J$24="Français",P27,M27)))))))</f>
        <v>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v>
      </c>
      <c r="J27" s="1">
        <v>0</v>
      </c>
      <c r="K27" s="1">
        <f t="shared" si="0"/>
        <v>0</v>
      </c>
      <c r="M27" s="19" t="s">
        <v>941</v>
      </c>
      <c r="N27" s="19" t="s">
        <v>942</v>
      </c>
      <c r="O27" s="19" t="s">
        <v>943</v>
      </c>
      <c r="P27" s="19" t="s">
        <v>944</v>
      </c>
      <c r="Q27" s="19" t="s">
        <v>1393</v>
      </c>
      <c r="R27" s="19"/>
      <c r="S27" s="19" t="s">
        <v>951</v>
      </c>
      <c r="T27" s="19" t="s">
        <v>952</v>
      </c>
      <c r="U27" s="19" t="s">
        <v>953</v>
      </c>
      <c r="V27" s="19" t="s">
        <v>954</v>
      </c>
      <c r="W27" s="19"/>
    </row>
    <row r="28" spans="1:23" ht="12.75" customHeight="1" x14ac:dyDescent="0.2">
      <c r="A28" s="9" t="s">
        <v>955</v>
      </c>
      <c r="B28" s="9" t="s">
        <v>956</v>
      </c>
      <c r="C28" s="2">
        <v>5</v>
      </c>
      <c r="D28" s="2">
        <v>5</v>
      </c>
      <c r="E28" s="2" t="s">
        <v>728</v>
      </c>
      <c r="F28" s="2" t="s">
        <v>768</v>
      </c>
      <c r="G28" s="2" t="s">
        <v>750</v>
      </c>
      <c r="H28" s="3" t="str">
        <f>IF('Pack BB2020'!$J$24="Español",T28,(IF('Pack BB2020'!$J$24="Deutsch",U28,(IF('Pack BB2020'!$J$24="Français",V28,S28)))))</f>
        <v>Placar, Juego sucio (+2), Solitario (+4), Golpe mortífero (+1), Rastrero</v>
      </c>
      <c r="I28" s="3" t="str">
        <f>IF('Pack BB2020'!$J$24="Español",N28,(IF('Pack BB2020'!$J$24="Deutsch",O28,(IF('Pack BB2020'!$J$24="Italiano",Q28,(IF('Pack BB2020'!$J$24="Français",P28,M28)))))))</f>
        <v>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v>
      </c>
      <c r="J28" s="1">
        <v>260000</v>
      </c>
      <c r="K28" s="1">
        <f t="shared" si="0"/>
        <v>0</v>
      </c>
      <c r="M28" s="19" t="s">
        <v>957</v>
      </c>
      <c r="N28" s="19" t="s">
        <v>958</v>
      </c>
      <c r="O28" s="19" t="s">
        <v>959</v>
      </c>
      <c r="P28" s="19" t="s">
        <v>960</v>
      </c>
      <c r="Q28" s="19" t="s">
        <v>1394</v>
      </c>
      <c r="R28" s="19"/>
      <c r="S28" s="19" t="s">
        <v>961</v>
      </c>
      <c r="T28" s="19" t="s">
        <v>962</v>
      </c>
      <c r="U28" s="19" t="s">
        <v>963</v>
      </c>
      <c r="V28" s="19" t="s">
        <v>964</v>
      </c>
      <c r="W28" s="19"/>
    </row>
    <row r="29" spans="1:23" ht="12.75" customHeight="1" x14ac:dyDescent="0.2">
      <c r="A29" s="14" t="s">
        <v>965</v>
      </c>
      <c r="B29" s="9" t="s">
        <v>966</v>
      </c>
      <c r="C29" s="2">
        <v>5</v>
      </c>
      <c r="D29" s="2">
        <v>3</v>
      </c>
      <c r="E29" s="2" t="s">
        <v>749</v>
      </c>
      <c r="F29" s="2" t="s">
        <v>223</v>
      </c>
      <c r="G29" s="2" t="s">
        <v>729</v>
      </c>
      <c r="H29" s="3" t="str">
        <f>IF('Pack BB2020'!$J$24="Español",T29,(IF('Pack BB2020'!$J$24="Deutsch",U29,(IF('Pack BB2020'!$J$24="Français",V29,S29)))))</f>
        <v>Motosierra, Solitario (4+), Regeneración, Arma secreta, Mantenerse firme, Cabeza dura</v>
      </c>
      <c r="I29" s="3" t="str">
        <f>IF('Pack BB2020'!$J$24="Español",N29,(IF('Pack BB2020'!$J$24="Deutsch",O29,(IF('Pack BB2020'!$J$24="Italiano",Q29,(IF('Pack BB2020'!$J$24="Français",P29,M29)))))))</f>
        <v>Llamas fantasmales: Una vez por parte, cuando Bryce hace la acción especial de Ataque con Motosierra como parte de una acción Penetración, puede añadir +4 a la tirada de Armadura contra el oponente en lugar de +3</v>
      </c>
      <c r="J29" s="1">
        <v>130000</v>
      </c>
      <c r="K29" s="1">
        <f t="shared" si="0"/>
        <v>0</v>
      </c>
      <c r="M29" s="19" t="s">
        <v>967</v>
      </c>
      <c r="N29" s="19" t="s">
        <v>968</v>
      </c>
      <c r="O29" s="19" t="s">
        <v>969</v>
      </c>
      <c r="P29" s="19" t="s">
        <v>970</v>
      </c>
      <c r="Q29" s="19" t="s">
        <v>1395</v>
      </c>
      <c r="R29" s="19"/>
      <c r="S29" s="19" t="s">
        <v>971</v>
      </c>
      <c r="T29" s="19" t="s">
        <v>972</v>
      </c>
      <c r="U29" s="19" t="s">
        <v>973</v>
      </c>
      <c r="V29" s="19" t="s">
        <v>974</v>
      </c>
      <c r="W29" s="19"/>
    </row>
    <row r="30" spans="1:23" ht="12.75" customHeight="1" x14ac:dyDescent="0.2">
      <c r="A30" s="9" t="s">
        <v>975</v>
      </c>
      <c r="B30" s="9" t="s">
        <v>976</v>
      </c>
      <c r="C30" s="2">
        <v>8</v>
      </c>
      <c r="D30" s="2">
        <v>4</v>
      </c>
      <c r="E30" s="2" t="s">
        <v>728</v>
      </c>
      <c r="F30" s="2" t="s">
        <v>749</v>
      </c>
      <c r="G30" s="2" t="s">
        <v>729</v>
      </c>
      <c r="H30" s="3" t="str">
        <f>IF('Pack BB2020'!$J$24="Español",T30,(IF('Pack BB2020'!$J$24="Deutsch",U30,(IF('Pack BB2020'!$J$24="Français",V30,S30)))))</f>
        <v>Atrapar, Garras, Furia, Solitario (4+), Regeneración, Forcejear</v>
      </c>
      <c r="I30" s="3" t="str">
        <f>IF('Pack BB2020'!$J$24="Español",N30,(IF('Pack BB2020'!$J$24="Deutsch",O30,(IF('Pack BB2020'!$J$24="Italiano",Q30,(IF('Pack BB2020'!$J$24="Français",P30,M30)))))))</f>
        <v>Auyido salvaje: Una vez por partido, cuando Wilhelm hace una tirada de lesión contra un jugador contrario, puede elegir volver a tirar el resultado</v>
      </c>
      <c r="J30" s="1">
        <v>220000</v>
      </c>
      <c r="K30" s="1">
        <f t="shared" si="0"/>
        <v>0</v>
      </c>
      <c r="M30" s="19" t="s">
        <v>977</v>
      </c>
      <c r="N30" s="19" t="s">
        <v>978</v>
      </c>
      <c r="O30" s="19" t="s">
        <v>979</v>
      </c>
      <c r="P30" s="19" t="s">
        <v>980</v>
      </c>
      <c r="Q30" s="19" t="s">
        <v>1396</v>
      </c>
      <c r="R30" s="19"/>
      <c r="S30" s="19" t="s">
        <v>981</v>
      </c>
      <c r="T30" s="19" t="s">
        <v>982</v>
      </c>
      <c r="U30" s="19" t="s">
        <v>983</v>
      </c>
      <c r="V30" s="19" t="s">
        <v>984</v>
      </c>
      <c r="W30" s="19"/>
    </row>
    <row r="31" spans="1:23" ht="12.75" customHeight="1" x14ac:dyDescent="0.2">
      <c r="A31" s="9" t="s">
        <v>985</v>
      </c>
      <c r="B31" s="9" t="s">
        <v>986</v>
      </c>
      <c r="C31" s="2">
        <v>7</v>
      </c>
      <c r="D31" s="2">
        <v>3</v>
      </c>
      <c r="E31" s="2" t="s">
        <v>716</v>
      </c>
      <c r="F31" s="2" t="s">
        <v>223</v>
      </c>
      <c r="G31" s="2" t="s">
        <v>729</v>
      </c>
      <c r="H31" s="3" t="str">
        <f>IF('Pack BB2020'!$J$24="Español",T31,(IF('Pack BB2020'!$J$24="Deutsch",U31,(IF('Pack BB2020'!$J$24="Français",V31,S31)))))</f>
        <v>Presencia perturbadora, Esquivar, Apariencia asquerosa, En pie de un salto, Solitario (4+), Sin manos, Regeneración, Perseguir, Echarse a un lado</v>
      </c>
      <c r="I31" s="3" t="str">
        <f>IF('Pack BB2020'!$J$24="Español",N31,(IF('Pack BB2020'!$J$24="Deutsch",O31,(IF('Pack BB2020'!$J$24="Italiano",Q31,(IF('Pack BB2020'!$J$24="Français",P31,M31)))))))</f>
        <v>Incorporal: Una vez por partido, después de hacer una tirada de agilidad para esquivar, Gretchen puede elegir modificar la tirada de los dados añadiendo su característica de fuerza.</v>
      </c>
      <c r="J31" s="1">
        <v>260000</v>
      </c>
      <c r="K31" s="1">
        <f t="shared" si="0"/>
        <v>0</v>
      </c>
      <c r="M31" s="19" t="s">
        <v>987</v>
      </c>
      <c r="N31" s="19" t="s">
        <v>988</v>
      </c>
      <c r="O31" s="19" t="s">
        <v>989</v>
      </c>
      <c r="P31" s="19" t="s">
        <v>990</v>
      </c>
      <c r="Q31" s="19" t="s">
        <v>1397</v>
      </c>
      <c r="R31" s="19"/>
      <c r="S31" s="19" t="s">
        <v>991</v>
      </c>
      <c r="T31" s="19" t="s">
        <v>992</v>
      </c>
      <c r="U31" s="19" t="s">
        <v>993</v>
      </c>
      <c r="V31" s="19" t="s">
        <v>994</v>
      </c>
      <c r="W31" s="19"/>
    </row>
    <row r="32" spans="1:23" ht="12.75" customHeight="1" x14ac:dyDescent="0.2">
      <c r="A32" s="9" t="s">
        <v>995</v>
      </c>
      <c r="B32" s="9" t="s">
        <v>996</v>
      </c>
      <c r="C32" s="2">
        <v>4</v>
      </c>
      <c r="D32" s="2">
        <v>5</v>
      </c>
      <c r="E32" s="2" t="s">
        <v>749</v>
      </c>
      <c r="F32" s="2" t="s">
        <v>717</v>
      </c>
      <c r="G32" s="2" t="s">
        <v>750</v>
      </c>
      <c r="H32" s="3" t="str">
        <f>IF('Pack BB2020'!$J$24="Español",T32,(IF('Pack BB2020'!$J$24="Deutsch",U32,(IF('Pack BB2020'!$J$24="Français",V32,S32)))))</f>
        <v>Placar, Solitario (4+), Golpe mortífero (+1)</v>
      </c>
      <c r="I32" s="3" t="str">
        <f>IF('Pack BB2020'!$J$24="Español",N32,(IF('Pack BB2020'!$J$24="Deutsch",O32,(IF('Pack BB2020'!$J$24="Italiano",Q32,(IF('Pack BB2020'!$J$24="Français",P32,M32)))))))</f>
        <v>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v>
      </c>
      <c r="J32" s="1">
        <v>220000</v>
      </c>
      <c r="K32" s="1">
        <f t="shared" si="0"/>
        <v>1</v>
      </c>
      <c r="M32" s="19" t="s">
        <v>997</v>
      </c>
      <c r="N32" s="19" t="s">
        <v>998</v>
      </c>
      <c r="O32" s="19" t="s">
        <v>999</v>
      </c>
      <c r="P32" s="19" t="s">
        <v>1000</v>
      </c>
      <c r="Q32" s="19" t="s">
        <v>1398</v>
      </c>
      <c r="R32" s="19"/>
      <c r="S32" s="19" t="s">
        <v>1001</v>
      </c>
      <c r="T32" s="19" t="s">
        <v>1002</v>
      </c>
      <c r="U32" s="19" t="s">
        <v>1003</v>
      </c>
      <c r="V32" s="19" t="s">
        <v>1004</v>
      </c>
      <c r="W32" s="19"/>
    </row>
    <row r="33" spans="1:30" ht="12.75" customHeight="1" x14ac:dyDescent="0.2">
      <c r="A33" s="9" t="s">
        <v>1005</v>
      </c>
      <c r="B33" s="9" t="s">
        <v>1006</v>
      </c>
      <c r="C33" s="9">
        <v>6</v>
      </c>
      <c r="D33" s="9">
        <v>6</v>
      </c>
      <c r="E33" s="9" t="s">
        <v>749</v>
      </c>
      <c r="F33" s="9" t="s">
        <v>223</v>
      </c>
      <c r="G33" s="9" t="s">
        <v>729</v>
      </c>
      <c r="H33" s="3" t="str">
        <f>IF('Pack BB2020'!$J$24="Español",T33,(IF('Pack BB2020'!$J$24="Deutsch",U33,(IF('Pack BB2020'!$J$24="Français",V33,S33)))))</f>
        <v>Furia, Cuernos, Solitario (4+), Golpe Mortífero (+1), Cabeza Dura, Ira Descontrolada</v>
      </c>
      <c r="I33" s="3" t="str">
        <f>IF('Pack BB2020'!$J$24="Español",N33,(IF('Pack BB2020'!$J$24="Deutsch",O33,(IF('Pack BB2020'!$J$24="Italiano",Q33,(IF('Pack BB2020'!$J$24="Français",P33,M33)))))))</f>
        <v>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v>
      </c>
      <c r="J33" s="16">
        <v>240000</v>
      </c>
      <c r="K33" s="1">
        <f t="shared" si="0"/>
        <v>0</v>
      </c>
      <c r="L33" s="8"/>
      <c r="M33" s="20" t="s">
        <v>1007</v>
      </c>
      <c r="N33" s="20" t="s">
        <v>1008</v>
      </c>
      <c r="O33" s="19" t="s">
        <v>1009</v>
      </c>
      <c r="P33" s="19" t="s">
        <v>1010</v>
      </c>
      <c r="Q33" s="19" t="s">
        <v>1399</v>
      </c>
      <c r="R33" s="19"/>
      <c r="S33" s="19" t="s">
        <v>1011</v>
      </c>
      <c r="T33" s="19" t="s">
        <v>1012</v>
      </c>
      <c r="U33" s="19" t="s">
        <v>1013</v>
      </c>
      <c r="V33" s="19" t="s">
        <v>1014</v>
      </c>
      <c r="W33" s="19"/>
    </row>
    <row r="34" spans="1:30" ht="12.75" customHeight="1" x14ac:dyDescent="0.2">
      <c r="A34" s="9" t="s">
        <v>1015</v>
      </c>
      <c r="B34" s="9" t="s">
        <v>1016</v>
      </c>
      <c r="C34" s="9">
        <v>5</v>
      </c>
      <c r="D34" s="9">
        <v>5</v>
      </c>
      <c r="E34" s="9" t="s">
        <v>749</v>
      </c>
      <c r="F34" s="9" t="s">
        <v>223</v>
      </c>
      <c r="G34" s="9" t="s">
        <v>750</v>
      </c>
      <c r="H34" s="3" t="str">
        <f>IF('Pack BB2020'!$J$24="Español",T34,(IF('Pack BB2020'!$J$24="Deutsch",U34,(IF('Pack BB2020'!$J$24="Français",V34,S34)))))</f>
        <v>Garras, Furia, Solitario (4+), Golpe Mortífero (+1), Cola Prensil, Cabeza Dura, Ira Descontrolada</v>
      </c>
      <c r="I34" s="3" t="str">
        <f>IF('Pack BB2020'!$J$24="Español",N34,(IF('Pack BB2020'!$J$24="Deutsch",O34,(IF('Pack BB2020'!$J$24="Italiano",Q34,(IF('Pack BB2020'!$J$24="Français",P34,M34)))))))</f>
        <v>Furia del Dios de la Sangre: Una vez por partida, si Scyla saca un 1 en su tirada de Ira Descontrolada tras declarar una acción de Placar, en lugar de aplicar los efectos habituales de Ira Descontrolada, Scyla puede realizar dos acciones de Placar en su lugar.</v>
      </c>
      <c r="J34" s="16">
        <v>200000</v>
      </c>
      <c r="K34" s="1">
        <f t="shared" si="0"/>
        <v>0</v>
      </c>
      <c r="L34" s="8"/>
      <c r="M34" s="20" t="s">
        <v>1017</v>
      </c>
      <c r="N34" s="20" t="s">
        <v>1018</v>
      </c>
      <c r="O34" s="19" t="s">
        <v>1019</v>
      </c>
      <c r="P34" s="19" t="s">
        <v>1020</v>
      </c>
      <c r="Q34" s="19" t="s">
        <v>1400</v>
      </c>
      <c r="R34" s="19"/>
      <c r="S34" s="19" t="s">
        <v>1021</v>
      </c>
      <c r="T34" s="19" t="s">
        <v>1022</v>
      </c>
      <c r="U34" s="19" t="s">
        <v>1023</v>
      </c>
      <c r="V34" s="19" t="s">
        <v>1024</v>
      </c>
      <c r="W34" s="19"/>
    </row>
    <row r="35" spans="1:30" ht="12.75" customHeight="1" x14ac:dyDescent="0.2">
      <c r="A35" s="9" t="s">
        <v>1025</v>
      </c>
      <c r="B35" s="9" t="s">
        <v>1026</v>
      </c>
      <c r="C35" s="9">
        <v>5</v>
      </c>
      <c r="D35" s="9">
        <v>4</v>
      </c>
      <c r="E35" s="9" t="s">
        <v>749</v>
      </c>
      <c r="F35" s="9" t="s">
        <v>223</v>
      </c>
      <c r="G35" s="9" t="s">
        <v>729</v>
      </c>
      <c r="H35" s="3" t="str">
        <f>IF('Pack BB2020'!$J$24="Español",T35,(IF('Pack BB2020'!$J$24="Deutsch",U35,(IF('Pack BB2020'!$J$24="Français",V35,S35)))))</f>
        <v>Motosierra, Solitario (4+), Arma Secreta</v>
      </c>
      <c r="I35" s="3" t="str">
        <f>IF('Pack BB2020'!$J$24="Español",N35,(IF('Pack BB2020'!$J$24="Deutsch",O35,(IF('Pack BB2020'!$J$24="Italiano",Q35,(IF('Pack BB2020'!$J$24="Français",P35,M35)))))))</f>
        <v>Carnicería máxima: Una vez por partida, después de que Max realice una acción especial de ataque con motosierra, puede realizar inmediatamente otra acción especial de ataque con motosierra que tenga como objetivo a otro jugador rival.</v>
      </c>
      <c r="J35" s="16">
        <v>130000</v>
      </c>
      <c r="K35" s="1">
        <f t="shared" si="0"/>
        <v>0</v>
      </c>
      <c r="L35" s="8"/>
      <c r="M35" s="20" t="s">
        <v>1027</v>
      </c>
      <c r="N35" s="20" t="s">
        <v>1028</v>
      </c>
      <c r="O35" s="19" t="s">
        <v>1029</v>
      </c>
      <c r="P35" s="19" t="s">
        <v>1030</v>
      </c>
      <c r="Q35" s="19" t="s">
        <v>1401</v>
      </c>
      <c r="R35" s="19"/>
      <c r="S35" s="19" t="s">
        <v>1031</v>
      </c>
      <c r="T35" s="19" t="s">
        <v>1032</v>
      </c>
      <c r="U35" s="19" t="s">
        <v>1033</v>
      </c>
      <c r="V35" s="19" t="s">
        <v>1034</v>
      </c>
      <c r="W35" s="19"/>
    </row>
    <row r="36" spans="1:30" ht="12.75" customHeight="1" x14ac:dyDescent="0.2">
      <c r="A36" s="23" t="s">
        <v>1092</v>
      </c>
      <c r="B36" s="23" t="s">
        <v>1093</v>
      </c>
      <c r="C36" s="23">
        <v>5</v>
      </c>
      <c r="D36" s="23">
        <v>7</v>
      </c>
      <c r="E36" s="23" t="s">
        <v>749</v>
      </c>
      <c r="F36" s="23" t="s">
        <v>223</v>
      </c>
      <c r="G36" s="23" t="s">
        <v>750</v>
      </c>
      <c r="H36" s="3" t="str">
        <f>IF('Pack BB2020'!$J$24="Español",T36,(IF('Pack BB2020'!$J$24="Deutsch",U36,(IF('Pack BB2020'!$J$24="Français",V36,S36)))))</f>
        <v>Bola y cadena, Solitario (4+), Golpe mortífero (+1), Sin manos, Cola prensil, Arma secreta</v>
      </c>
      <c r="I36" s="3" t="str">
        <f>IF('Pack BB2020'!$J$24="Español",N36,(IF('Pack BB2020'!$J$24="Deutsch",O36,(IF('Pack BB2020'!$J$24="Italiano",Q36,(IF('Pack BB2020'!$J$24="Français",P36,M36)))))))</f>
        <v>Volveré: La primera vez que Kreek es expulsado en la partida debido a su arma secreta, no es expulsado y en su lugar puede continuar como parte del juego.</v>
      </c>
      <c r="J36" s="25">
        <v>170000</v>
      </c>
      <c r="K36" s="1">
        <f t="shared" si="0"/>
        <v>0</v>
      </c>
      <c r="L36" s="23"/>
      <c r="M36" s="22" t="s">
        <v>1094</v>
      </c>
      <c r="N36" t="s">
        <v>1095</v>
      </c>
      <c r="O36" t="s">
        <v>1096</v>
      </c>
      <c r="P36" t="s">
        <v>1097</v>
      </c>
      <c r="Q36" s="19" t="s">
        <v>1402</v>
      </c>
      <c r="R36" s="19"/>
      <c r="S36" s="19" t="s">
        <v>1098</v>
      </c>
      <c r="T36" s="19" t="s">
        <v>1099</v>
      </c>
      <c r="U36" s="19" t="s">
        <v>1129</v>
      </c>
      <c r="V36" s="19" t="s">
        <v>1128</v>
      </c>
      <c r="W36" s="23"/>
    </row>
    <row r="37" spans="1:30" ht="12.75" customHeight="1" x14ac:dyDescent="0.2">
      <c r="A37" s="23" t="s">
        <v>1100</v>
      </c>
      <c r="B37" s="23" t="s">
        <v>1101</v>
      </c>
      <c r="C37" s="23">
        <v>6</v>
      </c>
      <c r="D37" s="23">
        <v>3</v>
      </c>
      <c r="E37" s="23" t="s">
        <v>749</v>
      </c>
      <c r="F37" s="23" t="s">
        <v>728</v>
      </c>
      <c r="G37" s="23" t="s">
        <v>729</v>
      </c>
      <c r="H37" s="3" t="str">
        <f>IF('Pack BB2020'!$J$24="Español",T37,(IF('Pack BB2020'!$J$24="Deutsch",U37,(IF('Pack BB2020'!$J$24="Français",V37,S37)))))</f>
        <v>Pase a lo loco, Solitario (4+), Pasar, Arma secreta, Cañonero, Manos seguras, Cabeza dura</v>
      </c>
      <c r="I37" s="3" t="str">
        <f>IF('Pack BB2020'!$J$24="Español",N37,(IF('Pack BB2020'!$J$24="Deutsch",O37,(IF('Pack BB2020'!$J$24="Italiano",Q37,(IF('Pack BB2020'!$J$24="Français",P37,M37)))))))</f>
        <v>¡Pelotazo!: Una vez por partida, cuando Barik hace un Pase a lo loco, puede volver a tirar cualquier resultado de dispersión para determinar dónde cae el balón, y cualquier jugador amigo que intente atrapar el balón gana un modificador adicional de +1 a la tirada.</v>
      </c>
      <c r="J37" s="25">
        <v>80000</v>
      </c>
      <c r="K37" s="1">
        <f t="shared" si="0"/>
        <v>1</v>
      </c>
      <c r="L37" s="23"/>
      <c r="M37" s="19" t="s">
        <v>1102</v>
      </c>
      <c r="N37" s="19" t="s">
        <v>1103</v>
      </c>
      <c r="O37" s="19" t="s">
        <v>1104</v>
      </c>
      <c r="P37" s="19" t="s">
        <v>1105</v>
      </c>
      <c r="Q37" s="19" t="s">
        <v>1370</v>
      </c>
      <c r="R37" s="19"/>
      <c r="S37" s="22" t="s">
        <v>1417</v>
      </c>
      <c r="T37" s="22" t="s">
        <v>1418</v>
      </c>
      <c r="U37" s="22" t="s">
        <v>1541</v>
      </c>
      <c r="V37" s="22" t="s">
        <v>1419</v>
      </c>
      <c r="W37" s="24"/>
    </row>
    <row r="38" spans="1:30" ht="12.75" customHeight="1" x14ac:dyDescent="0.2">
      <c r="A38" s="9" t="s">
        <v>1106</v>
      </c>
      <c r="B38" s="9" t="s">
        <v>1108</v>
      </c>
      <c r="C38" s="9">
        <v>4</v>
      </c>
      <c r="D38" s="9">
        <v>7</v>
      </c>
      <c r="E38" s="9" t="s">
        <v>728</v>
      </c>
      <c r="F38" s="9" t="s">
        <v>223</v>
      </c>
      <c r="G38" s="9" t="s">
        <v>790</v>
      </c>
      <c r="H38" s="3" t="str">
        <f>IF('Pack BB2020'!$J$24="Español",T38,(IF('Pack BB2020'!$J$24="Deutsch",U38,(IF('Pack BB2020'!$J$24="Français",V38,S38)))))</f>
        <v>Bola y cadena, Golpe Mortífero (+1), Solitario (4+), Sin manos, Arma secreta, Escurridizo</v>
      </c>
      <c r="I38" s="3" t="str">
        <f>IF('Pack BB2020'!$J$24="Español",N38,(IF('Pack BB2020'!$J$24="Deutsch",O38,(IF('Pack BB2020'!$J$24="Italiano",Q38,(IF('Pack BB2020'!$J$24="Français",P38,M38)))))))</f>
        <v>Derviche giratorio: Una vez por activación, Fungus puede volver a tirar el D6 al determinar en qué dirección se mueve.</v>
      </c>
      <c r="J38" s="16">
        <v>80000</v>
      </c>
      <c r="K38" s="1">
        <f t="shared" si="0"/>
        <v>0</v>
      </c>
      <c r="L38" s="8"/>
      <c r="M38" s="20" t="s">
        <v>1110</v>
      </c>
      <c r="N38" t="s">
        <v>1121</v>
      </c>
      <c r="O38" s="19" t="s">
        <v>1120</v>
      </c>
      <c r="P38" s="19" t="s">
        <v>1119</v>
      </c>
      <c r="Q38" s="19" t="s">
        <v>1118</v>
      </c>
      <c r="R38" s="19"/>
      <c r="S38" s="19" t="s">
        <v>1109</v>
      </c>
      <c r="T38" s="19" t="s">
        <v>1122</v>
      </c>
      <c r="U38" s="19" t="s">
        <v>1126</v>
      </c>
      <c r="V38" s="19" t="s">
        <v>1127</v>
      </c>
      <c r="W38" s="19"/>
    </row>
    <row r="39" spans="1:30" ht="12.75" customHeight="1" x14ac:dyDescent="0.2">
      <c r="A39" s="9" t="s">
        <v>1107</v>
      </c>
      <c r="B39" s="9" t="s">
        <v>1111</v>
      </c>
      <c r="C39" s="9">
        <v>6</v>
      </c>
      <c r="D39" s="9">
        <v>2</v>
      </c>
      <c r="E39" s="9" t="s">
        <v>728</v>
      </c>
      <c r="F39" s="9" t="s">
        <v>728</v>
      </c>
      <c r="G39" s="9" t="s">
        <v>790</v>
      </c>
      <c r="H39" s="3" t="str">
        <f>IF('Pack BB2020'!$J$24="Español",T39,(IF('Pack BB2020'!$J$24="Deutsch",U39,(IF('Pack BB2020'!$J$24="Français",V39,S39)))))</f>
        <v>Precisión, Bombardero, Esquivar, Solitario (4+), Humanoide bala, Arma Secreta, Escurridizo</v>
      </c>
      <c r="I39" s="3" t="str">
        <f>IF('Pack BB2020'!$J$24="Español",N39,(IF('Pack BB2020'!$J$24="Deutsch",O39,(IF('Pack BB2020'!$J$24="Italiano",Q39,(IF('Pack BB2020'!$J$24="Français",P39,M39)))))))</f>
        <v>¡Kaboom!: Una vez por partida, si un jugador rival atrapa una bomba lanzada por el Bomber, puedes elegir que explote inmediatamente en lugar de tirar para ver si el jugador puede volver a lanzarla.</v>
      </c>
      <c r="J39" s="16">
        <v>50000</v>
      </c>
      <c r="K39" s="1">
        <f t="shared" si="0"/>
        <v>0</v>
      </c>
      <c r="L39" s="8"/>
      <c r="M39" s="20" t="s">
        <v>1112</v>
      </c>
      <c r="N39" s="20" t="s">
        <v>1117</v>
      </c>
      <c r="O39" s="19" t="s">
        <v>1115</v>
      </c>
      <c r="P39" s="19" t="s">
        <v>1114</v>
      </c>
      <c r="Q39" s="19" t="s">
        <v>1116</v>
      </c>
      <c r="R39" s="19"/>
      <c r="S39" s="19" t="s">
        <v>1113</v>
      </c>
      <c r="T39" s="19" t="s">
        <v>1123</v>
      </c>
      <c r="U39" s="19" t="s">
        <v>1124</v>
      </c>
      <c r="V39" s="19" t="s">
        <v>1125</v>
      </c>
      <c r="W39" s="19"/>
      <c r="AD39" s="19"/>
    </row>
    <row r="40" spans="1:30" ht="12.75" customHeight="1" x14ac:dyDescent="0.2">
      <c r="A40" s="9" t="s">
        <v>1149</v>
      </c>
      <c r="B40" s="9" t="s">
        <v>1150</v>
      </c>
      <c r="C40" s="9">
        <v>6</v>
      </c>
      <c r="D40" s="9">
        <v>4</v>
      </c>
      <c r="E40" s="9" t="s">
        <v>728</v>
      </c>
      <c r="F40" s="9" t="s">
        <v>749</v>
      </c>
      <c r="G40" s="9" t="s">
        <v>729</v>
      </c>
      <c r="H40" s="3" t="str">
        <f>IF('Pack BB2020'!$J$24="Español",T40,(IF('Pack BB2020'!$J$24="Deutsch",U40,(IF('Pack BB2020'!$J$24="Français",V40,S40)))))</f>
        <v>Placar, Defensa, Solitario (3+), Placaje defensivo</v>
      </c>
      <c r="I40" s="3" t="str">
        <f>IF('Pack BB2020'!$J$24="Español",N40,(IF('Pack BB2020'!$J$24="Deutsch",O40,(IF('Pack BB2020'!$J$24="Italiano",Q40,(IF('Pack BB2020'!$J$24="Français",P40,M40)))))))</f>
        <v>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v>
      </c>
      <c r="J40" s="16">
        <v>245000</v>
      </c>
      <c r="K40" s="1">
        <f t="shared" si="0"/>
        <v>1</v>
      </c>
      <c r="L40" s="4"/>
      <c r="M40" s="20" t="s">
        <v>1151</v>
      </c>
      <c r="N40" s="20" t="s">
        <v>1152</v>
      </c>
      <c r="O40" s="19" t="s">
        <v>1153</v>
      </c>
      <c r="P40" s="19" t="s">
        <v>1154</v>
      </c>
      <c r="Q40" s="19" t="s">
        <v>1155</v>
      </c>
      <c r="R40" s="19"/>
      <c r="S40" s="19" t="s">
        <v>1156</v>
      </c>
      <c r="T40" s="19" t="s">
        <v>1157</v>
      </c>
      <c r="U40" s="19" t="s">
        <v>1158</v>
      </c>
      <c r="V40" s="19" t="s">
        <v>1159</v>
      </c>
      <c r="W40" s="19"/>
      <c r="AD40" s="19"/>
    </row>
    <row r="41" spans="1:30" ht="12.75" customHeight="1" x14ac:dyDescent="0.2">
      <c r="A41" s="9" t="s">
        <v>1160</v>
      </c>
      <c r="B41" s="9" t="s">
        <v>1161</v>
      </c>
      <c r="C41" s="9">
        <v>5</v>
      </c>
      <c r="D41" s="9">
        <v>5</v>
      </c>
      <c r="E41" s="9" t="s">
        <v>749</v>
      </c>
      <c r="F41" s="9" t="s">
        <v>223</v>
      </c>
      <c r="G41" s="9" t="s">
        <v>729</v>
      </c>
      <c r="H41" s="3" t="str">
        <f>IF('Pack BB2020'!$J$24="Español",T41,(IF('Pack BB2020'!$J$24="Deutsch",U41,(IF('Pack BB2020'!$J$24="Français",V41,S41)))))</f>
        <v>Garras, Presencia perturbadora, Imparable, Solitario (4+), Golpe mortífero (+1)</v>
      </c>
      <c r="I41" s="3" t="str">
        <f>IF('Pack BB2020'!$J$24="Español",N41,(IF('Pack BB2020'!$J$24="Deutsch",O41,(IF('Pack BB2020'!$J$24="Italiano",Q41,(IF('Pack BB2020'!$J$24="Français",P41,M41)))))))</f>
        <v>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v>
      </c>
      <c r="J41" s="16">
        <v>250000</v>
      </c>
      <c r="K41" s="1">
        <f t="shared" si="0"/>
        <v>1</v>
      </c>
      <c r="L41" s="4"/>
      <c r="M41" s="20" t="s">
        <v>1162</v>
      </c>
      <c r="N41" s="20" t="s">
        <v>1163</v>
      </c>
      <c r="O41" s="19" t="s">
        <v>1164</v>
      </c>
      <c r="P41" s="19" t="s">
        <v>1165</v>
      </c>
      <c r="Q41" s="19" t="s">
        <v>1166</v>
      </c>
      <c r="R41" s="19"/>
      <c r="S41" s="19" t="s">
        <v>1167</v>
      </c>
      <c r="T41" s="19" t="s">
        <v>1168</v>
      </c>
      <c r="U41" s="19" t="s">
        <v>1169</v>
      </c>
      <c r="V41" s="19" t="s">
        <v>1170</v>
      </c>
      <c r="W41" s="19"/>
      <c r="AD41" s="19"/>
    </row>
    <row r="42" spans="1:30" ht="12.75" customHeight="1" x14ac:dyDescent="0.2">
      <c r="A42" s="9" t="s">
        <v>1171</v>
      </c>
      <c r="B42" s="9" t="s">
        <v>1172</v>
      </c>
      <c r="C42" s="9">
        <v>6</v>
      </c>
      <c r="D42" s="9">
        <v>3</v>
      </c>
      <c r="E42" s="9" t="s">
        <v>749</v>
      </c>
      <c r="F42" s="9" t="s">
        <v>728</v>
      </c>
      <c r="G42" s="9" t="s">
        <v>790</v>
      </c>
      <c r="H42" s="3" t="str">
        <f>IF('Pack BB2020'!$J$24="Español",T42,(IF('Pack BB2020'!$J$24="Deutsch",U42,(IF('Pack BB2020'!$J$24="Français",V42,S42)))))</f>
        <v>Placar, Borracho, Solitario (3+), Cabeza dura</v>
      </c>
      <c r="I42" s="3" t="str">
        <f>IF('Pack BB2020'!$J$24="Español",N42,(IF('Pack BB2020'!$J$24="Deutsch",O42,(IF('Pack BB2020'!$J$24="Italiano",Q42,(IF('Pack BB2020'!$J$24="Français",P42,M42)))))))</f>
        <v>¡Asalto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v>
      </c>
      <c r="J42" s="16">
        <v>170000</v>
      </c>
      <c r="K42" s="1">
        <f t="shared" si="0"/>
        <v>1</v>
      </c>
      <c r="L42" s="4"/>
      <c r="M42" s="20" t="s">
        <v>1173</v>
      </c>
      <c r="N42" s="20" t="s">
        <v>1174</v>
      </c>
      <c r="O42" s="19" t="s">
        <v>1175</v>
      </c>
      <c r="P42" s="19" t="s">
        <v>1176</v>
      </c>
      <c r="Q42" s="19" t="s">
        <v>1177</v>
      </c>
      <c r="R42" s="19"/>
      <c r="S42" s="19" t="s">
        <v>1178</v>
      </c>
      <c r="T42" s="15" t="s">
        <v>1179</v>
      </c>
      <c r="U42" s="15" t="s">
        <v>1180</v>
      </c>
      <c r="V42" s="15" t="s">
        <v>1181</v>
      </c>
      <c r="W42" s="19"/>
      <c r="AD42" s="19"/>
    </row>
    <row r="43" spans="1:30" ht="12.75" customHeight="1" x14ac:dyDescent="0.2">
      <c r="A43" s="9" t="s">
        <v>1200</v>
      </c>
      <c r="B43" s="9" t="s">
        <v>1201</v>
      </c>
      <c r="C43" s="9">
        <v>6</v>
      </c>
      <c r="D43" s="9">
        <v>3</v>
      </c>
      <c r="E43" s="9" t="s">
        <v>728</v>
      </c>
      <c r="F43" s="9" t="s">
        <v>749</v>
      </c>
      <c r="G43" s="9" t="s">
        <v>790</v>
      </c>
      <c r="H43" s="3" t="str">
        <f>IF('Pack BB2020'!$J$24="Español",T43,(IF('Pack BB2020'!$J$24="Deutsch",U43,(IF('Pack BB2020'!$J$24="Français",V43,S43)))))</f>
        <v>Presencia perturbadora, Esquivar, Defensa, Solitario (4+), Echarse a un lado</v>
      </c>
      <c r="I43" s="3" t="str">
        <f>IF('Pack BB2020'!$J$24="Español",N43,(IF('Pack BB2020'!$J$24="Deutsch",O43,(IF('Pack BB2020'!$J$24="Italiano",Q43,(IF('Pack BB2020'!$J$24="Français",P43,M43)))))))</f>
        <v>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v>
      </c>
      <c r="J43" s="16">
        <v>190000</v>
      </c>
      <c r="K43" s="1">
        <f t="shared" si="0"/>
        <v>0</v>
      </c>
      <c r="L43" s="4"/>
      <c r="M43" s="20" t="s">
        <v>1202</v>
      </c>
      <c r="N43" s="20" t="s">
        <v>1203</v>
      </c>
      <c r="O43" s="19" t="s">
        <v>1204</v>
      </c>
      <c r="P43" s="19" t="s">
        <v>1205</v>
      </c>
      <c r="Q43" s="19" t="s">
        <v>1206</v>
      </c>
      <c r="R43" s="19"/>
      <c r="S43" s="19" t="s">
        <v>1207</v>
      </c>
      <c r="T43" s="15" t="s">
        <v>1208</v>
      </c>
      <c r="U43" s="15" t="s">
        <v>1209</v>
      </c>
      <c r="V43" s="15" t="s">
        <v>1210</v>
      </c>
      <c r="W43" s="19"/>
      <c r="AD43" s="19"/>
    </row>
    <row r="44" spans="1:30" ht="12.75" customHeight="1" x14ac:dyDescent="0.2">
      <c r="A44" s="9" t="s">
        <v>1211</v>
      </c>
      <c r="B44" s="9" t="s">
        <v>1212</v>
      </c>
      <c r="C44" s="9">
        <v>6</v>
      </c>
      <c r="D44" s="9">
        <v>6</v>
      </c>
      <c r="E44" s="9" t="s">
        <v>768</v>
      </c>
      <c r="F44" s="9" t="s">
        <v>223</v>
      </c>
      <c r="G44" s="9" t="s">
        <v>750</v>
      </c>
      <c r="H44" s="3" t="str">
        <f>IF('Pack BB2020'!$J$24="Español",T44,(IF('Pack BB2020'!$J$24="Deutsch",U44,(IF('Pack BB2020'!$J$24="Français",V44,S44)))))</f>
        <v>Ferocidad animal, Furia, Solitario (4+), Golpe mortífero (+1), Cola prensil, Mantenerse firme, Cabeza dura</v>
      </c>
      <c r="I44" s="3" t="str">
        <f>IF('Pack BB2020'!$J$24="Español",N44,(IF('Pack BB2020'!$J$24="Deutsch",O44,(IF('Pack BB2020'!$J$24="Italiano",Q44,(IF('Pack BB2020'!$J$24="Français",P44,M44)))))))</f>
        <v>Salvajismo primitivo: Una vez por partido, cuando Glotl falla una tirada de Ferocidad animal, puede golpear contra un jugador rival en lugar de contra un compañero.</v>
      </c>
      <c r="J44" s="16">
        <v>270000</v>
      </c>
      <c r="K44" s="1">
        <f t="shared" si="0"/>
        <v>0</v>
      </c>
      <c r="L44" s="4"/>
      <c r="M44" s="20" t="s">
        <v>1213</v>
      </c>
      <c r="N44" s="20" t="s">
        <v>1214</v>
      </c>
      <c r="O44" s="19" t="s">
        <v>1215</v>
      </c>
      <c r="P44" s="19" t="s">
        <v>1216</v>
      </c>
      <c r="Q44" s="19" t="s">
        <v>1217</v>
      </c>
      <c r="R44" s="19"/>
      <c r="S44" s="19" t="s">
        <v>1218</v>
      </c>
      <c r="T44" s="15" t="s">
        <v>1219</v>
      </c>
      <c r="U44" s="15" t="s">
        <v>1220</v>
      </c>
      <c r="V44" s="15" t="s">
        <v>1221</v>
      </c>
      <c r="W44" s="19"/>
      <c r="AD44" s="19"/>
    </row>
    <row r="45" spans="1:30" ht="12.75" customHeight="1" x14ac:dyDescent="0.2">
      <c r="A45" s="9" t="s">
        <v>1222</v>
      </c>
      <c r="B45" s="9" t="s">
        <v>1223</v>
      </c>
      <c r="C45" s="9">
        <v>6</v>
      </c>
      <c r="D45" s="9">
        <v>3</v>
      </c>
      <c r="E45" s="9" t="s">
        <v>728</v>
      </c>
      <c r="F45" s="9" t="s">
        <v>749</v>
      </c>
      <c r="G45" s="9" t="s">
        <v>729</v>
      </c>
      <c r="H45" s="3" t="str">
        <f>IF('Pack BB2020'!$J$24="Español",T45,(IF('Pack BB2020'!$J$24="Deutsch",U45,(IF('Pack BB2020'!$J$24="Français",V45,S45)))))</f>
        <v xml:space="preserve">Esquivar, Mirada hipnótica, Solitario (4+), Cola prensil, Proteger el cuero, Echarse a un lado, </v>
      </c>
      <c r="I45" s="3" t="str">
        <f>IF('Pack BB2020'!$J$24="Español",N45,(IF('Pack BB2020'!$J$24="Deutsch",O45,(IF('Pack BB2020'!$J$24="Italiano",Q45,(IF('Pack BB2020'!$J$24="Français",P45,M45)))))))</f>
        <v>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v>
      </c>
      <c r="J45" s="16">
        <v>200000</v>
      </c>
      <c r="K45" s="1">
        <f t="shared" si="0"/>
        <v>0</v>
      </c>
      <c r="L45" s="4"/>
      <c r="M45" s="20" t="s">
        <v>1224</v>
      </c>
      <c r="N45" s="20" t="s">
        <v>1225</v>
      </c>
      <c r="O45" s="19" t="s">
        <v>1226</v>
      </c>
      <c r="P45" s="19" t="s">
        <v>1227</v>
      </c>
      <c r="Q45" s="19" t="s">
        <v>1228</v>
      </c>
      <c r="R45" s="19"/>
      <c r="S45" s="19" t="s">
        <v>1229</v>
      </c>
      <c r="T45" s="15" t="s">
        <v>1230</v>
      </c>
      <c r="U45" s="15" t="s">
        <v>1231</v>
      </c>
      <c r="V45" s="15" t="s">
        <v>1232</v>
      </c>
      <c r="W45" s="19"/>
      <c r="AD45" s="19"/>
    </row>
    <row r="46" spans="1:30" ht="12.75" customHeight="1" x14ac:dyDescent="0.2">
      <c r="A46" s="9" t="s">
        <v>1236</v>
      </c>
      <c r="B46" s="9" t="s">
        <v>1237</v>
      </c>
      <c r="C46" s="9">
        <v>5</v>
      </c>
      <c r="D46" s="9">
        <v>3</v>
      </c>
      <c r="E46" s="9" t="s">
        <v>728</v>
      </c>
      <c r="F46" s="9" t="s">
        <v>749</v>
      </c>
      <c r="G46" s="9" t="s">
        <v>761</v>
      </c>
      <c r="H46" s="3" t="str">
        <f>IF('Pack BB2020'!$J$24="Español",T46,(IF('Pack BB2020'!$J$24="Deutsch",U46,(IF('Pack BB2020'!$J$24="Français",V46,S46)))))</f>
        <v>Placar, Esquivar, Solitario (3+), Nervios de acero, Humanoide bala, Escurridizo</v>
      </c>
      <c r="I46" s="3" t="str">
        <f>IF('Pack BB2020'!$J$24="Español",N46,(IF('Pack BB2020'!$J$24="Deutsch",O46,(IF('Pack BB2020'!$J$24="Italiano",Q46,(IF('Pack BB2020'!$J$24="Français",P46,M46)))))))</f>
        <v>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v>
      </c>
      <c r="J46" s="16">
        <v>120000</v>
      </c>
      <c r="K46" s="1">
        <f t="shared" si="0"/>
        <v>1</v>
      </c>
      <c r="L46" s="4"/>
      <c r="M46" s="20" t="s">
        <v>1238</v>
      </c>
      <c r="N46" s="20" t="s">
        <v>1271</v>
      </c>
      <c r="O46" s="19" t="s">
        <v>1272</v>
      </c>
      <c r="P46" s="19" t="s">
        <v>1273</v>
      </c>
      <c r="Q46" s="19" t="s">
        <v>1274</v>
      </c>
      <c r="R46" s="19"/>
      <c r="S46" s="19" t="s">
        <v>1239</v>
      </c>
      <c r="T46" s="19" t="s">
        <v>1275</v>
      </c>
      <c r="U46" s="15" t="s">
        <v>1276</v>
      </c>
      <c r="V46" s="15" t="s">
        <v>1277</v>
      </c>
      <c r="W46" s="19"/>
    </row>
    <row r="47" spans="1:30" ht="12.75" customHeight="1" x14ac:dyDescent="0.2">
      <c r="A47" s="9" t="s">
        <v>1240</v>
      </c>
      <c r="B47" s="9" t="s">
        <v>1241</v>
      </c>
      <c r="C47" s="9">
        <v>5</v>
      </c>
      <c r="D47" s="9">
        <v>2</v>
      </c>
      <c r="E47" s="9" t="s">
        <v>728</v>
      </c>
      <c r="F47" s="9" t="s">
        <v>728</v>
      </c>
      <c r="G47" s="9" t="s">
        <v>761</v>
      </c>
      <c r="H47" s="3" t="str">
        <f>IF('Pack BB2020'!$J$24="Español",T47,(IF('Pack BB2020'!$J$24="Deutsch",U47,(IF('Pack BB2020'!$J$24="Français",V47,S47)))))</f>
        <v>Precisión, Bombardero, Esquivar, Solitario (4+), Arma secreta, Escurridizo</v>
      </c>
      <c r="I47" s="3" t="str">
        <f>IF('Pack BB2020'!$J$24="Español",N47,(IF('Pack BB2020'!$J$24="Deutsch",O47,(IF('Pack BB2020'!$J$24="Italiano",Q47,(IF('Pack BB2020'!$J$24="Français",P47,M47)))))))</f>
        <v>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v>
      </c>
      <c r="J47" s="16">
        <v>50000</v>
      </c>
      <c r="K47" s="1">
        <f t="shared" si="0"/>
        <v>1</v>
      </c>
      <c r="L47" s="4"/>
      <c r="M47" s="20" t="s">
        <v>1242</v>
      </c>
      <c r="N47" s="20" t="s">
        <v>1278</v>
      </c>
      <c r="O47" s="19" t="s">
        <v>1279</v>
      </c>
      <c r="P47" s="19" t="s">
        <v>1280</v>
      </c>
      <c r="Q47" s="19" t="s">
        <v>1281</v>
      </c>
      <c r="R47" s="19"/>
      <c r="S47" s="19" t="s">
        <v>1243</v>
      </c>
      <c r="T47" s="19" t="s">
        <v>1282</v>
      </c>
      <c r="U47" s="15" t="s">
        <v>1283</v>
      </c>
      <c r="V47" s="15" t="s">
        <v>1284</v>
      </c>
      <c r="W47" s="19"/>
    </row>
    <row r="48" spans="1:30" ht="12.75" customHeight="1" x14ac:dyDescent="0.2">
      <c r="A48" s="9" t="s">
        <v>1244</v>
      </c>
      <c r="B48" s="9" t="s">
        <v>1245</v>
      </c>
      <c r="C48" s="9">
        <v>8</v>
      </c>
      <c r="D48" s="9">
        <v>2</v>
      </c>
      <c r="E48" s="9" t="s">
        <v>728</v>
      </c>
      <c r="F48" s="9">
        <v>4</v>
      </c>
      <c r="G48" s="9" t="s">
        <v>790</v>
      </c>
      <c r="H48" s="3" t="str">
        <f>IF('Pack BB2020'!$J$24="Español",T48,(IF('Pack BB2020'!$J$24="Deutsch",U48,(IF('Pack BB2020'!$J$24="Français",V48,S48)))))</f>
        <v>Juego sucio (+1), Esquivar, Solitario (4+), Echarse a un lado, Furtivo, Escurridizo</v>
      </c>
      <c r="I48" s="3" t="str">
        <f>IF('Pack BB2020'!$J$24="Español",N48,(IF('Pack BB2020'!$J$24="Deutsch",O48,(IF('Pack BB2020'!$J$24="Italiano",Q48,(IF('Pack BB2020'!$J$24="Français",P48,M48)))))))</f>
        <v>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v>
      </c>
      <c r="J48" s="16">
        <v>190000</v>
      </c>
      <c r="K48" s="1">
        <f t="shared" si="0"/>
        <v>0</v>
      </c>
      <c r="L48" s="4"/>
      <c r="M48" s="20" t="s">
        <v>1246</v>
      </c>
      <c r="N48" s="20" t="s">
        <v>1285</v>
      </c>
      <c r="O48" s="19" t="s">
        <v>1286</v>
      </c>
      <c r="P48" s="19" t="s">
        <v>1287</v>
      </c>
      <c r="Q48" s="19" t="s">
        <v>1288</v>
      </c>
      <c r="R48" s="19"/>
      <c r="S48" s="19" t="s">
        <v>1247</v>
      </c>
      <c r="T48" s="19" t="s">
        <v>1289</v>
      </c>
      <c r="U48" s="15" t="s">
        <v>1290</v>
      </c>
      <c r="V48" s="15" t="s">
        <v>1291</v>
      </c>
      <c r="W48" s="19"/>
    </row>
    <row r="49" spans="1:61" ht="12.75" customHeight="1" x14ac:dyDescent="0.2">
      <c r="A49" s="9" t="s">
        <v>1248</v>
      </c>
      <c r="B49" s="9" t="s">
        <v>1249</v>
      </c>
      <c r="C49" s="9">
        <v>8</v>
      </c>
      <c r="D49" s="9">
        <v>2</v>
      </c>
      <c r="E49" s="9" t="s">
        <v>728</v>
      </c>
      <c r="F49" s="9" t="s">
        <v>749</v>
      </c>
      <c r="G49" s="9" t="s">
        <v>790</v>
      </c>
      <c r="H49" s="3" t="str">
        <f>IF('Pack BB2020'!$J$24="Español",T49,(IF('Pack BB2020'!$J$24="Deutsch",U49,(IF('Pack BB2020'!$J$24="Français",V49,S49)))))</f>
        <v>Esquivar, Solitario (4+), Echarse a un lado, Apuñalar, Escurridizo</v>
      </c>
      <c r="I49" s="3" t="str">
        <f>IF('Pack BB2020'!$J$24="Español",N49,(IF('Pack BB2020'!$J$24="Deutsch",O49,(IF('Pack BB2020'!$J$24="Italiano",Q49,(IF('Pack BB2020'!$J$24="Français",P49,M49)))))))</f>
        <v>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v>
      </c>
      <c r="J49" s="16">
        <v>0</v>
      </c>
      <c r="K49" s="1">
        <f t="shared" si="0"/>
        <v>0</v>
      </c>
      <c r="L49" s="4"/>
      <c r="M49" s="20" t="s">
        <v>1246</v>
      </c>
      <c r="N49" s="20" t="s">
        <v>1285</v>
      </c>
      <c r="O49" s="19" t="s">
        <v>1286</v>
      </c>
      <c r="P49" s="19" t="s">
        <v>1287</v>
      </c>
      <c r="Q49" s="19" t="s">
        <v>1288</v>
      </c>
      <c r="R49" s="19"/>
      <c r="S49" s="19" t="s">
        <v>1250</v>
      </c>
      <c r="T49" s="19" t="s">
        <v>1292</v>
      </c>
      <c r="U49" s="15" t="s">
        <v>1293</v>
      </c>
      <c r="V49" s="15" t="s">
        <v>1294</v>
      </c>
      <c r="W49" s="19"/>
    </row>
    <row r="50" spans="1:61" ht="12.75" customHeight="1" x14ac:dyDescent="0.2">
      <c r="A50" s="9" t="s">
        <v>1251</v>
      </c>
      <c r="B50" s="9" t="s">
        <v>1252</v>
      </c>
      <c r="C50" s="9">
        <v>4</v>
      </c>
      <c r="D50" s="9">
        <v>5</v>
      </c>
      <c r="E50" s="9" t="s">
        <v>749</v>
      </c>
      <c r="F50" s="9" t="s">
        <v>717</v>
      </c>
      <c r="G50" s="9" t="s">
        <v>750</v>
      </c>
      <c r="H50" s="3" t="str">
        <f>IF('Pack BB2020'!$J$24="Español",T50,(IF('Pack BB2020'!$J$24="Deutsch",U50,(IF('Pack BB2020'!$J$24="Français",V50,S50)))))</f>
        <v>Juego sucio (+1), Presencia perturbadora, Apariencia asquerosa, Solitario (4+)</v>
      </c>
      <c r="I50" s="3" t="str">
        <f>IF('Pack BB2020'!$J$24="Español",N50,(IF('Pack BB2020'!$J$24="Deutsch",O50,(IF('Pack BB2020'!$J$24="Italiano",Q50,(IF('Pack BB2020'!$J$24="Français",P50,M50)))))))</f>
        <v>Regurgitación pútrida: Una vez por partida, Bilerot puede usar la acción especial Vómito Proyectil. Puede usarse incluso si Bilerot ya ha realizado una acción de bloqueo este turno.</v>
      </c>
      <c r="J50" s="16">
        <v>180000</v>
      </c>
      <c r="K50" s="1">
        <f t="shared" si="0"/>
        <v>0</v>
      </c>
      <c r="L50" s="4"/>
      <c r="M50" s="20" t="s">
        <v>1253</v>
      </c>
      <c r="N50" s="20" t="s">
        <v>1295</v>
      </c>
      <c r="O50" s="19" t="s">
        <v>1296</v>
      </c>
      <c r="P50" s="19" t="s">
        <v>1297</v>
      </c>
      <c r="Q50" s="19" t="s">
        <v>1298</v>
      </c>
      <c r="R50" s="19"/>
      <c r="S50" s="19" t="s">
        <v>1254</v>
      </c>
      <c r="T50" s="19" t="s">
        <v>1299</v>
      </c>
      <c r="U50" s="15" t="s">
        <v>1300</v>
      </c>
      <c r="V50" s="15" t="s">
        <v>1301</v>
      </c>
      <c r="W50" s="19"/>
    </row>
    <row r="51" spans="1:61" ht="12.75" customHeight="1" x14ac:dyDescent="0.2">
      <c r="A51" s="9" t="s">
        <v>1255</v>
      </c>
      <c r="B51" s="9" t="s">
        <v>1256</v>
      </c>
      <c r="C51" s="9">
        <v>4</v>
      </c>
      <c r="D51" s="9">
        <v>6</v>
      </c>
      <c r="E51" s="9" t="s">
        <v>768</v>
      </c>
      <c r="F51" s="9" t="s">
        <v>749</v>
      </c>
      <c r="G51" s="9" t="s">
        <v>750</v>
      </c>
      <c r="H51" s="3" t="str">
        <f>IF('Pack BB2020'!$J$24="Español",T51,(IF('Pack BB2020'!$J$24="Deutsch",U51,(IF('Pack BB2020'!$J$24="Français",V51,S51)))))</f>
        <v>Apartar, Solitario (4+), Golpe mortífero (+1), Regeneración, Lanzar compañero</v>
      </c>
      <c r="I51" s="3" t="str">
        <f>IF('Pack BB2020'!$J$24="Español",N51,(IF('Pack BB2020'!$J$24="Deutsch",O51,(IF('Pack BB2020'!$J$24="Italiano",Q51,(IF('Pack BB2020'!$J$24="Français",P51,M51)))))))</f>
        <v>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v>
      </c>
      <c r="J51" s="16">
        <v>250000</v>
      </c>
      <c r="K51" s="1">
        <f t="shared" si="0"/>
        <v>0</v>
      </c>
      <c r="L51" s="4"/>
      <c r="M51" s="20" t="s">
        <v>1257</v>
      </c>
      <c r="N51" s="20" t="s">
        <v>1302</v>
      </c>
      <c r="O51" s="19" t="s">
        <v>1303</v>
      </c>
      <c r="P51" s="19" t="s">
        <v>1304</v>
      </c>
      <c r="Q51" s="19" t="s">
        <v>1305</v>
      </c>
      <c r="R51" s="19"/>
      <c r="S51" s="19" t="s">
        <v>1258</v>
      </c>
      <c r="T51" s="19" t="s">
        <v>1306</v>
      </c>
      <c r="U51" s="15" t="s">
        <v>1307</v>
      </c>
      <c r="V51" s="15" t="s">
        <v>1308</v>
      </c>
      <c r="W51" s="19"/>
    </row>
    <row r="52" spans="1:61" ht="12.75" customHeight="1" x14ac:dyDescent="0.2">
      <c r="A52" s="9" t="s">
        <v>1259</v>
      </c>
      <c r="B52" s="9" t="s">
        <v>1260</v>
      </c>
      <c r="C52" s="9">
        <v>6</v>
      </c>
      <c r="D52" s="9">
        <v>2</v>
      </c>
      <c r="E52" s="9" t="s">
        <v>728</v>
      </c>
      <c r="F52" s="9" t="s">
        <v>223</v>
      </c>
      <c r="G52" s="9" t="s">
        <v>790</v>
      </c>
      <c r="H52" s="3" t="str">
        <f>IF('Pack BB2020'!$J$24="Español",T52,(IF('Pack BB2020'!$J$24="Deutsch",U52,(IF('Pack BB2020'!$J$24="Français",V52,S52)))))</f>
        <v>Placar, Sierra mecánica, Esquivar, Solitario (4+), Arma secreta, Escurridizo</v>
      </c>
      <c r="I52" s="3" t="str">
        <f>IF('Pack BB2020'!$J$24="Español",N52,(IF('Pack BB2020'!$J$24="Deutsch",O52,(IF('Pack BB2020'!$J$24="Italiano",Q52,(IF('Pack BB2020'!$J$24="Français",P52,M52)))))))</f>
        <v>¡Patéalos mientras están en el suelo!: Una vez por partida, Nobbla puede usar la acción especial Ataque con Motosierra contra un jugador contrario que esté Tumbado o Aturdido. Esto no cuenta como una acción de falta, por lo que Nobbla no puede ser expulsado al usar esta habilidad.</v>
      </c>
      <c r="J52" s="16">
        <v>120000</v>
      </c>
      <c r="K52" s="1">
        <f t="shared" si="0"/>
        <v>0</v>
      </c>
      <c r="L52" s="4"/>
      <c r="M52" s="20" t="s">
        <v>1261</v>
      </c>
      <c r="N52" s="20" t="s">
        <v>1309</v>
      </c>
      <c r="O52" s="19" t="s">
        <v>1310</v>
      </c>
      <c r="P52" s="19" t="s">
        <v>1311</v>
      </c>
      <c r="Q52" s="19" t="s">
        <v>1312</v>
      </c>
      <c r="R52" s="19"/>
      <c r="S52" s="19" t="s">
        <v>1262</v>
      </c>
      <c r="T52" s="19" t="s">
        <v>1313</v>
      </c>
      <c r="U52" s="15" t="s">
        <v>1314</v>
      </c>
      <c r="V52" s="15" t="s">
        <v>1315</v>
      </c>
      <c r="W52" s="19"/>
    </row>
    <row r="53" spans="1:61" ht="12.75" customHeight="1" x14ac:dyDescent="0.2">
      <c r="A53" s="9" t="s">
        <v>1263</v>
      </c>
      <c r="B53" s="9" t="s">
        <v>1264</v>
      </c>
      <c r="C53" s="9">
        <v>7</v>
      </c>
      <c r="D53" s="9">
        <v>2</v>
      </c>
      <c r="E53" s="9" t="s">
        <v>728</v>
      </c>
      <c r="F53" s="9" t="s">
        <v>768</v>
      </c>
      <c r="G53" s="9" t="s">
        <v>790</v>
      </c>
      <c r="H53" s="3" t="str">
        <f>IF('Pack BB2020'!$J$24="Español",T53,(IF('Pack BB2020'!$J$24="Deutsch",U53,(IF('Pack BB2020'!$J$24="Français",V53,S53)))))</f>
        <v>Juego sucio (+1), Esquivar, Solitario (4+), Pogo, Humanoide bala, Carrera, Escurridizo, Pies firmes</v>
      </c>
      <c r="I53" s="3" t="str">
        <f>IF('Pack BB2020'!$J$24="Español",N53,(IF('Pack BB2020'!$J$24="Deutsch",O53,(IF('Pack BB2020'!$J$24="Italiano",Q53,(IF('Pack BB2020'!$J$24="Français",P53,M53)))))))</f>
        <v>¡Yoink!: Una vez por partida, cuando Scrappa intenta interferir en una acción de pase, puede tirar un D6. Con un 2+, Scrappa no necesita tirar para interferir en la acción de pase, sino que automáticamente hace una intercepción y gana el control del balón.</v>
      </c>
      <c r="J53" s="16">
        <v>130000</v>
      </c>
      <c r="K53" s="1">
        <f t="shared" si="0"/>
        <v>0</v>
      </c>
      <c r="L53" s="4"/>
      <c r="M53" s="20" t="s">
        <v>1265</v>
      </c>
      <c r="N53" s="20" t="s">
        <v>1316</v>
      </c>
      <c r="O53" s="19" t="s">
        <v>1317</v>
      </c>
      <c r="P53" s="19" t="s">
        <v>1318</v>
      </c>
      <c r="Q53" s="19" t="s">
        <v>1319</v>
      </c>
      <c r="R53" s="19"/>
      <c r="S53" s="19" t="s">
        <v>1266</v>
      </c>
      <c r="T53" s="19" t="s">
        <v>1320</v>
      </c>
      <c r="U53" s="15" t="s">
        <v>1321</v>
      </c>
      <c r="V53" s="15" t="s">
        <v>1322</v>
      </c>
      <c r="W53" s="19"/>
    </row>
    <row r="54" spans="1:61" ht="12.75" customHeight="1" x14ac:dyDescent="0.2">
      <c r="A54" s="9" t="s">
        <v>1267</v>
      </c>
      <c r="B54" s="9" t="s">
        <v>1268</v>
      </c>
      <c r="C54" s="9">
        <v>6</v>
      </c>
      <c r="D54" s="9">
        <v>3</v>
      </c>
      <c r="E54" s="9" t="s">
        <v>749</v>
      </c>
      <c r="F54" s="9" t="s">
        <v>749</v>
      </c>
      <c r="G54" s="9" t="s">
        <v>729</v>
      </c>
      <c r="H54" s="3" t="str">
        <f>IF('Pack BB2020'!$J$24="Español",T54,(IF('Pack BB2020'!$J$24="Deutsch",U54,(IF('Pack BB2020'!$J$24="Français",V54,S54)))))</f>
        <v>Solitario (4+), Cola prensil, Placaje defensivo, Tentáculos, Dos cabezas, Forcejeo</v>
      </c>
      <c r="I54" s="3" t="str">
        <f>IF('Pack BB2020'!$J$24="Español",N54,(IF('Pack BB2020'!$J$24="Deutsch",O54,(IF('Pack BB2020'!$J$24="Italiano",Q54,(IF('Pack BB2020'!$J$24="Français",P54,M54)))))))</f>
        <v>¡Cuidado!: La primera vez en cada mitad que Withegrasp sea el objetivo de una acción de Bloqueo de un jugador contrario, cuenta como si tuviera la habilidad de Esquivar.</v>
      </c>
      <c r="J54" s="16">
        <v>170000</v>
      </c>
      <c r="K54" s="1">
        <f t="shared" si="0"/>
        <v>0</v>
      </c>
      <c r="L54" s="4"/>
      <c r="M54" s="20" t="s">
        <v>1269</v>
      </c>
      <c r="N54" s="20" t="s">
        <v>1323</v>
      </c>
      <c r="O54" s="19" t="s">
        <v>1324</v>
      </c>
      <c r="P54" s="19" t="s">
        <v>1325</v>
      </c>
      <c r="Q54" s="19" t="s">
        <v>1326</v>
      </c>
      <c r="R54" s="19"/>
      <c r="S54" s="19" t="s">
        <v>1270</v>
      </c>
      <c r="T54" s="19" t="s">
        <v>1327</v>
      </c>
      <c r="U54" s="15" t="s">
        <v>1328</v>
      </c>
      <c r="V54" s="15" t="s">
        <v>1329</v>
      </c>
      <c r="W54" s="19"/>
    </row>
    <row r="55" spans="1:61" ht="12.75" customHeight="1" x14ac:dyDescent="0.2">
      <c r="A55" s="9" t="s">
        <v>1350</v>
      </c>
      <c r="B55" s="9" t="s">
        <v>1351</v>
      </c>
      <c r="C55" s="9">
        <v>6</v>
      </c>
      <c r="D55" s="9">
        <v>5</v>
      </c>
      <c r="E55" s="9" t="s">
        <v>716</v>
      </c>
      <c r="F55" s="9" t="s">
        <v>728</v>
      </c>
      <c r="G55" s="9" t="s">
        <v>750</v>
      </c>
      <c r="H55" s="3" t="str">
        <f>IF('Pack BB2020'!$J$24="Español",T55,(IF('Pack BB2020'!$J$24="Deutsch",U55,(IF('Pack BB2020'!$J$24="Français",V55,S55)))))</f>
        <v>Placar, Echarse a un lado, Mirada hipnótica, Regeneración, Solitario (4+)</v>
      </c>
      <c r="I55" s="3" t="str">
        <f>IF('Pack BB2020'!$J$24="Español",N55,(IF('Pack BB2020'!$J$24="Deutsch",O55,(IF('Pack BB2020'!$J$24="Italiano",Q55,(IF('Pack BB2020'!$J$24="Français",P55,M55)))))))</f>
        <v>Estrella del Show: Una vez por partido, cuando el Count Luthor anote un Touchdown, su entrenador puede ganar una Reroll de Equipo, si no se usa en la siguiente entrada, se pierde.</v>
      </c>
      <c r="J55" s="16">
        <v>340000</v>
      </c>
      <c r="K55" s="1">
        <f t="shared" si="0"/>
        <v>0</v>
      </c>
      <c r="L55" s="4"/>
      <c r="M55" s="20" t="s">
        <v>1352</v>
      </c>
      <c r="N55" s="20" t="s">
        <v>1356</v>
      </c>
      <c r="O55" s="19" t="s">
        <v>1353</v>
      </c>
      <c r="P55" s="19" t="s">
        <v>1354</v>
      </c>
      <c r="Q55" s="19" t="s">
        <v>1355</v>
      </c>
      <c r="R55" s="19"/>
      <c r="S55" s="19" t="s">
        <v>1358</v>
      </c>
      <c r="T55" s="19" t="s">
        <v>1357</v>
      </c>
      <c r="U55" s="19" t="s">
        <v>1359</v>
      </c>
      <c r="V55" s="19" t="s">
        <v>1360</v>
      </c>
      <c r="W55" s="19"/>
    </row>
    <row r="56" spans="1:61" ht="12.75" customHeight="1" x14ac:dyDescent="0.2">
      <c r="A56" s="9" t="s">
        <v>1361</v>
      </c>
      <c r="B56" s="26" t="s">
        <v>1362</v>
      </c>
      <c r="C56" s="9">
        <v>7</v>
      </c>
      <c r="D56" s="9">
        <v>4</v>
      </c>
      <c r="E56" s="9" t="s">
        <v>716</v>
      </c>
      <c r="F56" s="9" t="s">
        <v>749</v>
      </c>
      <c r="G56" s="9" t="s">
        <v>729</v>
      </c>
      <c r="H56" s="3" t="str">
        <f>IF('Pack BB2020'!$J$24="Español",T56,(IF('Pack BB2020'!$J$24="Deutsch",U56,(IF('Pack BB2020'!$J$24="Français",V56,S56)))))</f>
        <v>Esquivar, En pie de un salto, Sed de sangre (2+), Mirada hipnótica, Regeneración, Solitario (4+)</v>
      </c>
      <c r="I56" s="3" t="str">
        <f>IF('Pack BB2020'!$J$24="Español",N56,(IF('Pack BB2020'!$J$24="Deutsch",O56,(IF('Pack BB2020'!$J$24="Italiano",Q56,(IF('Pack BB2020'!$J$24="Français",P56,M56)))))))</f>
        <v>Bocadito Sabroso: Una vez por partido, cuando Karina falle una tirada de Sed de Sangre, puede elegir morder a un jugador oponente con Fuerza 3 o inferior como si fuera un Siervo de su propio equipo. Karina no puede morder a un Jugador Estrella.</v>
      </c>
      <c r="J56" s="16">
        <v>230000</v>
      </c>
      <c r="K56" s="1">
        <f t="shared" si="0"/>
        <v>0</v>
      </c>
      <c r="L56" s="4"/>
      <c r="M56" s="20" t="s">
        <v>1363</v>
      </c>
      <c r="N56" s="20" t="s">
        <v>1365</v>
      </c>
      <c r="O56" s="19" t="s">
        <v>1368</v>
      </c>
      <c r="P56" s="19" t="s">
        <v>1369</v>
      </c>
      <c r="Q56" s="19" t="s">
        <v>1367</v>
      </c>
      <c r="R56" s="19"/>
      <c r="S56" s="19" t="s">
        <v>1364</v>
      </c>
      <c r="T56" s="19" t="s">
        <v>1366</v>
      </c>
      <c r="U56" s="15" t="s">
        <v>1403</v>
      </c>
      <c r="V56" s="15" t="s">
        <v>1404</v>
      </c>
      <c r="W56" s="19"/>
    </row>
    <row r="57" spans="1:61" ht="12.75" customHeight="1" x14ac:dyDescent="0.2">
      <c r="A57" s="9" t="s">
        <v>1406</v>
      </c>
      <c r="B57" s="9" t="s">
        <v>1407</v>
      </c>
      <c r="C57" s="9">
        <v>6</v>
      </c>
      <c r="D57" s="9">
        <v>4</v>
      </c>
      <c r="E57" s="9" t="s">
        <v>749</v>
      </c>
      <c r="F57" s="9" t="s">
        <v>768</v>
      </c>
      <c r="G57" s="9" t="s">
        <v>729</v>
      </c>
      <c r="H57" s="3" t="str">
        <f>IF('Pack BB2020'!$J$24="Español",T57,(IF('Pack BB2020'!$J$24="Deutsch",U57,(IF('Pack BB2020'!$J$24="Français",V57,S57)))))</f>
        <v>Placar, Presencia perturbadora, Imparable, Regeneración, Robar balón, Placaje defensivo, Solitario (4+)</v>
      </c>
      <c r="I57" s="3" t="str">
        <f>IF('Pack BB2020'!$J$24="Español",N57,(IF('Pack BB2020'!$J$24="Deutsch",O57,(IF('Pack BB2020'!$J$24="Italiano",Q57,(IF('Pack BB2020'!$J$24="Français",P57,M57)))))))</f>
        <v>Azote de los enanos: Una vez por partido, cuando un oponente es derribado por un Placaje o Blitz de Ivan, puedes aplicar un +1 a la tirada de armadura o heridas, si el jugador derribado es un jugador enano de cualquier equipo, aplica en su lugar un +2.</v>
      </c>
      <c r="J57" s="16">
        <v>190000</v>
      </c>
      <c r="K57" s="1">
        <f t="shared" si="0"/>
        <v>0</v>
      </c>
      <c r="L57" s="4"/>
      <c r="M57" s="20" t="s">
        <v>1408</v>
      </c>
      <c r="N57" s="20" t="s">
        <v>1409</v>
      </c>
      <c r="O57" s="19" t="s">
        <v>1411</v>
      </c>
      <c r="P57" s="19" t="s">
        <v>1412</v>
      </c>
      <c r="Q57" s="19" t="s">
        <v>1410</v>
      </c>
      <c r="R57" s="19"/>
      <c r="S57" s="19" t="s">
        <v>1413</v>
      </c>
      <c r="T57" s="19" t="s">
        <v>1414</v>
      </c>
      <c r="U57" s="15" t="s">
        <v>1415</v>
      </c>
      <c r="V57" s="15" t="s">
        <v>1416</v>
      </c>
      <c r="W57" s="19"/>
    </row>
    <row r="58" spans="1:61" ht="12.75" customHeight="1" x14ac:dyDescent="0.2">
      <c r="A58" s="9" t="s">
        <v>1421</v>
      </c>
      <c r="B58" s="9" t="s">
        <v>1420</v>
      </c>
      <c r="C58" s="9">
        <v>9</v>
      </c>
      <c r="D58" s="9">
        <v>2</v>
      </c>
      <c r="E58" s="9" t="s">
        <v>716</v>
      </c>
      <c r="F58" s="9" t="s">
        <v>749</v>
      </c>
      <c r="G58" s="9" t="s">
        <v>790</v>
      </c>
      <c r="H58" s="3" t="str">
        <f>IF('Pack BB2020'!$J$24="Español",T58,(IF('Pack BB2020'!$J$24="Deutsch",U58,(IF('Pack BB2020'!$J$24="Français",V58,S58)))))</f>
        <v>Esquivar, Solitario (4+), Cola prensil, Perseguir, Apuñalar</v>
      </c>
      <c r="I58" s="3" t="str">
        <f>IF('Pack BB2020'!$J$24="Español",N58,(IF('Pack BB2020'!$J$24="Deutsch",O58,(IF('Pack BB2020'!$J$24="Italiano",Q58,(IF('Pack BB2020'!$J$24="Français",P58,M58)))))))</f>
        <v>Maestro asesino: Una ver por partido, cuando Skitter supera la tirada de armadura de un rival como resultado de una acción especial de Apuñalar, puede elegir repetir la tirada de Herida.</v>
      </c>
      <c r="J58" s="16">
        <v>150000</v>
      </c>
      <c r="K58" s="1">
        <f t="shared" si="0"/>
        <v>0</v>
      </c>
      <c r="L58" s="4"/>
      <c r="M58" s="20" t="s">
        <v>1422</v>
      </c>
      <c r="N58" s="20" t="s">
        <v>1423</v>
      </c>
      <c r="O58" s="19" t="s">
        <v>1424</v>
      </c>
      <c r="P58" s="19" t="s">
        <v>1425</v>
      </c>
      <c r="Q58" s="19" t="s">
        <v>1426</v>
      </c>
      <c r="R58" s="19"/>
      <c r="S58" s="19" t="s">
        <v>1427</v>
      </c>
      <c r="T58" s="19" t="s">
        <v>1428</v>
      </c>
      <c r="U58" s="15" t="s">
        <v>1429</v>
      </c>
      <c r="V58" s="15" t="s">
        <v>1430</v>
      </c>
      <c r="W58" s="19"/>
    </row>
    <row r="59" spans="1:61" ht="12.75" customHeight="1" x14ac:dyDescent="0.2">
      <c r="A59" s="9" t="s">
        <v>1452</v>
      </c>
      <c r="B59" s="9" t="s">
        <v>1453</v>
      </c>
      <c r="C59" s="9">
        <v>6</v>
      </c>
      <c r="D59" s="9">
        <v>2</v>
      </c>
      <c r="E59" s="9" t="s">
        <v>728</v>
      </c>
      <c r="F59" s="9" t="s">
        <v>749</v>
      </c>
      <c r="G59" s="9" t="s">
        <v>761</v>
      </c>
      <c r="H59" s="3" t="str">
        <f>IF('Pack BB2020'!$J$24="Español",T59,(IF('Pack BB2020'!$J$24="Deutsch",U59,(IF('Pack BB2020'!$J$24="Français",V59,S59)))))</f>
        <v>Atrapar, Recepción heroica, En pie de un salto, Solitario (4+), On the Ball, Echarse a un lado, Escurridizo, Forcejeo</v>
      </c>
      <c r="I59" s="3" t="str">
        <f>IF('Pack BB2020'!$J$24="Español",N59,(IF('Pack BB2020'!$J$24="Deutsch",O59,(IF('Pack BB2020'!$J$24="Italiano",Q59,(IF('Pack BB2020'!$J$24="Français",P59,M59)))))))</f>
        <v>Captura del día: Una vez por mitad, si Rodney está de pie y comienza su activación a menos de 3 casillas de un balón que está en el suelo, puede tirar un D6. Con un 1-2, no pasa nada. Con un 3+, Rodney obtiene inmediatamente la posesión del balón.</v>
      </c>
      <c r="J59" s="16">
        <v>70000</v>
      </c>
      <c r="K59" s="1">
        <f t="shared" si="0"/>
        <v>0</v>
      </c>
      <c r="L59" s="4"/>
      <c r="M59" s="20" t="s">
        <v>1454</v>
      </c>
      <c r="N59" s="20" t="s">
        <v>1455</v>
      </c>
      <c r="O59" s="19" t="s">
        <v>1456</v>
      </c>
      <c r="P59" s="19" t="s">
        <v>1457</v>
      </c>
      <c r="Q59" s="19" t="s">
        <v>1458</v>
      </c>
      <c r="R59" s="19"/>
      <c r="S59" s="19" t="s">
        <v>1459</v>
      </c>
      <c r="T59" s="19" t="s">
        <v>1460</v>
      </c>
      <c r="U59" s="15" t="s">
        <v>1461</v>
      </c>
      <c r="V59" s="15" t="s">
        <v>1462</v>
      </c>
    </row>
    <row r="60" spans="1:61" ht="12.75" customHeight="1" x14ac:dyDescent="0.2">
      <c r="A60" s="9" t="s">
        <v>1463</v>
      </c>
      <c r="B60" s="9" t="s">
        <v>1464</v>
      </c>
      <c r="C60" s="9">
        <v>6</v>
      </c>
      <c r="D60" s="9">
        <v>3</v>
      </c>
      <c r="E60" s="9" t="s">
        <v>728</v>
      </c>
      <c r="F60" s="9" t="s">
        <v>749</v>
      </c>
      <c r="G60" s="9" t="s">
        <v>790</v>
      </c>
      <c r="H60" s="3" t="str">
        <f>IF('Pack BB2020'!$J$24="Español",T60,(IF('Pack BB2020'!$J$24="Deutsch",U60,(IF('Pack BB2020'!$J$24="Français",V60,S60)))))</f>
        <v>Esquivar, Pase precipitado, Defensa, Cuernos, En pie de un salto, Saltar, Solitario (4+)</v>
      </c>
      <c r="I60" s="3" t="str">
        <f>IF('Pack BB2020'!$J$24="Español",N60,(IF('Pack BB2020'!$J$24="Deutsch",O60,(IF('Pack BB2020'!$J$24="Italiano",Q60,(IF('Pack BB2020'!$J$24="Français",P60,M60)))))))</f>
        <v>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v>
      </c>
      <c r="J60" s="16">
        <v>160000</v>
      </c>
      <c r="K60" s="1">
        <f t="shared" si="0"/>
        <v>0</v>
      </c>
      <c r="L60" s="4"/>
      <c r="M60" s="20" t="s">
        <v>1465</v>
      </c>
      <c r="N60" s="20" t="s">
        <v>1466</v>
      </c>
      <c r="O60" s="19" t="s">
        <v>1467</v>
      </c>
      <c r="P60" s="19" t="s">
        <v>1468</v>
      </c>
      <c r="Q60" s="19" t="s">
        <v>1469</v>
      </c>
      <c r="R60" s="19"/>
      <c r="S60" s="19" t="s">
        <v>1470</v>
      </c>
      <c r="T60" s="19" t="s">
        <v>1471</v>
      </c>
      <c r="U60" s="15" t="s">
        <v>1472</v>
      </c>
      <c r="V60" s="15" t="s">
        <v>1473</v>
      </c>
      <c r="W60" s="19"/>
    </row>
    <row r="61" spans="1:61" ht="12.75" customHeight="1" x14ac:dyDescent="0.2">
      <c r="A61" s="9" t="s">
        <v>1509</v>
      </c>
      <c r="B61" s="9" t="s">
        <v>1512</v>
      </c>
      <c r="C61" s="9">
        <v>6</v>
      </c>
      <c r="D61" s="9">
        <v>6</v>
      </c>
      <c r="E61" s="9" t="s">
        <v>728</v>
      </c>
      <c r="F61" s="9" t="s">
        <v>749</v>
      </c>
      <c r="G61" s="9" t="s">
        <v>750</v>
      </c>
      <c r="H61" s="3" t="str">
        <f>IF('Pack BB2020'!$J$24="Español",T61,(IF('Pack BB2020'!$J$24="Deutsch",U61,(IF('Pack BB2020'!$J$24="Français",V61,S61)))))</f>
        <v>Placar, Abrirse paso, Romper defensas, Imparable, Solitario (4+), Carrera, Pies firmes, Cabeza dura</v>
      </c>
      <c r="I61" s="3" t="str">
        <f>IF('Pack BB2020'!$J$24="Español",N61,(IF('Pack BB2020'!$J$24="Deutsch",O61,(IF('Pack BB2020'!$J$24="Italiano",Q61,(IF('Pack BB2020'!$J$24="Français",P61,M61)))))))</f>
        <v>Momento imparable: Cuando H'Thark realice una acción de blitz, puede repetir un solo dado de placar.</v>
      </c>
      <c r="J61" s="16">
        <v>300000</v>
      </c>
      <c r="K61" s="1">
        <f t="shared" si="0"/>
        <v>0</v>
      </c>
      <c r="L61" s="4"/>
      <c r="M61" s="20" t="s">
        <v>1513</v>
      </c>
      <c r="N61" s="20" t="s">
        <v>1522</v>
      </c>
      <c r="O61" s="19" t="s">
        <v>1523</v>
      </c>
      <c r="P61" s="19" t="s">
        <v>1524</v>
      </c>
      <c r="Q61" s="19" t="s">
        <v>1525</v>
      </c>
      <c r="R61" s="19"/>
      <c r="S61" s="19" t="s">
        <v>1514</v>
      </c>
      <c r="T61" s="19" t="s">
        <v>1536</v>
      </c>
      <c r="U61" s="15" t="s">
        <v>1537</v>
      </c>
      <c r="V61" s="15" t="s">
        <v>1538</v>
      </c>
      <c r="W61" s="19" t="s">
        <v>1514</v>
      </c>
    </row>
    <row r="62" spans="1:61" ht="12.75" customHeight="1" x14ac:dyDescent="0.2">
      <c r="A62" s="9" t="s">
        <v>1510</v>
      </c>
      <c r="B62" s="9" t="s">
        <v>1515</v>
      </c>
      <c r="C62" s="9">
        <v>7</v>
      </c>
      <c r="D62" s="9">
        <v>3</v>
      </c>
      <c r="E62" s="9" t="s">
        <v>728</v>
      </c>
      <c r="F62" s="9" t="s">
        <v>768</v>
      </c>
      <c r="G62" s="9" t="s">
        <v>790</v>
      </c>
      <c r="H62" s="3" t="str">
        <f>IF('Pack BB2020'!$J$24="Español",T62,(IF('Pack BB2020'!$J$24="Deutsch",U62,(IF('Pack BB2020'!$J$24="Français",V62,S62)))))</f>
        <v>Solitario (4+), Perseguir, Echarse a un lado, Furtivo, Apuñalar</v>
      </c>
      <c r="I62" s="3" t="str">
        <f>IF('Pack BB2020'!$J$24="Español",N62,(IF('Pack BB2020'!$J$24="Deutsch",O62,(IF('Pack BB2020'!$J$24="Italiano",Q62,(IF('Pack BB2020'!$J$24="Français",P62,M62)))))))</f>
        <v>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v>
      </c>
      <c r="J62" s="16">
        <v>130000</v>
      </c>
      <c r="K62" s="1">
        <f t="shared" si="0"/>
        <v>0</v>
      </c>
      <c r="L62" s="4"/>
      <c r="M62" s="20" t="s">
        <v>1516</v>
      </c>
      <c r="N62" s="20" t="s">
        <v>1529</v>
      </c>
      <c r="O62" s="19" t="s">
        <v>1528</v>
      </c>
      <c r="P62" s="19" t="s">
        <v>1527</v>
      </c>
      <c r="Q62" s="19" t="s">
        <v>1526</v>
      </c>
      <c r="R62" s="19"/>
      <c r="S62" s="19" t="s">
        <v>1517</v>
      </c>
      <c r="T62" s="19" t="s">
        <v>1535</v>
      </c>
      <c r="U62" s="15" t="s">
        <v>1539</v>
      </c>
      <c r="V62" s="15" t="s">
        <v>1540</v>
      </c>
      <c r="W62" s="19" t="s">
        <v>1517</v>
      </c>
      <c r="BI62" s="23" t="s">
        <v>1509</v>
      </c>
    </row>
    <row r="63" spans="1:61" ht="12.75" customHeight="1" x14ac:dyDescent="0.2">
      <c r="A63" s="9" t="s">
        <v>1511</v>
      </c>
      <c r="B63" s="9" t="s">
        <v>1518</v>
      </c>
      <c r="C63" s="9">
        <v>4</v>
      </c>
      <c r="D63" s="9">
        <v>4</v>
      </c>
      <c r="E63" s="9" t="s">
        <v>749</v>
      </c>
      <c r="F63" s="9" t="s">
        <v>728</v>
      </c>
      <c r="G63" s="9" t="s">
        <v>750</v>
      </c>
      <c r="H63" s="3" t="str">
        <f>IF('Pack BB2020'!$J$24="Español",T63,(IF('Pack BB2020'!$J$24="Deutsch",U63,(IF('Pack BB2020'!$J$24="Français",V63,S63)))))</f>
        <v>Cañonero, Pase a lo loco, Solitario (4+), Nervios de acero, Arma secreta, Manos seguras, Cabeza dura</v>
      </c>
      <c r="I63" s="3" t="str">
        <f>IF('Pack BB2020'!$J$24="Español",N63,(IF('Pack BB2020'!$J$24="Deutsch",O63,(IF('Pack BB2020'!$J$24="Italiano",Q63,(IF('Pack BB2020'!$J$24="Français",P63,M63)))))))</f>
        <v>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v>
      </c>
      <c r="J63" s="16">
        <v>130000</v>
      </c>
      <c r="K63" s="1">
        <f t="shared" si="0"/>
        <v>0</v>
      </c>
      <c r="L63" s="4"/>
      <c r="M63" s="20" t="s">
        <v>1519</v>
      </c>
      <c r="N63" s="20" t="s">
        <v>1530</v>
      </c>
      <c r="O63" s="19" t="s">
        <v>1531</v>
      </c>
      <c r="P63" s="19" t="s">
        <v>1532</v>
      </c>
      <c r="Q63" s="19" t="s">
        <v>1533</v>
      </c>
      <c r="R63" s="19"/>
      <c r="S63" s="19" t="s">
        <v>1520</v>
      </c>
      <c r="T63" s="19" t="s">
        <v>1534</v>
      </c>
      <c r="U63" s="15" t="s">
        <v>1542</v>
      </c>
      <c r="V63" s="15" t="s">
        <v>1543</v>
      </c>
      <c r="W63" s="19" t="s">
        <v>1520</v>
      </c>
      <c r="BI63" s="23" t="s">
        <v>1546</v>
      </c>
    </row>
    <row r="64" spans="1:61" ht="12.75" customHeight="1" x14ac:dyDescent="0.2">
      <c r="A64" s="9" t="s">
        <v>1615</v>
      </c>
      <c r="B64" s="9" t="s">
        <v>1545</v>
      </c>
      <c r="C64" s="9">
        <v>4</v>
      </c>
      <c r="D64" s="9">
        <v>5</v>
      </c>
      <c r="E64" s="9" t="s">
        <v>749</v>
      </c>
      <c r="F64" s="9" t="s">
        <v>717</v>
      </c>
      <c r="G64" s="9" t="s">
        <v>750</v>
      </c>
      <c r="H64" s="3" t="str">
        <f>IF('Pack BB2020'!$J$24="Español",T64,(IF('Pack BB2020'!$J$24="Deutsch",U64,(IF('Pack BB2020'!$J$24="Français",V64,S64)))))</f>
        <v>Apariencia asquerosa, Solitario (4+), Boca monstruosa, Nervios de acero, Atento al balón, Descomposición</v>
      </c>
      <c r="I64" s="3" t="str">
        <f>IF('Pack BB2020'!$J$24="Español",N64,(IF('Pack BB2020'!$J$24="Deutsch",O64,(IF('Pack BB2020'!$J$24="Italiano",Q64,(IF('Pack BB2020'!$J$24="Français",P64,M64)))))))</f>
        <v>Mordisco rápido: Una vez por partido, si Guffle está marcando a un jugador contrario que atrapa el balón, puede hacer inmediatamente una tirada de Armadura sin modificadores, y la subsiguiente tirada de herida si es necesario, contra ese jugador. Si supera la armadura del objetivo, Guffle obtiene inmediatamente la posesión del balón. El uso de esta regla especial no provoca ninguna pérdida de turno.</v>
      </c>
      <c r="J64" s="16">
        <v>180000</v>
      </c>
      <c r="K64" s="1">
        <f t="shared" si="0"/>
        <v>0</v>
      </c>
      <c r="L64" s="4"/>
      <c r="M64" s="20" t="s">
        <v>1552</v>
      </c>
      <c r="N64" s="20" t="s">
        <v>1566</v>
      </c>
      <c r="O64" s="19" t="s">
        <v>1567</v>
      </c>
      <c r="P64" s="19" t="s">
        <v>1568</v>
      </c>
      <c r="Q64" s="19" t="s">
        <v>1569</v>
      </c>
      <c r="R64" s="19"/>
      <c r="S64" s="19" t="s">
        <v>1553</v>
      </c>
      <c r="T64" t="s">
        <v>1597</v>
      </c>
      <c r="U64" t="s">
        <v>1601</v>
      </c>
      <c r="V64" t="s">
        <v>1606</v>
      </c>
      <c r="BI64" s="23"/>
    </row>
    <row r="65" spans="1:74" ht="12.75" customHeight="1" x14ac:dyDescent="0.2">
      <c r="A65" s="9" t="s">
        <v>1616</v>
      </c>
      <c r="B65" s="9" t="s">
        <v>1546</v>
      </c>
      <c r="C65" s="9">
        <v>8</v>
      </c>
      <c r="D65" s="9">
        <v>3</v>
      </c>
      <c r="E65" s="9" t="s">
        <v>930</v>
      </c>
      <c r="F65" s="9" t="s">
        <v>716</v>
      </c>
      <c r="G65" s="9" t="s">
        <v>729</v>
      </c>
      <c r="H65" s="3" t="str">
        <f>IF('Pack BB2020'!$J$24="Español",T65,(IF('Pack BB2020'!$J$24="Deutsch",U65,(IF('Pack BB2020'!$J$24="Français",V65,S65)))))</f>
        <v>Placar, Recepción heroica, Esquivar, Pase precipitado, Solitario (4+), Nervios de acero, Atento al balón, Pasar, Echarse a un lado</v>
      </c>
      <c r="I65" s="3" t="str">
        <f>IF('Pack BB2020'!$J$24="Español",N65,(IF('Pack BB2020'!$J$24="Deutsch",O65,(IF('Pack BB2020'!$J$24="Italiano",Q65,(IF('Pack BB2020'!$J$24="Français",P65,M65)))))))</f>
        <v>La Hoja Destellante: Una vez por partida, al comienzo de su activación, Jeremiah puede declarar una Acción de Puñalada contra un jugador contrario al que esté Marcando. Después de realizar la Acción Especial de Puñalada, Jeremiah puede realizar una Acción de Movimiento antes de que termine su activación.</v>
      </c>
      <c r="J65" s="16">
        <v>320000</v>
      </c>
      <c r="K65" s="1">
        <f t="shared" si="0"/>
        <v>0</v>
      </c>
      <c r="L65" s="4"/>
      <c r="M65" s="20" t="s">
        <v>1554</v>
      </c>
      <c r="N65" s="20" t="s">
        <v>1573</v>
      </c>
      <c r="O65" s="19" t="s">
        <v>1572</v>
      </c>
      <c r="P65" s="19" t="s">
        <v>1571</v>
      </c>
      <c r="Q65" s="19" t="s">
        <v>1570</v>
      </c>
      <c r="R65" s="19"/>
      <c r="S65" s="19" t="s">
        <v>1555</v>
      </c>
      <c r="T65" t="s">
        <v>1598</v>
      </c>
      <c r="U65" t="s">
        <v>1612</v>
      </c>
      <c r="V65" t="s">
        <v>1613</v>
      </c>
      <c r="BI65" s="23"/>
    </row>
    <row r="66" spans="1:74" ht="12.75" customHeight="1" x14ac:dyDescent="0.2">
      <c r="A66" s="9" t="s">
        <v>1617</v>
      </c>
      <c r="B66" s="9" t="s">
        <v>1547</v>
      </c>
      <c r="C66" s="9">
        <v>8</v>
      </c>
      <c r="D66" s="9">
        <v>3</v>
      </c>
      <c r="E66" s="9" t="s">
        <v>930</v>
      </c>
      <c r="F66" s="9" t="s">
        <v>728</v>
      </c>
      <c r="G66" s="9" t="s">
        <v>790</v>
      </c>
      <c r="H66" s="3" t="str">
        <f>IF('Pack BB2020'!$J$24="Español",T66,(IF('Pack BB2020'!$J$24="Deutsch",U66,(IF('Pack BB2020'!$J$24="Français",V66,S66)))))</f>
        <v>Placar, Recepción heroica, Esquivar, Saltar, Solitario (4+), Echarse a un lado</v>
      </c>
      <c r="I66" s="3" t="str">
        <f>IF('Pack BB2020'!$J$24="Español",N66,(IF('Pack BB2020'!$J$24="Deutsch",O66,(IF('Pack BB2020'!$J$24="Italiano",Q66,(IF('Pack BB2020'!$J$24="Français",P66,M66)))))))</f>
        <v>Veloz como la brisa: Una vez por partida, Jordell puede elegir superar una única tirada de Esquivar, Saltar o A por ellos con un 2+, independientemente de cualquier modificador.</v>
      </c>
      <c r="J66" s="16">
        <v>250000</v>
      </c>
      <c r="K66" s="1">
        <f t="shared" si="0"/>
        <v>0</v>
      </c>
      <c r="L66" s="4"/>
      <c r="M66" s="20" t="s">
        <v>1556</v>
      </c>
      <c r="N66" s="20" t="s">
        <v>1574</v>
      </c>
      <c r="O66" s="19" t="s">
        <v>1575</v>
      </c>
      <c r="P66" s="19" t="s">
        <v>1576</v>
      </c>
      <c r="Q66" s="19" t="s">
        <v>1577</v>
      </c>
      <c r="R66" s="19"/>
      <c r="S66" s="19" t="s">
        <v>1557</v>
      </c>
      <c r="T66" t="s">
        <v>1599</v>
      </c>
      <c r="U66" t="s">
        <v>1602</v>
      </c>
      <c r="V66" t="s">
        <v>1614</v>
      </c>
      <c r="BI66" s="23"/>
    </row>
    <row r="67" spans="1:74" ht="12.75" customHeight="1" x14ac:dyDescent="0.2">
      <c r="A67" s="9" t="s">
        <v>1647</v>
      </c>
      <c r="B67" s="9" t="s">
        <v>1548</v>
      </c>
      <c r="C67" s="9">
        <v>7</v>
      </c>
      <c r="D67" s="9">
        <v>3</v>
      </c>
      <c r="E67" s="9" t="s">
        <v>716</v>
      </c>
      <c r="F67" s="9" t="s">
        <v>728</v>
      </c>
      <c r="G67" s="9" t="s">
        <v>729</v>
      </c>
      <c r="H67" s="3" t="str">
        <f>IF('Pack BB2020'!$J$24="Español",T67,(IF('Pack BB2020'!$J$24="Deutsch",U67,(IF('Pack BB2020'!$J$24="Français",V67,S67)))))</f>
        <v>Presencia perturbadora, Apariencia asquerosa, Solitario (4+), Atento al balón, Placaje defensivo, Tentaculos</v>
      </c>
      <c r="I67" s="3" t="str">
        <f>IF('Pack BB2020'!$J$24="Español",N67,(IF('Pack BB2020'!$J$24="Deutsch",O67,(IF('Pack BB2020'!$J$24="Italiano",Q67,(IF('Pack BB2020'!$J$24="Français",P67,M67)))))))</f>
        <v>Tinta negra: Una vez por partida, al inicio de cualquiera de sus activaciones, Kiroth puede elegir a un jugador rival al que esté marcando. El jugador elegido pierde su Zona hasta su siguiente reactivación.</v>
      </c>
      <c r="J67" s="16">
        <v>160000</v>
      </c>
      <c r="K67" s="1">
        <f t="shared" si="0"/>
        <v>0</v>
      </c>
      <c r="L67" s="4"/>
      <c r="M67" s="20" t="s">
        <v>1558</v>
      </c>
      <c r="N67" s="20" t="s">
        <v>1578</v>
      </c>
      <c r="O67" s="19" t="s">
        <v>1579</v>
      </c>
      <c r="P67" s="19" t="s">
        <v>1580</v>
      </c>
      <c r="Q67" s="19" t="s">
        <v>1581</v>
      </c>
      <c r="R67" s="19"/>
      <c r="S67" s="19" t="s">
        <v>1559</v>
      </c>
      <c r="T67" t="s">
        <v>1594</v>
      </c>
      <c r="U67" t="s">
        <v>1603</v>
      </c>
      <c r="V67" t="s">
        <v>1607</v>
      </c>
      <c r="BI67" s="23"/>
    </row>
    <row r="68" spans="1:74" ht="12.75" customHeight="1" x14ac:dyDescent="0.2">
      <c r="A68" s="9" t="s">
        <v>1648</v>
      </c>
      <c r="B68" s="9" t="s">
        <v>1549</v>
      </c>
      <c r="C68" s="9">
        <v>7</v>
      </c>
      <c r="D68" s="9">
        <v>2</v>
      </c>
      <c r="E68" s="9" t="s">
        <v>728</v>
      </c>
      <c r="F68" s="9" t="s">
        <v>768</v>
      </c>
      <c r="G68" s="9" t="s">
        <v>761</v>
      </c>
      <c r="H68" s="3" t="str">
        <f>IF('Pack BB2020'!$J$24="Español",T68,(IF('Pack BB2020'!$J$24="Deutsch",U68,(IF('Pack BB2020'!$J$24="Français",V68,S68)))))</f>
        <v>Presencia perturbadora, Zafarse, Solitario (4+), Echarse a un lado, Apuñalar, Escurridizo</v>
      </c>
      <c r="I68" s="3" t="str">
        <f>IF('Pack BB2020'!$J$24="Español",N68,(IF('Pack BB2020'!$J$24="Deutsch",O68,(IF('Pack BB2020'!$J$24="Italiano",Q68,(IF('Pack BB2020'!$J$24="Français",P68,M68)))))))</f>
        <v>Estallido Furioso: Una vez por mitad, siempre que esté de pie al inicio de la activación, Swiftvine puede colocarse adyacente a un jugador rival de pie en un radio de 3 casillas e inmediatamente realizar una acción especial de puñalada contra él. A continuación, puede volver a colocarse en una casilla desocupada en un radio de 3 casillas desde su nueva posición. Su activación finaliza inmediatamente. Esto cuenta como la acción Penetración del equipo para el turno.</v>
      </c>
      <c r="J68" s="16">
        <v>110000</v>
      </c>
      <c r="K68" s="1">
        <f t="shared" si="0"/>
        <v>0</v>
      </c>
      <c r="L68" s="4"/>
      <c r="M68" s="20" t="s">
        <v>1560</v>
      </c>
      <c r="N68" s="20" t="s">
        <v>1586</v>
      </c>
      <c r="O68" s="19" t="s">
        <v>1582</v>
      </c>
      <c r="P68" s="19" t="s">
        <v>1583</v>
      </c>
      <c r="Q68" s="19" t="s">
        <v>1584</v>
      </c>
      <c r="R68" s="19"/>
      <c r="S68" s="19" t="s">
        <v>1561</v>
      </c>
      <c r="T68" t="s">
        <v>1600</v>
      </c>
      <c r="U68" t="s">
        <v>1604</v>
      </c>
      <c r="V68" t="s">
        <v>1611</v>
      </c>
      <c r="BI68" s="23"/>
    </row>
    <row r="69" spans="1:74" ht="12.75" customHeight="1" x14ac:dyDescent="0.2">
      <c r="A69" s="9" t="s">
        <v>1649</v>
      </c>
      <c r="B69" s="9" t="s">
        <v>1550</v>
      </c>
      <c r="C69" s="9">
        <v>3</v>
      </c>
      <c r="D69" s="9">
        <v>5</v>
      </c>
      <c r="E69" s="9" t="s">
        <v>768</v>
      </c>
      <c r="F69" s="9" t="s">
        <v>768</v>
      </c>
      <c r="G69" s="9" t="s">
        <v>779</v>
      </c>
      <c r="H69" s="3" t="str">
        <f>IF('Pack BB2020'!$J$24="Español",T69,(IF('Pack BB2020'!$J$24="Deutsch",U69,(IF('Pack BB2020'!$J$24="Français",V69,S69)))))</f>
        <v>Luchador, Apartar, Solitario (4+), Golpe mortífero (+1), Mantenerse firme, Tentáculos, Cabeza dura</v>
      </c>
      <c r="I69" s="3" t="str">
        <f>IF('Pack BB2020'!$J$24="Español",N69,(IF('Pack BB2020'!$J$24="Deutsch",O69,(IF('Pack BB2020'!$J$24="Italiano",Q69,(IF('Pack BB2020'!$J$24="Français",P69,M69)))))))</f>
        <v>Enredaderas Viciosas: Una vez por mitad, cuando Maple declara una acción de Bloqueo puede hacerlo contra un jugador contrario que esté a 2 casillas de distancia siguiendo todas las reglas normales para hacer un Placaje, aunque no puede seguirlo. Esta acción de Placaje no puede formar parte de una acción Penetración.</v>
      </c>
      <c r="J69" s="16">
        <v>210000</v>
      </c>
      <c r="K69" s="1">
        <f t="shared" ref="K69:K70" si="1">IF((IFERROR((VLOOKUP(A69,$B$95:$B$141,1,FALSE)),0))&lt;&gt;0,1,0)</f>
        <v>1</v>
      </c>
      <c r="L69" s="4"/>
      <c r="M69" s="20" t="s">
        <v>1562</v>
      </c>
      <c r="N69" s="20" t="s">
        <v>1585</v>
      </c>
      <c r="O69" s="19" t="s">
        <v>1587</v>
      </c>
      <c r="P69" s="19" t="s">
        <v>1588</v>
      </c>
      <c r="Q69" s="19" t="s">
        <v>1589</v>
      </c>
      <c r="R69" s="19"/>
      <c r="S69" s="19" t="s">
        <v>1563</v>
      </c>
      <c r="T69" t="s">
        <v>1595</v>
      </c>
      <c r="U69" t="s">
        <v>1609</v>
      </c>
      <c r="V69" t="s">
        <v>1610</v>
      </c>
      <c r="BI69" s="23">
        <v>1</v>
      </c>
    </row>
    <row r="70" spans="1:74" ht="12.75" customHeight="1" x14ac:dyDescent="0.2">
      <c r="A70" s="9" t="s">
        <v>1650</v>
      </c>
      <c r="B70" s="9" t="s">
        <v>1551</v>
      </c>
      <c r="C70" s="9">
        <v>7</v>
      </c>
      <c r="D70" s="9">
        <v>4</v>
      </c>
      <c r="E70" s="9" t="s">
        <v>768</v>
      </c>
      <c r="F70" s="9" t="s">
        <v>717</v>
      </c>
      <c r="G70" s="9" t="s">
        <v>750</v>
      </c>
      <c r="H70" s="3" t="str">
        <f>IF('Pack BB2020'!$J$24="Español",T70,(IF('Pack BB2020'!$J$24="Deutsch",U70,(IF('Pack BB2020'!$J$24="Français",V70,S70)))))</f>
        <v>Placar, Apartar, Solitario (4+), Mantenerse firme</v>
      </c>
      <c r="I70" s="3" t="str">
        <f>IF('Pack BB2020'!$J$24="Español",N70,(IF('Pack BB2020'!$J$24="Deutsch",O70,(IF('Pack BB2020'!$J$24="Italiano",Q70,(IF('Pack BB2020'!$J$24="Français",P70,M70)))))))</f>
        <v>Golpe Salvaje: Una vez por partida, cuando Arqi realiza una acción de Placaje contra un jugador rival, puede elegir volver a tirar cualquier número de dados de Placaje.</v>
      </c>
      <c r="J70" s="16">
        <v>190000</v>
      </c>
      <c r="K70" s="1">
        <f t="shared" si="1"/>
        <v>0</v>
      </c>
      <c r="L70" s="4"/>
      <c r="M70" s="20" t="s">
        <v>1564</v>
      </c>
      <c r="N70" s="20" t="s">
        <v>1590</v>
      </c>
      <c r="O70" s="19" t="s">
        <v>1591</v>
      </c>
      <c r="P70" s="19" t="s">
        <v>1592</v>
      </c>
      <c r="Q70" s="19" t="s">
        <v>1593</v>
      </c>
      <c r="R70" s="19"/>
      <c r="S70" s="19" t="s">
        <v>1565</v>
      </c>
      <c r="T70" t="s">
        <v>1596</v>
      </c>
      <c r="U70" t="s">
        <v>1605</v>
      </c>
      <c r="V70" t="s">
        <v>1608</v>
      </c>
    </row>
    <row r="71" spans="1:74" ht="12.75" customHeight="1"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74" ht="12.75" customHeight="1" x14ac:dyDescent="0.2">
      <c r="B72" s="2"/>
      <c r="C72" s="9" t="str">
        <f t="shared" ref="C72:BN72" si="2">IF(C73=1,C74,"")</f>
        <v>ABV</v>
      </c>
      <c r="D72" s="9" t="str">
        <f t="shared" si="2"/>
        <v/>
      </c>
      <c r="E72" s="9" t="str">
        <f t="shared" si="2"/>
        <v/>
      </c>
      <c r="F72" s="9" t="str">
        <f t="shared" si="2"/>
        <v>AAA</v>
      </c>
      <c r="G72" s="9" t="str">
        <f t="shared" si="2"/>
        <v/>
      </c>
      <c r="H72" s="9" t="str">
        <f t="shared" si="2"/>
        <v>ABK</v>
      </c>
      <c r="I72" s="9" t="str">
        <f t="shared" si="2"/>
        <v/>
      </c>
      <c r="J72" s="9" t="str">
        <f t="shared" si="2"/>
        <v/>
      </c>
      <c r="K72" s="9" t="str">
        <f t="shared" si="2"/>
        <v>ABT</v>
      </c>
      <c r="L72" s="9" t="str">
        <f t="shared" si="2"/>
        <v/>
      </c>
      <c r="M72" s="9" t="str">
        <f t="shared" si="2"/>
        <v/>
      </c>
      <c r="N72" s="9" t="str">
        <f t="shared" si="2"/>
        <v/>
      </c>
      <c r="O72" s="9" t="str">
        <f t="shared" si="2"/>
        <v/>
      </c>
      <c r="P72" s="9" t="str">
        <f t="shared" si="2"/>
        <v/>
      </c>
      <c r="Q72" s="9" t="str">
        <f t="shared" si="2"/>
        <v>AAB</v>
      </c>
      <c r="R72" s="9" t="str">
        <f t="shared" si="2"/>
        <v/>
      </c>
      <c r="S72" s="9" t="str">
        <f t="shared" si="2"/>
        <v/>
      </c>
      <c r="T72" s="9" t="str">
        <f t="shared" si="2"/>
        <v/>
      </c>
      <c r="U72" s="9" t="str">
        <f t="shared" si="2"/>
        <v/>
      </c>
      <c r="V72" s="9" t="str">
        <f t="shared" si="2"/>
        <v/>
      </c>
      <c r="W72" s="9" t="str">
        <f t="shared" si="2"/>
        <v/>
      </c>
      <c r="X72" s="9" t="str">
        <f t="shared" si="2"/>
        <v>AAJ</v>
      </c>
      <c r="Y72" s="9" t="str">
        <f t="shared" si="2"/>
        <v/>
      </c>
      <c r="Z72" s="9" t="str">
        <f t="shared" si="2"/>
        <v>ABP</v>
      </c>
      <c r="AA72" s="9" t="str">
        <f t="shared" si="2"/>
        <v/>
      </c>
      <c r="AB72" s="9" t="str">
        <f t="shared" si="2"/>
        <v/>
      </c>
      <c r="AC72" s="9" t="str">
        <f t="shared" si="2"/>
        <v/>
      </c>
      <c r="AD72" s="9" t="str">
        <f t="shared" si="2"/>
        <v/>
      </c>
      <c r="AE72" s="9" t="str">
        <f t="shared" si="2"/>
        <v/>
      </c>
      <c r="AF72" s="9" t="str">
        <f t="shared" si="2"/>
        <v/>
      </c>
      <c r="AG72" s="9" t="str">
        <f t="shared" si="2"/>
        <v/>
      </c>
      <c r="AH72" s="9" t="str">
        <f t="shared" si="2"/>
        <v/>
      </c>
      <c r="AI72" s="9" t="str">
        <f t="shared" si="2"/>
        <v/>
      </c>
      <c r="AJ72" s="9" t="str">
        <f t="shared" si="2"/>
        <v>AAK</v>
      </c>
      <c r="AK72" s="9" t="str">
        <f t="shared" si="2"/>
        <v/>
      </c>
      <c r="AL72" s="9" t="str">
        <f t="shared" si="2"/>
        <v/>
      </c>
      <c r="AM72" s="9" t="str">
        <f t="shared" si="2"/>
        <v>ACW</v>
      </c>
      <c r="AN72" s="9" t="str">
        <f t="shared" si="2"/>
        <v/>
      </c>
      <c r="AO72" s="9" t="str">
        <f t="shared" si="2"/>
        <v>AAL</v>
      </c>
      <c r="AP72" s="9" t="str">
        <f t="shared" si="2"/>
        <v>AAM</v>
      </c>
      <c r="AQ72" s="9" t="str">
        <f t="shared" si="2"/>
        <v>ABF</v>
      </c>
      <c r="AR72" s="9" t="str">
        <f t="shared" si="2"/>
        <v/>
      </c>
      <c r="AS72" s="9" t="str">
        <f t="shared" si="2"/>
        <v/>
      </c>
      <c r="AT72" s="9" t="str">
        <f t="shared" si="2"/>
        <v/>
      </c>
      <c r="AU72" s="9" t="str">
        <f t="shared" si="2"/>
        <v/>
      </c>
      <c r="AV72" s="9" t="str">
        <f t="shared" si="2"/>
        <v/>
      </c>
      <c r="AW72" s="9" t="str">
        <f t="shared" si="2"/>
        <v/>
      </c>
      <c r="AX72" s="9" t="str">
        <f t="shared" si="2"/>
        <v>AAP</v>
      </c>
      <c r="AY72" s="9" t="str">
        <f t="shared" si="2"/>
        <v>ABN</v>
      </c>
      <c r="AZ72" s="9" t="str">
        <f t="shared" si="2"/>
        <v/>
      </c>
      <c r="BA72" s="9" t="str">
        <f t="shared" si="2"/>
        <v>ABO</v>
      </c>
      <c r="BB72" s="9" t="str">
        <f t="shared" si="2"/>
        <v/>
      </c>
      <c r="BC72" s="9" t="str">
        <f t="shared" si="2"/>
        <v>AAD</v>
      </c>
      <c r="BD72" s="9" t="str">
        <f t="shared" si="2"/>
        <v>AAE</v>
      </c>
      <c r="BE72" s="9" t="str">
        <f t="shared" si="2"/>
        <v/>
      </c>
      <c r="BF72" s="9" t="str">
        <f t="shared" si="2"/>
        <v/>
      </c>
      <c r="BG72" s="9" t="str">
        <f t="shared" si="2"/>
        <v/>
      </c>
      <c r="BH72" s="9" t="str">
        <f t="shared" si="2"/>
        <v/>
      </c>
      <c r="BI72" s="9" t="str">
        <f t="shared" si="2"/>
        <v>AAN</v>
      </c>
      <c r="BJ72" s="9" t="str">
        <f t="shared" si="2"/>
        <v>AAO</v>
      </c>
      <c r="BK72" s="9" t="str">
        <f t="shared" si="2"/>
        <v/>
      </c>
      <c r="BL72" s="9" t="str">
        <f t="shared" si="2"/>
        <v/>
      </c>
      <c r="BM72" s="9" t="str">
        <f t="shared" si="2"/>
        <v/>
      </c>
      <c r="BN72" s="9" t="str">
        <f t="shared" si="2"/>
        <v/>
      </c>
      <c r="BO72" s="9" t="str">
        <f t="shared" ref="BO72:BU72" si="3">IF(BO73=1,BO74,"")</f>
        <v/>
      </c>
      <c r="BP72" s="9" t="str">
        <f t="shared" si="3"/>
        <v/>
      </c>
      <c r="BQ72" s="9" t="str">
        <f t="shared" si="3"/>
        <v>AAG</v>
      </c>
      <c r="BR72" s="9" t="str">
        <f t="shared" si="3"/>
        <v>BBB</v>
      </c>
      <c r="BS72" s="9" t="str">
        <f t="shared" si="3"/>
        <v>CCC</v>
      </c>
      <c r="BT72" s="9" t="str">
        <f t="shared" si="3"/>
        <v>DDD</v>
      </c>
      <c r="BU72" s="9" t="str">
        <f t="shared" si="3"/>
        <v>EEE</v>
      </c>
    </row>
    <row r="73" spans="1:74" ht="12.75" customHeight="1" x14ac:dyDescent="0.2">
      <c r="B73" s="2" t="str">
        <f>IF('Pack Protajer'!BU2="OldWorldClassicFavouredof",(IF('Pack Protajer'!AJ30="Old World Classic","OldWorldClassic",(IF('Pack Protajer'!AJ30="Favoured Of","FavouredOf","")))),'Pack Protajer'!BU2)</f>
        <v>OldWorldClassic</v>
      </c>
      <c r="C73" s="9">
        <f>VLOOKUP($B$73,$B$76:$BU$92,2,FALSE)</f>
        <v>1</v>
      </c>
      <c r="D73" s="9">
        <f>VLOOKUP($B$73,$B$76:$BU$92,3,FALSE)</f>
        <v>0</v>
      </c>
      <c r="E73" s="9">
        <f>VLOOKUP($B$73,$B$76:$BU$92,4,FALSE)</f>
        <v>0</v>
      </c>
      <c r="F73" s="9">
        <f>VLOOKUP($B$73,$B$76:$BU$92,5,FALSE)</f>
        <v>1</v>
      </c>
      <c r="G73" s="9">
        <f>VLOOKUP($B$73,$B$76:$BU$92,6,FALSE)</f>
        <v>0</v>
      </c>
      <c r="H73" s="9">
        <f>VLOOKUP($B$73,$B$76:$BU$92,7,FALSE)</f>
        <v>1</v>
      </c>
      <c r="I73" s="9">
        <f>VLOOKUP($B$73,$B$76:$BU$92,8,FALSE)</f>
        <v>0</v>
      </c>
      <c r="J73" s="9">
        <f>VLOOKUP($B$73,$B$76:$BU$92,9,FALSE)</f>
        <v>0</v>
      </c>
      <c r="K73" s="9">
        <f>VLOOKUP($B$73,$B$76:$BU$92,10,FALSE)</f>
        <v>1</v>
      </c>
      <c r="L73" s="9">
        <f>VLOOKUP($B$73,$B$76:$BU$92,11,FALSE)</f>
        <v>0</v>
      </c>
      <c r="M73" s="9">
        <f>VLOOKUP($B$73,$B$76:$BU$92,12,FALSE)</f>
        <v>0</v>
      </c>
      <c r="N73" s="9">
        <f>VLOOKUP($B$73,$B$76:$BU$92,13,FALSE)</f>
        <v>0</v>
      </c>
      <c r="O73" s="9">
        <f>VLOOKUP($B$73,$B$76:$BU$92,14,FALSE)</f>
        <v>0</v>
      </c>
      <c r="P73" s="9">
        <f>VLOOKUP($B$73,$B$76:$BU$92,15,FALSE)</f>
        <v>0</v>
      </c>
      <c r="Q73" s="9">
        <f>VLOOKUP($B$73,$B$76:$BU$92,16,FALSE)</f>
        <v>1</v>
      </c>
      <c r="R73" s="9">
        <f>VLOOKUP($B$73,$B$76:$BU$92,17,FALSE)</f>
        <v>0</v>
      </c>
      <c r="S73" s="9">
        <f>VLOOKUP($B$73,$B$76:$BU$92,18,FALSE)</f>
        <v>0</v>
      </c>
      <c r="T73" s="9">
        <f>VLOOKUP($B$73,$B$76:$BU$92,19,FALSE)</f>
        <v>0</v>
      </c>
      <c r="U73" s="9">
        <f>VLOOKUP($B$73,$B$76:$BU$92,20,FALSE)</f>
        <v>0</v>
      </c>
      <c r="V73" s="9">
        <f>VLOOKUP($B$73,$B$76:$BU$92,21,FALSE)</f>
        <v>0</v>
      </c>
      <c r="W73" s="9">
        <f>VLOOKUP($B$73,$B$76:$BU$92,22,FALSE)</f>
        <v>0</v>
      </c>
      <c r="X73" s="9">
        <f>VLOOKUP($B$73,$B$76:$BU$92,23,FALSE)</f>
        <v>1</v>
      </c>
      <c r="Y73" s="9">
        <f>VLOOKUP($B$73,$B$76:$BU$92,24,FALSE)</f>
        <v>0</v>
      </c>
      <c r="Z73" s="9">
        <f>VLOOKUP($B$73,$B$76:$BU$92,25,FALSE)</f>
        <v>1</v>
      </c>
      <c r="AA73" s="9">
        <f>VLOOKUP($B$73,$B$76:$BU$92,26,FALSE)</f>
        <v>0</v>
      </c>
      <c r="AB73" s="9">
        <f>VLOOKUP($B$73,$B$76:$BU$92,27,FALSE)</f>
        <v>0</v>
      </c>
      <c r="AC73" s="9">
        <f>VLOOKUP($B$73,$B$76:$BU$92,28,FALSE)</f>
        <v>0</v>
      </c>
      <c r="AD73" s="9">
        <f>VLOOKUP($B$73,$B$76:$BU$92,29,FALSE)</f>
        <v>0</v>
      </c>
      <c r="AE73" s="9">
        <f>VLOOKUP($B$73,$B$76:$BU$92,30,FALSE)</f>
        <v>0</v>
      </c>
      <c r="AF73" s="9">
        <f>VLOOKUP($B$73,$B$76:$BU$92,31,FALSE)</f>
        <v>0</v>
      </c>
      <c r="AG73" s="9">
        <f>VLOOKUP($B$73,$B$76:$BU$92,32,FALSE)</f>
        <v>0</v>
      </c>
      <c r="AH73" s="9">
        <f>VLOOKUP($B$73,$B$76:$BU$92,33,FALSE)</f>
        <v>0</v>
      </c>
      <c r="AI73" s="9">
        <f>VLOOKUP($B$73,$B$76:$BU$92,34,FALSE)</f>
        <v>0</v>
      </c>
      <c r="AJ73" s="9">
        <f>VLOOKUP($B$73,$B$76:$BU$92,35,FALSE)</f>
        <v>1</v>
      </c>
      <c r="AK73" s="9">
        <f>VLOOKUP($B$73,$B$76:$BU$92,36,FALSE)</f>
        <v>0</v>
      </c>
      <c r="AL73" s="9">
        <f>VLOOKUP($B$73,$B$76:$BU$92,37,FALSE)</f>
        <v>0</v>
      </c>
      <c r="AM73" s="9">
        <f>VLOOKUP($B$73,$B$76:$BU$92,38,FALSE)</f>
        <v>1</v>
      </c>
      <c r="AN73" s="9">
        <f>VLOOKUP($B$73,$B$76:$BU$92,39,FALSE)</f>
        <v>0</v>
      </c>
      <c r="AO73" s="9">
        <f>VLOOKUP($B$73,$B$76:$BU$92,40,FALSE)</f>
        <v>1</v>
      </c>
      <c r="AP73" s="9">
        <f>VLOOKUP($B$73,$B$76:$BU$92,41,FALSE)</f>
        <v>1</v>
      </c>
      <c r="AQ73" s="9">
        <f>VLOOKUP($B$73,$B$76:$BU$92,42,FALSE)</f>
        <v>1</v>
      </c>
      <c r="AR73" s="9">
        <f>VLOOKUP($B$73,$B$76:$BU$92,43,FALSE)</f>
        <v>0</v>
      </c>
      <c r="AS73" s="9">
        <f>VLOOKUP($B$73,$B$76:$BU$92,44,FALSE)</f>
        <v>0</v>
      </c>
      <c r="AT73" s="9">
        <f>VLOOKUP($B$73,$B$76:$BU$92,45,FALSE)</f>
        <v>0</v>
      </c>
      <c r="AU73" s="9">
        <f>VLOOKUP($B$73,$B$76:$BU$92,46,FALSE)</f>
        <v>0</v>
      </c>
      <c r="AV73" s="9">
        <f>VLOOKUP($B$73,$B$76:$BU$92,47,FALSE)</f>
        <v>0</v>
      </c>
      <c r="AW73" s="9">
        <f>VLOOKUP($B$73,$B$76:$BU$92,48,FALSE)</f>
        <v>0</v>
      </c>
      <c r="AX73" s="9">
        <f>VLOOKUP($B$73,$B$76:$BU$92,49,FALSE)</f>
        <v>1</v>
      </c>
      <c r="AY73" s="9">
        <f>VLOOKUP($B$73,$B$76:$BU$92,50,FALSE)</f>
        <v>1</v>
      </c>
      <c r="AZ73" s="9">
        <f>VLOOKUP($B$73,$B$76:$BU$92,51,FALSE)</f>
        <v>0</v>
      </c>
      <c r="BA73" s="9">
        <f>VLOOKUP($B$73,$B$76:$BU$92,52,FALSE)</f>
        <v>1</v>
      </c>
      <c r="BB73" s="9">
        <f>VLOOKUP($B$73,$B$76:$BU$92,53,FALSE)</f>
        <v>0</v>
      </c>
      <c r="BC73" s="9">
        <f>VLOOKUP($B$73,$B$76:$BU$92,54,FALSE)</f>
        <v>1</v>
      </c>
      <c r="BD73" s="9">
        <f>VLOOKUP($B$73,$B$76:$BU$92,55,FALSE)</f>
        <v>1</v>
      </c>
      <c r="BE73" s="9">
        <f>VLOOKUP($B$73,$B$76:$BU$92,56,FALSE)</f>
        <v>0</v>
      </c>
      <c r="BF73" s="9">
        <f>VLOOKUP($B$73,$B$76:$BU$92,57,FALSE)</f>
        <v>0</v>
      </c>
      <c r="BG73" s="9">
        <f>VLOOKUP($B$73,$B$76:$BU$92,58,FALSE)</f>
        <v>0</v>
      </c>
      <c r="BH73" s="9">
        <f>VLOOKUP($B$73,$B$76:$BU$92,59,FALSE)</f>
        <v>0</v>
      </c>
      <c r="BI73" s="9">
        <f>VLOOKUP($B$73,$B$76:$BU$92,60,FALSE)</f>
        <v>1</v>
      </c>
      <c r="BJ73" s="9">
        <f>VLOOKUP($B$73,$B$76:$BU$92,61,FALSE)</f>
        <v>1</v>
      </c>
      <c r="BK73" s="9">
        <f>VLOOKUP($B$73,$B$76:$BU$92,62,FALSE)</f>
        <v>0</v>
      </c>
      <c r="BL73" s="9">
        <f>VLOOKUP($B$73,$B$76:$BU$92,63,FALSE)</f>
        <v>0</v>
      </c>
      <c r="BM73" s="9">
        <f>VLOOKUP($B$73,$B$76:$BU$92,64,FALSE)</f>
        <v>0</v>
      </c>
      <c r="BN73" s="9">
        <f>VLOOKUP($B$73,$B$76:$BU$92,65,FALSE)</f>
        <v>0</v>
      </c>
      <c r="BO73" s="9">
        <f>VLOOKUP($B$73,$B$76:$BU$92,66,FALSE)</f>
        <v>0</v>
      </c>
      <c r="BP73" s="9">
        <f>VLOOKUP($B$73,$B$76:$BU$92,67,FALSE)</f>
        <v>0</v>
      </c>
      <c r="BQ73" s="9">
        <f>VLOOKUP($B$73,$B$76:$BU$92,68,FALSE)</f>
        <v>1</v>
      </c>
      <c r="BR73" s="9">
        <f>VLOOKUP($B$73,$B$76:$BU$92,69,FALSE)</f>
        <v>1</v>
      </c>
      <c r="BS73" s="9">
        <f>VLOOKUP($B$73,$B$76:$BU$92,70,FALSE)</f>
        <v>1</v>
      </c>
      <c r="BT73" s="9">
        <f>VLOOKUP($B$73,$B$76:$BU$92,71,FALSE)</f>
        <v>1</v>
      </c>
      <c r="BU73" s="9">
        <f>VLOOKUP($B$73,$B$76:$BU$92,72,FALSE)</f>
        <v>1</v>
      </c>
    </row>
    <row r="74" spans="1:74" ht="12.75" customHeight="1" x14ac:dyDescent="0.2">
      <c r="B74" s="19"/>
      <c r="C74" s="2" t="s">
        <v>1240</v>
      </c>
      <c r="D74" s="2" t="s">
        <v>1107</v>
      </c>
      <c r="E74" s="9" t="s">
        <v>1452</v>
      </c>
      <c r="F74" s="2" t="s">
        <v>714</v>
      </c>
      <c r="G74" s="2" t="s">
        <v>1106</v>
      </c>
      <c r="H74" s="2" t="s">
        <v>1100</v>
      </c>
      <c r="I74" s="9" t="s">
        <v>1648</v>
      </c>
      <c r="J74" s="2" t="s">
        <v>1259</v>
      </c>
      <c r="K74" s="2" t="s">
        <v>1236</v>
      </c>
      <c r="L74" s="2" t="s">
        <v>1263</v>
      </c>
      <c r="M74" s="2" t="s">
        <v>965</v>
      </c>
      <c r="N74" s="9" t="s">
        <v>1510</v>
      </c>
      <c r="O74" s="9" t="s">
        <v>1511</v>
      </c>
      <c r="P74" s="2" t="s">
        <v>1025</v>
      </c>
      <c r="Q74" s="2" t="s">
        <v>726</v>
      </c>
      <c r="R74" s="2" t="s">
        <v>888</v>
      </c>
      <c r="S74" s="2" t="s">
        <v>878</v>
      </c>
      <c r="T74" s="2" t="s">
        <v>898</v>
      </c>
      <c r="U74" s="2" t="s">
        <v>1421</v>
      </c>
      <c r="V74" s="9" t="s">
        <v>1463</v>
      </c>
      <c r="W74" s="9" t="s">
        <v>1647</v>
      </c>
      <c r="X74" s="2" t="s">
        <v>809</v>
      </c>
      <c r="Y74" s="2" t="s">
        <v>1092</v>
      </c>
      <c r="Z74" s="2" t="s">
        <v>1171</v>
      </c>
      <c r="AA74" s="2" t="s">
        <v>1267</v>
      </c>
      <c r="AB74" s="2" t="s">
        <v>1251</v>
      </c>
      <c r="AC74" s="2" t="s">
        <v>1615</v>
      </c>
      <c r="AD74" s="9" t="s">
        <v>1244</v>
      </c>
      <c r="AE74" s="9" t="s">
        <v>1248</v>
      </c>
      <c r="AF74" s="9" t="s">
        <v>1650</v>
      </c>
      <c r="AG74" s="9" t="s">
        <v>1406</v>
      </c>
      <c r="AH74" s="9" t="s">
        <v>1200</v>
      </c>
      <c r="AI74" s="2" t="s">
        <v>799</v>
      </c>
      <c r="AJ74" s="2" t="s">
        <v>819</v>
      </c>
      <c r="AK74" s="2" t="s">
        <v>1015</v>
      </c>
      <c r="AL74" s="2" t="s">
        <v>1222</v>
      </c>
      <c r="AM74" s="9" t="s">
        <v>1649</v>
      </c>
      <c r="AN74" s="2" t="s">
        <v>788</v>
      </c>
      <c r="AO74" s="2" t="s">
        <v>829</v>
      </c>
      <c r="AP74" s="2" t="s">
        <v>839</v>
      </c>
      <c r="AQ74" s="2" t="s">
        <v>995</v>
      </c>
      <c r="AR74" s="2" t="s">
        <v>975</v>
      </c>
      <c r="AS74" s="2" t="s">
        <v>738</v>
      </c>
      <c r="AT74" s="2" t="s">
        <v>908</v>
      </c>
      <c r="AU74" s="2" t="s">
        <v>918</v>
      </c>
      <c r="AV74" s="2" t="s">
        <v>1361</v>
      </c>
      <c r="AW74" s="2" t="s">
        <v>1005</v>
      </c>
      <c r="AX74" s="2" t="s">
        <v>869</v>
      </c>
      <c r="AY74" s="2" t="s">
        <v>1149</v>
      </c>
      <c r="AZ74" s="2" t="s">
        <v>1255</v>
      </c>
      <c r="BA74" s="2" t="s">
        <v>1160</v>
      </c>
      <c r="BB74" s="9" t="s">
        <v>1617</v>
      </c>
      <c r="BC74" s="2" t="s">
        <v>747</v>
      </c>
      <c r="BD74" s="2" t="s">
        <v>759</v>
      </c>
      <c r="BE74" s="2" t="s">
        <v>985</v>
      </c>
      <c r="BF74" s="2" t="s">
        <v>955</v>
      </c>
      <c r="BG74" s="2" t="s">
        <v>1211</v>
      </c>
      <c r="BH74" s="2" t="s">
        <v>928</v>
      </c>
      <c r="BI74" s="2" t="s">
        <v>849</v>
      </c>
      <c r="BJ74" s="2" t="s">
        <v>859</v>
      </c>
      <c r="BK74" s="2" t="s">
        <v>766</v>
      </c>
      <c r="BL74" s="9" t="s">
        <v>1509</v>
      </c>
      <c r="BM74" s="2" t="s">
        <v>1616</v>
      </c>
      <c r="BN74" s="2" t="s">
        <v>1350</v>
      </c>
      <c r="BO74" s="2" t="s">
        <v>939</v>
      </c>
      <c r="BP74" s="2" t="s">
        <v>949</v>
      </c>
      <c r="BQ74" s="2" t="s">
        <v>777</v>
      </c>
      <c r="BR74" s="23" t="s">
        <v>1234</v>
      </c>
      <c r="BS74" s="23" t="s">
        <v>1087</v>
      </c>
      <c r="BT74" s="23" t="s">
        <v>1088</v>
      </c>
      <c r="BU74" s="23" t="s">
        <v>1089</v>
      </c>
    </row>
    <row r="75" spans="1:74" ht="12.75" customHeight="1" x14ac:dyDescent="0.2">
      <c r="B75" s="19"/>
      <c r="C75" s="2" t="s">
        <v>1241</v>
      </c>
      <c r="D75" s="2" t="s">
        <v>1111</v>
      </c>
      <c r="E75" s="9" t="s">
        <v>1453</v>
      </c>
      <c r="F75" s="2" t="s">
        <v>715</v>
      </c>
      <c r="G75" s="2" t="s">
        <v>1108</v>
      </c>
      <c r="H75" s="2" t="s">
        <v>1101</v>
      </c>
      <c r="I75" s="9" t="s">
        <v>1549</v>
      </c>
      <c r="J75" s="2" t="s">
        <v>1260</v>
      </c>
      <c r="K75" s="2" t="s">
        <v>1237</v>
      </c>
      <c r="L75" s="2" t="s">
        <v>1264</v>
      </c>
      <c r="M75" s="2" t="s">
        <v>966</v>
      </c>
      <c r="N75" s="9" t="s">
        <v>1515</v>
      </c>
      <c r="O75" s="9" t="s">
        <v>1518</v>
      </c>
      <c r="P75" s="2" t="s">
        <v>1026</v>
      </c>
      <c r="Q75" s="2" t="s">
        <v>727</v>
      </c>
      <c r="R75" s="2" t="s">
        <v>889</v>
      </c>
      <c r="S75" s="2" t="s">
        <v>879</v>
      </c>
      <c r="T75" s="2" t="s">
        <v>899</v>
      </c>
      <c r="U75" s="2" t="s">
        <v>1420</v>
      </c>
      <c r="V75" s="9" t="s">
        <v>1464</v>
      </c>
      <c r="W75" s="9" t="s">
        <v>1548</v>
      </c>
      <c r="X75" s="2" t="s">
        <v>810</v>
      </c>
      <c r="Y75" s="2" t="s">
        <v>1093</v>
      </c>
      <c r="Z75" s="9" t="s">
        <v>1172</v>
      </c>
      <c r="AA75" s="2" t="s">
        <v>1268</v>
      </c>
      <c r="AB75" s="2" t="s">
        <v>1252</v>
      </c>
      <c r="AC75" s="2" t="s">
        <v>1545</v>
      </c>
      <c r="AD75" s="9" t="s">
        <v>1245</v>
      </c>
      <c r="AE75" s="9" t="s">
        <v>1249</v>
      </c>
      <c r="AF75" s="9" t="s">
        <v>1551</v>
      </c>
      <c r="AG75" s="9" t="s">
        <v>1407</v>
      </c>
      <c r="AH75" s="9" t="s">
        <v>1201</v>
      </c>
      <c r="AI75" s="2" t="s">
        <v>800</v>
      </c>
      <c r="AJ75" s="2" t="s">
        <v>820</v>
      </c>
      <c r="AK75" s="2" t="s">
        <v>1016</v>
      </c>
      <c r="AL75" s="2" t="s">
        <v>1223</v>
      </c>
      <c r="AM75" s="9" t="s">
        <v>1550</v>
      </c>
      <c r="AN75" s="2" t="s">
        <v>789</v>
      </c>
      <c r="AO75" s="2" t="s">
        <v>830</v>
      </c>
      <c r="AP75" s="2" t="s">
        <v>840</v>
      </c>
      <c r="AQ75" s="2" t="s">
        <v>996</v>
      </c>
      <c r="AR75" s="2" t="s">
        <v>976</v>
      </c>
      <c r="AS75" s="2" t="s">
        <v>739</v>
      </c>
      <c r="AT75" s="2" t="s">
        <v>909</v>
      </c>
      <c r="AU75" s="2" t="s">
        <v>919</v>
      </c>
      <c r="AV75" s="26" t="s">
        <v>1362</v>
      </c>
      <c r="AW75" s="2" t="s">
        <v>1006</v>
      </c>
      <c r="AX75" s="2" t="s">
        <v>870</v>
      </c>
      <c r="AY75" s="2" t="s">
        <v>1150</v>
      </c>
      <c r="AZ75" s="2" t="s">
        <v>1256</v>
      </c>
      <c r="BA75" s="9" t="s">
        <v>1161</v>
      </c>
      <c r="BB75" s="9" t="s">
        <v>1547</v>
      </c>
      <c r="BC75" s="2" t="s">
        <v>748</v>
      </c>
      <c r="BD75" s="2" t="s">
        <v>760</v>
      </c>
      <c r="BE75" s="2" t="s">
        <v>986</v>
      </c>
      <c r="BF75" s="2" t="s">
        <v>956</v>
      </c>
      <c r="BG75" s="2" t="s">
        <v>1212</v>
      </c>
      <c r="BH75" s="2" t="s">
        <v>929</v>
      </c>
      <c r="BI75" s="2" t="s">
        <v>850</v>
      </c>
      <c r="BJ75" s="2" t="s">
        <v>860</v>
      </c>
      <c r="BK75" s="2" t="s">
        <v>767</v>
      </c>
      <c r="BL75" s="9" t="s">
        <v>1512</v>
      </c>
      <c r="BM75" s="2" t="s">
        <v>1546</v>
      </c>
      <c r="BN75" s="9" t="s">
        <v>1351</v>
      </c>
      <c r="BO75" s="2" t="s">
        <v>940</v>
      </c>
      <c r="BP75" s="2" t="s">
        <v>950</v>
      </c>
      <c r="BQ75" s="2" t="s">
        <v>778</v>
      </c>
      <c r="BR75" s="23" t="s">
        <v>1235</v>
      </c>
      <c r="BS75" s="2" t="str">
        <f>IF('Pack BB2020'!J24="Italiano","Mercenario 1",(IF('Pack BB2020'!J24="Español","Mercenario 1",(IF('Pack BB2020'!J24="Français","Mercenaire 1","Mercenary 1")))))</f>
        <v>Mercenario 1</v>
      </c>
      <c r="BT75" s="2" t="str">
        <f>IF('Pack BB2020'!J24="Italiano","Mercenario 2",(IF('Pack BB2020'!J24="Español","Mercenario 2",(IF('Pack BB2020'!J24="Français","Mercenaire 2","Mercenary 2")))))</f>
        <v>Mercenario 2</v>
      </c>
      <c r="BU75" s="2" t="str">
        <f>IF('Pack BB2020'!J24="Italiano","Mercenario 3",(IF('Pack BB2020'!J24="Español","Mercenario 3",(IF('Pack BB2020'!J24="Français","Mercenaire 3","Mercenary 3")))))</f>
        <v>Mercenario 3</v>
      </c>
    </row>
    <row r="76" spans="1:74" ht="12.75" customHeight="1" x14ac:dyDescent="0.2">
      <c r="B76" s="23" t="s">
        <v>24</v>
      </c>
      <c r="C76" s="23"/>
      <c r="D76" s="23">
        <v>1</v>
      </c>
      <c r="E76" s="23"/>
      <c r="F76" s="23">
        <v>1</v>
      </c>
      <c r="G76" s="23">
        <v>1</v>
      </c>
      <c r="H76" s="23"/>
      <c r="J76" s="23">
        <v>1</v>
      </c>
      <c r="K76" s="23"/>
      <c r="L76" s="23">
        <v>1</v>
      </c>
      <c r="M76" s="23"/>
      <c r="N76" s="23">
        <v>1</v>
      </c>
      <c r="O76" s="23">
        <v>1</v>
      </c>
      <c r="Q76" s="23">
        <v>1</v>
      </c>
      <c r="R76" s="23"/>
      <c r="S76" s="23"/>
      <c r="T76" s="23"/>
      <c r="U76" s="23"/>
      <c r="V76" s="23"/>
      <c r="X76" s="23"/>
      <c r="Y76" s="23"/>
      <c r="Z76" s="23"/>
      <c r="AB76" s="23"/>
      <c r="AD76" s="23"/>
      <c r="AE76" s="23"/>
      <c r="AF76" s="23"/>
      <c r="AG76" s="23"/>
      <c r="AH76" s="23"/>
      <c r="AI76" s="23"/>
      <c r="AJ76" s="23"/>
      <c r="AK76" s="23"/>
      <c r="AL76" s="23"/>
      <c r="AN76" s="23"/>
      <c r="AO76" s="23"/>
      <c r="AP76" s="23"/>
      <c r="AQ76" s="23"/>
      <c r="AR76" s="23"/>
      <c r="AS76" s="23">
        <v>1</v>
      </c>
      <c r="AT76" s="23"/>
      <c r="AU76" s="23"/>
      <c r="AV76" s="23"/>
      <c r="AW76" s="23"/>
      <c r="AX76" s="23"/>
      <c r="AY76" s="23"/>
      <c r="AZ76" s="23">
        <v>1</v>
      </c>
      <c r="BA76" s="23"/>
      <c r="BC76" s="23">
        <v>1</v>
      </c>
      <c r="BD76" s="23">
        <v>1</v>
      </c>
      <c r="BE76" s="23"/>
      <c r="BF76" s="23"/>
      <c r="BG76" s="23"/>
      <c r="BH76" s="23"/>
      <c r="BI76" s="23"/>
      <c r="BJ76" s="23"/>
      <c r="BK76" s="23">
        <v>1</v>
      </c>
      <c r="BL76" s="23">
        <v>1</v>
      </c>
      <c r="BM76" s="23"/>
      <c r="BN76" s="23"/>
      <c r="BO76" s="23"/>
      <c r="BP76" s="23"/>
      <c r="BQ76" s="23">
        <v>1</v>
      </c>
      <c r="BR76" s="23">
        <v>1</v>
      </c>
      <c r="BS76" s="23">
        <v>1</v>
      </c>
      <c r="BT76" s="23">
        <v>1</v>
      </c>
      <c r="BU76" s="23">
        <v>1</v>
      </c>
      <c r="BV76" s="23">
        <f>SUM(C76:BU76)</f>
        <v>19</v>
      </c>
    </row>
    <row r="77" spans="1:74" ht="12.75" customHeight="1" x14ac:dyDescent="0.2">
      <c r="B77" s="23" t="s">
        <v>139</v>
      </c>
      <c r="C77" s="23"/>
      <c r="D77" s="23">
        <v>1</v>
      </c>
      <c r="E77" s="23"/>
      <c r="F77" s="23">
        <v>1</v>
      </c>
      <c r="G77" s="23">
        <v>1</v>
      </c>
      <c r="H77" s="23"/>
      <c r="I77" s="23"/>
      <c r="J77" s="23">
        <v>1</v>
      </c>
      <c r="K77" s="23"/>
      <c r="L77" s="23">
        <v>1</v>
      </c>
      <c r="M77" s="23"/>
      <c r="N77" s="23"/>
      <c r="O77" s="23"/>
      <c r="Q77" s="23">
        <v>1</v>
      </c>
      <c r="R77" s="23"/>
      <c r="S77" s="23"/>
      <c r="T77" s="23"/>
      <c r="U77" s="23">
        <v>1</v>
      </c>
      <c r="V77" s="23"/>
      <c r="X77" s="23"/>
      <c r="Y77" s="23">
        <v>1</v>
      </c>
      <c r="Z77" s="23"/>
      <c r="AB77" s="23"/>
      <c r="AD77" s="23"/>
      <c r="AE77" s="23"/>
      <c r="AF77" s="23"/>
      <c r="AG77" s="23"/>
      <c r="AH77" s="23"/>
      <c r="AI77" s="23">
        <v>1</v>
      </c>
      <c r="AJ77" s="23"/>
      <c r="AK77" s="23"/>
      <c r="AL77" s="23"/>
      <c r="AM77" s="23"/>
      <c r="AN77" s="23">
        <v>1</v>
      </c>
      <c r="AO77" s="23"/>
      <c r="AP77" s="23"/>
      <c r="AQ77" s="23"/>
      <c r="AR77" s="23"/>
      <c r="AS77" s="23">
        <v>1</v>
      </c>
      <c r="AT77" s="23"/>
      <c r="AU77" s="23"/>
      <c r="AV77" s="23"/>
      <c r="AW77" s="23"/>
      <c r="AX77" s="23"/>
      <c r="AY77" s="23"/>
      <c r="AZ77" s="23">
        <v>1</v>
      </c>
      <c r="BA77" s="23"/>
      <c r="BC77" s="23">
        <v>1</v>
      </c>
      <c r="BD77" s="23">
        <v>1</v>
      </c>
      <c r="BE77" s="23"/>
      <c r="BF77" s="23"/>
      <c r="BG77" s="23"/>
      <c r="BH77" s="23"/>
      <c r="BI77" s="23"/>
      <c r="BJ77" s="23"/>
      <c r="BK77" s="23">
        <v>1</v>
      </c>
      <c r="BL77" s="23"/>
      <c r="BM77" s="23"/>
      <c r="BN77" s="23"/>
      <c r="BO77" s="23"/>
      <c r="BP77" s="23"/>
      <c r="BQ77" s="23">
        <v>1</v>
      </c>
      <c r="BR77" s="23">
        <v>1</v>
      </c>
      <c r="BS77" s="23">
        <v>1</v>
      </c>
      <c r="BT77" s="23">
        <v>1</v>
      </c>
      <c r="BU77" s="23">
        <v>1</v>
      </c>
      <c r="BV77" s="23">
        <f t="shared" ref="BV77:BV92" si="4">SUM(C77:BU77)</f>
        <v>20</v>
      </c>
    </row>
    <row r="78" spans="1:74" ht="12.75" customHeight="1" x14ac:dyDescent="0.2">
      <c r="B78" s="23" t="s">
        <v>1035</v>
      </c>
      <c r="C78" s="23">
        <v>1</v>
      </c>
      <c r="D78" s="23"/>
      <c r="E78" s="23">
        <v>1</v>
      </c>
      <c r="F78" s="23">
        <v>1</v>
      </c>
      <c r="G78" s="23"/>
      <c r="H78" s="23">
        <v>1</v>
      </c>
      <c r="I78" s="23">
        <v>1</v>
      </c>
      <c r="J78" s="23"/>
      <c r="K78" s="23">
        <v>1</v>
      </c>
      <c r="L78" s="23"/>
      <c r="M78" s="23"/>
      <c r="N78" s="23"/>
      <c r="O78" s="23"/>
      <c r="Q78" s="23">
        <v>1</v>
      </c>
      <c r="R78" s="23"/>
      <c r="S78" s="23"/>
      <c r="T78" s="23"/>
      <c r="U78" s="23"/>
      <c r="V78" s="23">
        <v>1</v>
      </c>
      <c r="X78" s="23">
        <v>1</v>
      </c>
      <c r="Y78" s="23"/>
      <c r="Z78" s="23"/>
      <c r="AB78" s="23"/>
      <c r="AD78" s="23"/>
      <c r="AE78" s="23"/>
      <c r="AF78" s="23"/>
      <c r="AG78" s="23"/>
      <c r="AH78" s="23"/>
      <c r="AI78" s="23"/>
      <c r="AJ78" s="23">
        <v>1</v>
      </c>
      <c r="AK78" s="23"/>
      <c r="AL78" s="23"/>
      <c r="AM78" s="23">
        <v>1</v>
      </c>
      <c r="AN78" s="23"/>
      <c r="AO78" s="23">
        <v>1</v>
      </c>
      <c r="AP78" s="23">
        <v>1</v>
      </c>
      <c r="AQ78" s="23">
        <v>1</v>
      </c>
      <c r="AR78" s="23"/>
      <c r="AS78" s="23"/>
      <c r="AT78" s="23"/>
      <c r="AU78" s="23"/>
      <c r="AV78" s="23"/>
      <c r="AW78" s="23"/>
      <c r="AX78" s="23"/>
      <c r="AY78" s="23"/>
      <c r="AZ78" s="23"/>
      <c r="BA78" s="23"/>
      <c r="BC78" s="23">
        <v>1</v>
      </c>
      <c r="BD78" s="23">
        <v>1</v>
      </c>
      <c r="BE78" s="23"/>
      <c r="BF78" s="23"/>
      <c r="BG78" s="23"/>
      <c r="BH78" s="23"/>
      <c r="BI78" s="23">
        <v>1</v>
      </c>
      <c r="BJ78" s="23">
        <v>1</v>
      </c>
      <c r="BK78" s="23"/>
      <c r="BL78" s="23"/>
      <c r="BM78" s="23"/>
      <c r="BN78" s="23"/>
      <c r="BO78" s="23"/>
      <c r="BP78" s="23"/>
      <c r="BQ78" s="23">
        <v>1</v>
      </c>
      <c r="BR78" s="23">
        <v>1</v>
      </c>
      <c r="BS78" s="23">
        <v>1</v>
      </c>
      <c r="BT78" s="23">
        <v>1</v>
      </c>
      <c r="BU78" s="23">
        <v>1</v>
      </c>
      <c r="BV78" s="23">
        <f t="shared" si="4"/>
        <v>23</v>
      </c>
    </row>
    <row r="79" spans="1:74" ht="12.75" customHeight="1" x14ac:dyDescent="0.2">
      <c r="B79" s="23" t="s">
        <v>78</v>
      </c>
      <c r="C79" s="23">
        <v>1</v>
      </c>
      <c r="D79" s="23"/>
      <c r="E79" s="23"/>
      <c r="F79" s="23">
        <v>1</v>
      </c>
      <c r="G79" s="23"/>
      <c r="H79" s="23">
        <v>1</v>
      </c>
      <c r="I79" s="23"/>
      <c r="J79" s="23"/>
      <c r="K79" s="23">
        <v>1</v>
      </c>
      <c r="L79" s="23"/>
      <c r="M79" s="23"/>
      <c r="N79" s="23"/>
      <c r="O79" s="23"/>
      <c r="Q79" s="23">
        <v>1</v>
      </c>
      <c r="R79" s="23"/>
      <c r="S79" s="23"/>
      <c r="T79" s="23"/>
      <c r="U79" s="23"/>
      <c r="V79" s="23"/>
      <c r="X79" s="23">
        <v>1</v>
      </c>
      <c r="Y79" s="23"/>
      <c r="Z79" s="23">
        <v>1</v>
      </c>
      <c r="AB79" s="23"/>
      <c r="AD79" s="23"/>
      <c r="AE79" s="23"/>
      <c r="AF79" s="23"/>
      <c r="AG79" s="23"/>
      <c r="AH79" s="23"/>
      <c r="AI79" s="23"/>
      <c r="AJ79" s="23">
        <v>1</v>
      </c>
      <c r="AK79" s="23"/>
      <c r="AL79" s="23"/>
      <c r="AM79" s="23">
        <v>1</v>
      </c>
      <c r="AN79" s="23"/>
      <c r="AO79" s="23">
        <v>1</v>
      </c>
      <c r="AP79" s="23">
        <v>1</v>
      </c>
      <c r="AQ79" s="23">
        <v>1</v>
      </c>
      <c r="AR79" s="23"/>
      <c r="AS79" s="23"/>
      <c r="AT79" s="23"/>
      <c r="AU79" s="23"/>
      <c r="AV79" s="23"/>
      <c r="AW79" s="23"/>
      <c r="AX79" s="23">
        <v>1</v>
      </c>
      <c r="AY79" s="23">
        <v>1</v>
      </c>
      <c r="AZ79" s="23"/>
      <c r="BA79" s="23">
        <v>1</v>
      </c>
      <c r="BC79" s="23">
        <v>1</v>
      </c>
      <c r="BD79" s="23">
        <v>1</v>
      </c>
      <c r="BE79" s="23"/>
      <c r="BF79" s="23"/>
      <c r="BG79" s="23"/>
      <c r="BH79" s="23"/>
      <c r="BI79" s="23">
        <v>1</v>
      </c>
      <c r="BJ79" s="23">
        <v>1</v>
      </c>
      <c r="BK79" s="23"/>
      <c r="BL79" s="23"/>
      <c r="BM79" s="23"/>
      <c r="BN79" s="23"/>
      <c r="BO79" s="23"/>
      <c r="BP79" s="23"/>
      <c r="BQ79" s="23">
        <v>1</v>
      </c>
      <c r="BR79" s="23">
        <v>1</v>
      </c>
      <c r="BS79" s="23">
        <v>1</v>
      </c>
      <c r="BT79" s="23">
        <v>1</v>
      </c>
      <c r="BU79" s="23">
        <v>1</v>
      </c>
      <c r="BV79" s="23">
        <f t="shared" si="4"/>
        <v>24</v>
      </c>
    </row>
    <row r="80" spans="1:74" ht="12.75" customHeight="1" x14ac:dyDescent="0.2">
      <c r="B80" s="23" t="s">
        <v>1036</v>
      </c>
      <c r="C80" s="23"/>
      <c r="D80" s="23"/>
      <c r="E80" s="23"/>
      <c r="F80" s="23">
        <v>1</v>
      </c>
      <c r="G80" s="23"/>
      <c r="H80" s="23">
        <v>1</v>
      </c>
      <c r="I80" s="23"/>
      <c r="J80" s="23"/>
      <c r="K80" s="23"/>
      <c r="L80" s="23"/>
      <c r="M80" s="23"/>
      <c r="N80" s="23"/>
      <c r="O80" s="23"/>
      <c r="Q80" s="23">
        <v>1</v>
      </c>
      <c r="R80" s="23"/>
      <c r="S80" s="23">
        <v>1</v>
      </c>
      <c r="T80" s="23"/>
      <c r="U80" s="23"/>
      <c r="V80" s="23"/>
      <c r="X80" s="23">
        <v>1</v>
      </c>
      <c r="Y80" s="23"/>
      <c r="Z80" s="23"/>
      <c r="AB80" s="23"/>
      <c r="AD80" s="23"/>
      <c r="AE80" s="23"/>
      <c r="AF80" s="23"/>
      <c r="AG80" s="23"/>
      <c r="AH80" s="23"/>
      <c r="AI80" s="23"/>
      <c r="AJ80" s="23">
        <v>1</v>
      </c>
      <c r="AK80" s="23"/>
      <c r="AL80" s="23"/>
      <c r="AM80" s="23"/>
      <c r="AN80" s="23"/>
      <c r="AO80" s="23"/>
      <c r="AP80" s="23"/>
      <c r="AQ80" s="23"/>
      <c r="AR80" s="23"/>
      <c r="AS80" s="23"/>
      <c r="AT80" s="23"/>
      <c r="AU80" s="23"/>
      <c r="AV80" s="23"/>
      <c r="AW80" s="23"/>
      <c r="AX80" s="23"/>
      <c r="AY80" s="23"/>
      <c r="AZ80" s="23"/>
      <c r="BA80" s="23"/>
      <c r="BC80" s="23">
        <v>1</v>
      </c>
      <c r="BD80" s="23">
        <v>1</v>
      </c>
      <c r="BE80" s="23"/>
      <c r="BF80" s="23"/>
      <c r="BG80" s="23"/>
      <c r="BH80" s="23"/>
      <c r="BI80" s="23"/>
      <c r="BJ80" s="23"/>
      <c r="BK80" s="23"/>
      <c r="BL80" s="23"/>
      <c r="BM80" s="23"/>
      <c r="BN80" s="23"/>
      <c r="BO80" s="23"/>
      <c r="BP80" s="23"/>
      <c r="BQ80" s="23">
        <v>1</v>
      </c>
      <c r="BR80" s="23">
        <v>1</v>
      </c>
      <c r="BS80" s="23">
        <v>1</v>
      </c>
      <c r="BT80" s="23">
        <v>1</v>
      </c>
      <c r="BU80" s="23">
        <v>1</v>
      </c>
      <c r="BV80" s="23">
        <f t="shared" si="4"/>
        <v>13</v>
      </c>
    </row>
    <row r="81" spans="2:74" ht="12.75" customHeight="1" x14ac:dyDescent="0.2">
      <c r="B81" s="23" t="s">
        <v>48</v>
      </c>
      <c r="C81" s="23"/>
      <c r="D81" s="23"/>
      <c r="E81" s="23"/>
      <c r="F81" s="23">
        <v>1</v>
      </c>
      <c r="G81" s="23"/>
      <c r="H81" s="23"/>
      <c r="I81" s="23">
        <v>1</v>
      </c>
      <c r="J81" s="23"/>
      <c r="K81" s="23"/>
      <c r="L81" s="23"/>
      <c r="M81" s="23"/>
      <c r="N81" s="23"/>
      <c r="O81" s="23"/>
      <c r="Q81" s="23">
        <v>1</v>
      </c>
      <c r="R81" s="23">
        <v>1</v>
      </c>
      <c r="S81" s="23"/>
      <c r="T81" s="23">
        <v>1</v>
      </c>
      <c r="U81" s="23"/>
      <c r="V81" s="23"/>
      <c r="W81" s="23">
        <v>1</v>
      </c>
      <c r="X81" s="23"/>
      <c r="Y81" s="23"/>
      <c r="Z81" s="23"/>
      <c r="AA81" s="23"/>
      <c r="AB81" s="23"/>
      <c r="AD81" s="23"/>
      <c r="AE81" s="23"/>
      <c r="AF81" s="23"/>
      <c r="AG81" s="23"/>
      <c r="AH81" s="23"/>
      <c r="AI81" s="23"/>
      <c r="AJ81" s="23"/>
      <c r="AK81" s="23"/>
      <c r="AL81" s="23"/>
      <c r="AM81" s="23">
        <v>1</v>
      </c>
      <c r="AN81" s="23"/>
      <c r="AO81" s="23"/>
      <c r="AP81" s="23"/>
      <c r="AQ81" s="23"/>
      <c r="AR81" s="23"/>
      <c r="AS81" s="23"/>
      <c r="AT81" s="23">
        <v>1</v>
      </c>
      <c r="AU81" s="23">
        <v>1</v>
      </c>
      <c r="AV81" s="23"/>
      <c r="AW81" s="23"/>
      <c r="AX81" s="23"/>
      <c r="AY81" s="23"/>
      <c r="AZ81" s="23"/>
      <c r="BA81" s="23"/>
      <c r="BB81" s="23">
        <v>1</v>
      </c>
      <c r="BC81" s="23">
        <v>1</v>
      </c>
      <c r="BD81" s="23">
        <v>1</v>
      </c>
      <c r="BE81" s="23"/>
      <c r="BF81" s="23"/>
      <c r="BG81" s="23"/>
      <c r="BH81" s="23">
        <v>1</v>
      </c>
      <c r="BI81" s="23"/>
      <c r="BJ81" s="23"/>
      <c r="BK81" s="23"/>
      <c r="BL81" s="23"/>
      <c r="BM81" s="23">
        <v>1</v>
      </c>
      <c r="BN81" s="23"/>
      <c r="BO81" s="23">
        <v>1</v>
      </c>
      <c r="BP81" s="23">
        <v>1</v>
      </c>
      <c r="BQ81" s="23">
        <v>1</v>
      </c>
      <c r="BR81" s="23">
        <v>1</v>
      </c>
      <c r="BS81" s="23">
        <v>1</v>
      </c>
      <c r="BT81" s="23">
        <v>1</v>
      </c>
      <c r="BU81" s="23">
        <v>1</v>
      </c>
      <c r="BV81" s="23">
        <f t="shared" si="4"/>
        <v>21</v>
      </c>
    </row>
    <row r="82" spans="2:74" ht="12.75" customHeight="1" x14ac:dyDescent="0.2">
      <c r="B82" s="23" t="s">
        <v>1037</v>
      </c>
      <c r="C82" s="23"/>
      <c r="D82" s="23"/>
      <c r="E82" s="23"/>
      <c r="F82" s="23">
        <v>1</v>
      </c>
      <c r="G82" s="23"/>
      <c r="H82" s="23"/>
      <c r="I82" s="23"/>
      <c r="J82" s="23"/>
      <c r="K82" s="23"/>
      <c r="L82" s="23"/>
      <c r="M82" s="23"/>
      <c r="N82" s="23"/>
      <c r="O82" s="23"/>
      <c r="P82" s="23">
        <v>1</v>
      </c>
      <c r="Q82" s="23">
        <v>1</v>
      </c>
      <c r="R82" s="23"/>
      <c r="S82" s="23"/>
      <c r="T82" s="23"/>
      <c r="U82" s="23">
        <v>1</v>
      </c>
      <c r="V82" s="23"/>
      <c r="X82" s="23"/>
      <c r="Y82" s="23">
        <v>1</v>
      </c>
      <c r="Z82" s="23">
        <v>1</v>
      </c>
      <c r="AA82" s="23">
        <v>1</v>
      </c>
      <c r="AB82" s="23">
        <v>1</v>
      </c>
      <c r="AC82" s="23">
        <v>1</v>
      </c>
      <c r="AD82" s="23"/>
      <c r="AE82" s="23"/>
      <c r="AF82" s="23"/>
      <c r="AG82" s="23"/>
      <c r="AH82" s="23"/>
      <c r="AI82" s="23">
        <v>1</v>
      </c>
      <c r="AJ82" s="23"/>
      <c r="AK82" s="23">
        <v>1</v>
      </c>
      <c r="AL82" s="23"/>
      <c r="AM82" s="23"/>
      <c r="AN82" s="23">
        <v>1</v>
      </c>
      <c r="AO82" s="23"/>
      <c r="AP82" s="23"/>
      <c r="AQ82" s="23"/>
      <c r="AR82" s="23"/>
      <c r="AS82" s="23"/>
      <c r="AT82" s="23"/>
      <c r="AU82" s="23"/>
      <c r="AV82" s="23"/>
      <c r="AW82" s="23">
        <v>1</v>
      </c>
      <c r="AX82" s="23"/>
      <c r="AY82" s="23">
        <v>1</v>
      </c>
      <c r="AZ82" s="23"/>
      <c r="BA82" s="23">
        <v>1</v>
      </c>
      <c r="BC82" s="23">
        <v>1</v>
      </c>
      <c r="BD82" s="23">
        <v>1</v>
      </c>
      <c r="BE82" s="23"/>
      <c r="BF82" s="23">
        <v>1</v>
      </c>
      <c r="BG82" s="23"/>
      <c r="BH82" s="23"/>
      <c r="BI82" s="23"/>
      <c r="BJ82" s="23"/>
      <c r="BK82" s="23"/>
      <c r="BL82" s="23"/>
      <c r="BN82" s="23"/>
      <c r="BO82" s="23"/>
      <c r="BP82" s="23"/>
      <c r="BQ82" s="23">
        <v>1</v>
      </c>
      <c r="BR82" s="23">
        <v>1</v>
      </c>
      <c r="BS82" s="23">
        <v>1</v>
      </c>
      <c r="BT82" s="23">
        <v>1</v>
      </c>
      <c r="BU82" s="23">
        <v>1</v>
      </c>
      <c r="BV82" s="23">
        <f t="shared" si="4"/>
        <v>23</v>
      </c>
    </row>
    <row r="83" spans="2:74" ht="12.75" customHeight="1" x14ac:dyDescent="0.2">
      <c r="B83" s="23" t="s">
        <v>97</v>
      </c>
      <c r="C83" s="23"/>
      <c r="D83" s="23"/>
      <c r="E83" s="23"/>
      <c r="F83" s="23">
        <v>1</v>
      </c>
      <c r="G83" s="23"/>
      <c r="H83" s="23"/>
      <c r="I83" s="23"/>
      <c r="J83" s="23"/>
      <c r="K83" s="23"/>
      <c r="L83" s="23"/>
      <c r="M83" s="23">
        <v>1</v>
      </c>
      <c r="N83" s="23"/>
      <c r="O83" s="23"/>
      <c r="P83" s="23"/>
      <c r="Q83" s="23">
        <v>1</v>
      </c>
      <c r="R83" s="23"/>
      <c r="S83" s="23">
        <v>1</v>
      </c>
      <c r="T83" s="23"/>
      <c r="U83" s="23"/>
      <c r="V83" s="23"/>
      <c r="X83" s="23"/>
      <c r="Y83" s="23"/>
      <c r="Z83" s="23"/>
      <c r="AA83" s="23"/>
      <c r="AB83" s="23"/>
      <c r="AC83" s="23"/>
      <c r="AD83" s="23"/>
      <c r="AE83" s="23"/>
      <c r="AF83" s="23"/>
      <c r="AG83" s="23">
        <v>1</v>
      </c>
      <c r="AH83" s="23"/>
      <c r="AI83" s="23"/>
      <c r="AJ83" s="23"/>
      <c r="AK83" s="23"/>
      <c r="AL83" s="23"/>
      <c r="AM83" s="23"/>
      <c r="AN83" s="23"/>
      <c r="AO83" s="23"/>
      <c r="AP83" s="23"/>
      <c r="AQ83" s="23"/>
      <c r="AR83" s="23">
        <v>1</v>
      </c>
      <c r="AS83" s="23"/>
      <c r="AT83" s="23"/>
      <c r="AU83" s="23"/>
      <c r="AV83" s="23">
        <v>1</v>
      </c>
      <c r="AW83" s="23"/>
      <c r="AX83" s="23">
        <v>1</v>
      </c>
      <c r="AY83" s="23"/>
      <c r="AZ83" s="23"/>
      <c r="BA83" s="23"/>
      <c r="BC83" s="23">
        <v>1</v>
      </c>
      <c r="BD83" s="23">
        <v>1</v>
      </c>
      <c r="BE83" s="23">
        <v>1</v>
      </c>
      <c r="BF83" s="23"/>
      <c r="BG83" s="23"/>
      <c r="BH83" s="23"/>
      <c r="BI83" s="23"/>
      <c r="BJ83" s="23"/>
      <c r="BK83" s="23"/>
      <c r="BL83" s="23"/>
      <c r="BM83" s="23"/>
      <c r="BN83" s="23">
        <v>1</v>
      </c>
      <c r="BO83" s="23"/>
      <c r="BP83" s="23"/>
      <c r="BQ83" s="23"/>
      <c r="BR83" s="23">
        <v>1</v>
      </c>
      <c r="BS83" s="23">
        <v>1</v>
      </c>
      <c r="BT83" s="23">
        <v>1</v>
      </c>
      <c r="BU83" s="23">
        <v>1</v>
      </c>
      <c r="BV83" s="23">
        <f t="shared" si="4"/>
        <v>16</v>
      </c>
    </row>
    <row r="84" spans="2:74" ht="12.75" customHeight="1" x14ac:dyDescent="0.2">
      <c r="B84" s="23" t="s">
        <v>21</v>
      </c>
      <c r="C84" s="23"/>
      <c r="D84" s="23"/>
      <c r="E84" s="23"/>
      <c r="F84" s="23">
        <v>1</v>
      </c>
      <c r="G84" s="23"/>
      <c r="H84" s="23"/>
      <c r="I84" s="23"/>
      <c r="J84" s="23"/>
      <c r="K84" s="23"/>
      <c r="L84" s="23"/>
      <c r="M84" s="23"/>
      <c r="N84" s="23"/>
      <c r="O84" s="23"/>
      <c r="P84" s="23"/>
      <c r="Q84" s="23">
        <v>1</v>
      </c>
      <c r="R84" s="23"/>
      <c r="S84" s="23"/>
      <c r="T84" s="23"/>
      <c r="U84" s="23"/>
      <c r="V84" s="23"/>
      <c r="X84" s="23"/>
      <c r="Y84" s="23"/>
      <c r="Z84" s="23"/>
      <c r="AA84" s="23"/>
      <c r="AB84" s="23"/>
      <c r="AC84" s="23"/>
      <c r="AD84" s="23">
        <v>1</v>
      </c>
      <c r="AE84" s="23">
        <v>1</v>
      </c>
      <c r="AF84" s="23">
        <v>1</v>
      </c>
      <c r="AG84" s="23"/>
      <c r="AH84" s="23">
        <v>1</v>
      </c>
      <c r="AI84" s="23"/>
      <c r="AJ84" s="19"/>
      <c r="AK84" s="19"/>
      <c r="AL84" s="23">
        <v>1</v>
      </c>
      <c r="AM84" s="23"/>
      <c r="AN84" s="23"/>
      <c r="AO84" s="23">
        <v>1</v>
      </c>
      <c r="AP84" s="23">
        <v>1</v>
      </c>
      <c r="AQ84" s="23">
        <v>1</v>
      </c>
      <c r="AR84" s="23"/>
      <c r="AS84" s="23"/>
      <c r="AT84" s="23"/>
      <c r="AU84" s="23">
        <v>1</v>
      </c>
      <c r="AV84" s="23"/>
      <c r="AW84" s="23"/>
      <c r="AX84" s="23"/>
      <c r="AY84" s="23"/>
      <c r="AZ84" s="23"/>
      <c r="BA84" s="23"/>
      <c r="BC84" s="23">
        <v>1</v>
      </c>
      <c r="BD84" s="23">
        <v>1</v>
      </c>
      <c r="BE84" s="23"/>
      <c r="BF84" s="23"/>
      <c r="BG84" s="23">
        <v>1</v>
      </c>
      <c r="BH84" s="23"/>
      <c r="BI84" s="23"/>
      <c r="BJ84" s="23"/>
      <c r="BK84" s="23"/>
      <c r="BL84" s="23"/>
      <c r="BM84" s="23"/>
      <c r="BN84" s="23"/>
      <c r="BO84" s="23"/>
      <c r="BP84" s="23"/>
      <c r="BQ84" s="23">
        <v>1</v>
      </c>
      <c r="BR84" s="23">
        <v>1</v>
      </c>
      <c r="BS84" s="23">
        <v>1</v>
      </c>
      <c r="BT84" s="23">
        <v>1</v>
      </c>
      <c r="BU84" s="23">
        <v>1</v>
      </c>
      <c r="BV84" s="23">
        <f t="shared" si="4"/>
        <v>19</v>
      </c>
    </row>
    <row r="85" spans="2:74" ht="12.75" customHeight="1" x14ac:dyDescent="0.2">
      <c r="B85" s="23" t="s">
        <v>1508</v>
      </c>
      <c r="C85" s="23"/>
      <c r="D85" s="23">
        <v>1</v>
      </c>
      <c r="E85" s="23"/>
      <c r="F85" s="23">
        <v>1</v>
      </c>
      <c r="G85" s="23">
        <v>1</v>
      </c>
      <c r="H85" s="23"/>
      <c r="I85" s="23"/>
      <c r="J85" s="23">
        <v>1</v>
      </c>
      <c r="K85" s="23"/>
      <c r="L85" s="23">
        <v>1</v>
      </c>
      <c r="M85" s="23"/>
      <c r="N85" s="23">
        <v>1</v>
      </c>
      <c r="O85" s="23">
        <v>1</v>
      </c>
      <c r="P85" s="23"/>
      <c r="Q85" s="23">
        <v>1</v>
      </c>
      <c r="R85" s="23"/>
      <c r="S85" s="23"/>
      <c r="T85" s="23"/>
      <c r="U85" s="23"/>
      <c r="V85" s="23"/>
      <c r="X85" s="23"/>
      <c r="Y85" s="23">
        <v>1</v>
      </c>
      <c r="Z85" s="23"/>
      <c r="AA85" s="23">
        <v>1</v>
      </c>
      <c r="AB85" s="23"/>
      <c r="AC85" s="23"/>
      <c r="AD85" s="23"/>
      <c r="AE85" s="23"/>
      <c r="AF85" s="23"/>
      <c r="AG85" s="23"/>
      <c r="AH85" s="23"/>
      <c r="AI85" s="23">
        <v>1</v>
      </c>
      <c r="AJ85" s="19"/>
      <c r="AK85" s="23"/>
      <c r="AL85" s="23"/>
      <c r="AM85" s="23"/>
      <c r="AN85" s="23">
        <v>1</v>
      </c>
      <c r="AO85" s="23"/>
      <c r="AP85" s="23"/>
      <c r="AQ85" s="23"/>
      <c r="AR85" s="23"/>
      <c r="AS85" s="23">
        <v>1</v>
      </c>
      <c r="AT85" s="23"/>
      <c r="AU85" s="23"/>
      <c r="AV85" s="23"/>
      <c r="AW85" s="23"/>
      <c r="AX85" s="23"/>
      <c r="AY85" s="23"/>
      <c r="AZ85" s="23"/>
      <c r="BA85" s="23"/>
      <c r="BC85" s="23">
        <v>1</v>
      </c>
      <c r="BD85" s="23">
        <v>1</v>
      </c>
      <c r="BE85" s="23"/>
      <c r="BF85" s="23">
        <v>1</v>
      </c>
      <c r="BG85" s="23"/>
      <c r="BH85" s="23"/>
      <c r="BI85" s="23"/>
      <c r="BJ85" s="23"/>
      <c r="BK85" s="23">
        <v>1</v>
      </c>
      <c r="BL85" s="23">
        <v>1</v>
      </c>
      <c r="BM85" s="23"/>
      <c r="BN85" s="23"/>
      <c r="BO85" s="23"/>
      <c r="BP85" s="23"/>
      <c r="BQ85" s="23">
        <v>1</v>
      </c>
      <c r="BR85" s="23">
        <v>1</v>
      </c>
      <c r="BS85" s="23">
        <v>1</v>
      </c>
      <c r="BT85" s="23">
        <v>1</v>
      </c>
      <c r="BU85" s="23">
        <v>1</v>
      </c>
      <c r="BV85" s="23">
        <f t="shared" si="4"/>
        <v>23</v>
      </c>
    </row>
    <row r="86" spans="2:74" ht="12.75" customHeight="1" x14ac:dyDescent="0.2">
      <c r="B86" s="23" t="s">
        <v>111</v>
      </c>
      <c r="C86" s="23">
        <v>1</v>
      </c>
      <c r="D86" s="23">
        <v>1</v>
      </c>
      <c r="E86" s="23"/>
      <c r="F86" s="23">
        <v>1</v>
      </c>
      <c r="G86" s="23">
        <v>1</v>
      </c>
      <c r="H86" s="23">
        <v>1</v>
      </c>
      <c r="I86" s="23"/>
      <c r="J86" s="23">
        <v>1</v>
      </c>
      <c r="K86" s="23">
        <v>1</v>
      </c>
      <c r="L86" s="23">
        <v>1</v>
      </c>
      <c r="M86" s="23"/>
      <c r="N86" s="23">
        <v>1</v>
      </c>
      <c r="O86" s="23">
        <v>1</v>
      </c>
      <c r="P86" s="23"/>
      <c r="Q86" s="23">
        <v>1</v>
      </c>
      <c r="R86" s="23"/>
      <c r="S86" s="23"/>
      <c r="T86" s="23"/>
      <c r="U86" s="23">
        <v>1</v>
      </c>
      <c r="V86" s="23"/>
      <c r="X86" s="23">
        <v>1</v>
      </c>
      <c r="Y86" s="23"/>
      <c r="Z86" s="23">
        <v>1</v>
      </c>
      <c r="AA86" s="23"/>
      <c r="AB86" s="23"/>
      <c r="AC86" s="23"/>
      <c r="AD86" s="23"/>
      <c r="AE86" s="23"/>
      <c r="AF86" s="23"/>
      <c r="AG86" s="23"/>
      <c r="AH86" s="23"/>
      <c r="AI86" s="23"/>
      <c r="AJ86" s="23">
        <v>1</v>
      </c>
      <c r="AK86" s="23"/>
      <c r="AL86" s="23"/>
      <c r="AM86" s="23">
        <v>1</v>
      </c>
      <c r="AN86" s="23"/>
      <c r="AO86" s="23">
        <v>1</v>
      </c>
      <c r="AP86" s="23">
        <v>1</v>
      </c>
      <c r="AQ86" s="23">
        <v>1</v>
      </c>
      <c r="AR86" s="23"/>
      <c r="AS86" s="23">
        <v>1</v>
      </c>
      <c r="AT86" s="23"/>
      <c r="AU86" s="23"/>
      <c r="AV86" s="23"/>
      <c r="AW86" s="23"/>
      <c r="AX86" s="23">
        <v>1</v>
      </c>
      <c r="AY86" s="23">
        <v>1</v>
      </c>
      <c r="AZ86" s="23">
        <v>1</v>
      </c>
      <c r="BA86" s="23">
        <v>1</v>
      </c>
      <c r="BC86" s="23">
        <v>1</v>
      </c>
      <c r="BD86" s="23">
        <v>1</v>
      </c>
      <c r="BE86" s="23"/>
      <c r="BF86" s="23"/>
      <c r="BG86" s="23"/>
      <c r="BH86" s="23"/>
      <c r="BI86" s="23">
        <v>1</v>
      </c>
      <c r="BJ86" s="23">
        <v>1</v>
      </c>
      <c r="BK86" s="23">
        <v>1</v>
      </c>
      <c r="BL86" s="23">
        <v>1</v>
      </c>
      <c r="BM86" s="23"/>
      <c r="BN86" s="23"/>
      <c r="BO86" s="23"/>
      <c r="BP86" s="23"/>
      <c r="BQ86" s="23">
        <v>1</v>
      </c>
      <c r="BR86" s="23">
        <v>1</v>
      </c>
      <c r="BS86" s="23">
        <v>1</v>
      </c>
      <c r="BT86" s="23">
        <v>1</v>
      </c>
      <c r="BU86" s="23">
        <v>1</v>
      </c>
      <c r="BV86" s="23">
        <f t="shared" si="4"/>
        <v>35</v>
      </c>
    </row>
    <row r="87" spans="2:74" ht="12.75" customHeight="1" x14ac:dyDescent="0.2">
      <c r="B87" s="23" t="s">
        <v>104</v>
      </c>
      <c r="C87" s="23">
        <v>1</v>
      </c>
      <c r="D87" s="23"/>
      <c r="E87" s="23"/>
      <c r="F87" s="23">
        <v>1</v>
      </c>
      <c r="G87" s="23"/>
      <c r="H87" s="23">
        <v>1</v>
      </c>
      <c r="J87" s="23"/>
      <c r="K87" s="23">
        <v>1</v>
      </c>
      <c r="L87" s="23"/>
      <c r="M87" s="23"/>
      <c r="N87" s="23"/>
      <c r="O87" s="23"/>
      <c r="P87" s="23"/>
      <c r="Q87" s="23">
        <v>1</v>
      </c>
      <c r="R87" s="23"/>
      <c r="S87" s="23"/>
      <c r="T87" s="23"/>
      <c r="U87" s="23"/>
      <c r="V87" s="23"/>
      <c r="X87" s="23">
        <v>1</v>
      </c>
      <c r="Y87" s="23"/>
      <c r="Z87" s="23">
        <v>1</v>
      </c>
      <c r="AA87" s="23"/>
      <c r="AB87" s="23"/>
      <c r="AC87" s="23"/>
      <c r="AD87" s="23">
        <v>1</v>
      </c>
      <c r="AE87" s="23">
        <v>1</v>
      </c>
      <c r="AF87" s="23">
        <v>1</v>
      </c>
      <c r="AG87" s="23"/>
      <c r="AH87" s="23">
        <v>1</v>
      </c>
      <c r="AI87" s="23"/>
      <c r="AJ87" s="23">
        <v>1</v>
      </c>
      <c r="AK87" s="23"/>
      <c r="AL87" s="23">
        <v>1</v>
      </c>
      <c r="AM87" s="2">
        <v>1</v>
      </c>
      <c r="AN87" s="23"/>
      <c r="AO87" s="23">
        <v>1</v>
      </c>
      <c r="AP87" s="23">
        <v>1</v>
      </c>
      <c r="AQ87" s="23">
        <v>1</v>
      </c>
      <c r="AR87" s="23"/>
      <c r="AS87" s="23"/>
      <c r="AT87" s="23"/>
      <c r="AU87" s="23">
        <v>1</v>
      </c>
      <c r="AV87" s="23"/>
      <c r="AW87" s="23"/>
      <c r="AX87" s="23">
        <v>1</v>
      </c>
      <c r="AY87" s="23">
        <v>1</v>
      </c>
      <c r="AZ87" s="23"/>
      <c r="BA87" s="23">
        <v>1</v>
      </c>
      <c r="BC87" s="23">
        <v>1</v>
      </c>
      <c r="BD87" s="23">
        <v>1</v>
      </c>
      <c r="BE87" s="23"/>
      <c r="BF87" s="23"/>
      <c r="BG87" s="23">
        <v>1</v>
      </c>
      <c r="BH87" s="23"/>
      <c r="BI87" s="23">
        <v>1</v>
      </c>
      <c r="BJ87" s="23">
        <v>1</v>
      </c>
      <c r="BK87" s="23"/>
      <c r="BL87" s="23"/>
      <c r="BM87" s="23"/>
      <c r="BN87" s="23"/>
      <c r="BO87" s="23"/>
      <c r="BP87" s="23"/>
      <c r="BQ87" s="23">
        <v>1</v>
      </c>
      <c r="BR87" s="23">
        <v>1</v>
      </c>
      <c r="BS87" s="23">
        <v>1</v>
      </c>
      <c r="BT87" s="23">
        <v>1</v>
      </c>
      <c r="BU87" s="23">
        <v>1</v>
      </c>
      <c r="BV87" s="23">
        <f t="shared" si="4"/>
        <v>31</v>
      </c>
    </row>
    <row r="88" spans="2:74" ht="12.75" customHeight="1" x14ac:dyDescent="0.2">
      <c r="B88" s="23" t="s">
        <v>68</v>
      </c>
      <c r="C88" s="23">
        <v>1</v>
      </c>
      <c r="D88" s="23"/>
      <c r="E88" s="23">
        <v>1</v>
      </c>
      <c r="F88" s="23">
        <v>1</v>
      </c>
      <c r="G88" s="23"/>
      <c r="H88" s="23">
        <v>1</v>
      </c>
      <c r="I88" s="2">
        <v>1</v>
      </c>
      <c r="J88" s="23"/>
      <c r="K88" s="23">
        <v>1</v>
      </c>
      <c r="L88" s="23"/>
      <c r="M88" s="23"/>
      <c r="N88" s="23"/>
      <c r="O88" s="23"/>
      <c r="P88" s="23"/>
      <c r="Q88" s="23">
        <v>1</v>
      </c>
      <c r="R88" s="23"/>
      <c r="S88" s="23"/>
      <c r="T88" s="23"/>
      <c r="U88" s="23"/>
      <c r="V88" s="23">
        <v>1</v>
      </c>
      <c r="X88" s="23">
        <v>1</v>
      </c>
      <c r="Y88" s="23"/>
      <c r="Z88" s="23">
        <v>1</v>
      </c>
      <c r="AA88" s="23"/>
      <c r="AB88" s="23"/>
      <c r="AC88" s="23"/>
      <c r="AD88" s="23"/>
      <c r="AE88" s="23"/>
      <c r="AF88" s="23"/>
      <c r="AG88" s="23"/>
      <c r="AH88" s="23"/>
      <c r="AI88" s="23"/>
      <c r="AJ88" s="23">
        <v>1</v>
      </c>
      <c r="AK88" s="23"/>
      <c r="AL88" s="23"/>
      <c r="AM88" s="2">
        <v>1</v>
      </c>
      <c r="AN88" s="23"/>
      <c r="AO88" s="23">
        <v>1</v>
      </c>
      <c r="AP88" s="23">
        <v>1</v>
      </c>
      <c r="AQ88" s="23">
        <v>1</v>
      </c>
      <c r="AR88" s="23"/>
      <c r="AS88" s="23"/>
      <c r="AT88" s="23"/>
      <c r="AU88" s="23"/>
      <c r="AV88" s="23"/>
      <c r="AW88" s="23"/>
      <c r="AX88" s="23">
        <v>1</v>
      </c>
      <c r="AY88" s="23">
        <v>1</v>
      </c>
      <c r="AZ88" s="23"/>
      <c r="BA88" s="23">
        <v>1</v>
      </c>
      <c r="BC88" s="23">
        <v>1</v>
      </c>
      <c r="BD88" s="23">
        <v>1</v>
      </c>
      <c r="BE88" s="23"/>
      <c r="BF88" s="23"/>
      <c r="BG88" s="23"/>
      <c r="BH88" s="23"/>
      <c r="BI88" s="23">
        <v>1</v>
      </c>
      <c r="BJ88" s="23">
        <v>1</v>
      </c>
      <c r="BK88" s="23"/>
      <c r="BL88" s="23"/>
      <c r="BM88" s="23"/>
      <c r="BN88" s="23"/>
      <c r="BO88" s="23"/>
      <c r="BP88" s="23"/>
      <c r="BQ88" s="23">
        <v>1</v>
      </c>
      <c r="BR88" s="23">
        <v>1</v>
      </c>
      <c r="BS88" s="23">
        <v>1</v>
      </c>
      <c r="BT88" s="23">
        <v>1</v>
      </c>
      <c r="BU88" s="23">
        <v>1</v>
      </c>
      <c r="BV88" s="23">
        <f t="shared" si="4"/>
        <v>27</v>
      </c>
    </row>
    <row r="89" spans="2:74" ht="12.75" customHeight="1" x14ac:dyDescent="0.2">
      <c r="B89" s="23" t="s">
        <v>63</v>
      </c>
      <c r="C89" s="23"/>
      <c r="D89" s="23">
        <v>1</v>
      </c>
      <c r="E89" s="23"/>
      <c r="F89" s="23">
        <v>1</v>
      </c>
      <c r="G89" s="23">
        <v>1</v>
      </c>
      <c r="H89" s="23"/>
      <c r="J89" s="23">
        <v>1</v>
      </c>
      <c r="K89" s="23"/>
      <c r="L89" s="23">
        <v>1</v>
      </c>
      <c r="M89" s="23"/>
      <c r="N89" s="23">
        <v>1</v>
      </c>
      <c r="O89" s="23">
        <v>1</v>
      </c>
      <c r="P89" s="23"/>
      <c r="Q89" s="23">
        <v>1</v>
      </c>
      <c r="R89" s="23"/>
      <c r="S89" s="23"/>
      <c r="T89" s="23"/>
      <c r="U89" s="23">
        <v>1</v>
      </c>
      <c r="V89" s="23"/>
      <c r="X89" s="23"/>
      <c r="Y89" s="23">
        <v>1</v>
      </c>
      <c r="Z89" s="23"/>
      <c r="AA89" s="23"/>
      <c r="AB89" s="23"/>
      <c r="AC89" s="23"/>
      <c r="AD89" s="23"/>
      <c r="AE89" s="23"/>
      <c r="AF89" s="23"/>
      <c r="AG89" s="23"/>
      <c r="AH89" s="23"/>
      <c r="AI89" s="23">
        <v>1</v>
      </c>
      <c r="AJ89" s="23"/>
      <c r="AK89" s="23"/>
      <c r="AL89" s="23"/>
      <c r="AN89" s="23">
        <v>1</v>
      </c>
      <c r="AO89" s="23"/>
      <c r="AP89" s="23"/>
      <c r="AQ89" s="23"/>
      <c r="AR89" s="23"/>
      <c r="AS89" s="23">
        <v>1</v>
      </c>
      <c r="AT89" s="23"/>
      <c r="AU89" s="23"/>
      <c r="AV89" s="23"/>
      <c r="AW89" s="23"/>
      <c r="AX89" s="23"/>
      <c r="AY89" s="23"/>
      <c r="AZ89" s="23">
        <v>1</v>
      </c>
      <c r="BA89" s="23"/>
      <c r="BC89" s="23">
        <v>1</v>
      </c>
      <c r="BD89" s="23">
        <v>1</v>
      </c>
      <c r="BE89" s="23"/>
      <c r="BF89" s="23"/>
      <c r="BG89" s="23"/>
      <c r="BH89" s="23"/>
      <c r="BI89" s="23"/>
      <c r="BJ89" s="23"/>
      <c r="BK89" s="23">
        <v>1</v>
      </c>
      <c r="BL89" s="23">
        <v>1</v>
      </c>
      <c r="BM89" s="23"/>
      <c r="BN89" s="23"/>
      <c r="BO89" s="23"/>
      <c r="BP89" s="23"/>
      <c r="BQ89" s="23">
        <v>1</v>
      </c>
      <c r="BR89" s="23">
        <v>1</v>
      </c>
      <c r="BS89" s="23">
        <v>1</v>
      </c>
      <c r="BT89" s="23">
        <v>1</v>
      </c>
      <c r="BU89" s="23">
        <v>1</v>
      </c>
      <c r="BV89" s="23">
        <f t="shared" si="4"/>
        <v>23</v>
      </c>
    </row>
    <row r="90" spans="2:74" ht="12.75" customHeight="1" x14ac:dyDescent="0.2">
      <c r="B90" s="23" t="s">
        <v>53</v>
      </c>
      <c r="C90" s="23">
        <v>1</v>
      </c>
      <c r="D90" s="23"/>
      <c r="E90" s="23"/>
      <c r="F90" s="23">
        <v>1</v>
      </c>
      <c r="G90" s="23"/>
      <c r="H90" s="23">
        <v>1</v>
      </c>
      <c r="J90" s="23"/>
      <c r="K90" s="23">
        <v>1</v>
      </c>
      <c r="L90" s="23"/>
      <c r="M90" s="23"/>
      <c r="N90" s="23"/>
      <c r="O90" s="23"/>
      <c r="P90" s="23"/>
      <c r="Q90" s="23">
        <v>1</v>
      </c>
      <c r="R90" s="23"/>
      <c r="S90" s="23">
        <v>1</v>
      </c>
      <c r="T90" s="23"/>
      <c r="U90" s="23"/>
      <c r="V90" s="23"/>
      <c r="X90" s="23">
        <v>1</v>
      </c>
      <c r="Y90" s="23"/>
      <c r="Z90" s="23">
        <v>1</v>
      </c>
      <c r="AA90" s="23"/>
      <c r="AB90" s="23"/>
      <c r="AC90" s="23"/>
      <c r="AD90" s="23"/>
      <c r="AE90" s="23"/>
      <c r="AF90" s="23"/>
      <c r="AG90" s="23"/>
      <c r="AH90" s="23"/>
      <c r="AI90" s="23"/>
      <c r="AJ90" s="23">
        <v>1</v>
      </c>
      <c r="AK90" s="23"/>
      <c r="AL90" s="23"/>
      <c r="AM90" s="2">
        <v>1</v>
      </c>
      <c r="AN90" s="23"/>
      <c r="AO90" s="23">
        <v>1</v>
      </c>
      <c r="AP90" s="23">
        <v>1</v>
      </c>
      <c r="AQ90" s="23">
        <v>1</v>
      </c>
      <c r="AR90" s="23"/>
      <c r="AS90" s="23"/>
      <c r="AT90" s="23"/>
      <c r="AU90" s="23"/>
      <c r="AV90" s="23"/>
      <c r="AW90" s="23"/>
      <c r="AX90" s="23">
        <v>1</v>
      </c>
      <c r="AY90" s="23">
        <v>1</v>
      </c>
      <c r="AZ90" s="23"/>
      <c r="BA90" s="23">
        <v>1</v>
      </c>
      <c r="BC90" s="23">
        <v>1</v>
      </c>
      <c r="BD90" s="23">
        <v>1</v>
      </c>
      <c r="BE90" s="23"/>
      <c r="BF90" s="23"/>
      <c r="BG90" s="23"/>
      <c r="BH90" s="23"/>
      <c r="BI90" s="23">
        <v>1</v>
      </c>
      <c r="BJ90" s="23">
        <v>1</v>
      </c>
      <c r="BK90" s="23"/>
      <c r="BL90" s="23"/>
      <c r="BM90" s="23"/>
      <c r="BN90" s="23"/>
      <c r="BO90" s="23"/>
      <c r="BP90" s="23"/>
      <c r="BQ90" s="23">
        <v>1</v>
      </c>
      <c r="BR90" s="23">
        <v>1</v>
      </c>
      <c r="BS90" s="23">
        <v>1</v>
      </c>
      <c r="BT90" s="23">
        <v>1</v>
      </c>
      <c r="BU90" s="23">
        <v>1</v>
      </c>
      <c r="BV90" s="23">
        <f t="shared" si="4"/>
        <v>25</v>
      </c>
    </row>
    <row r="91" spans="2:74" ht="12.75" customHeight="1" x14ac:dyDescent="0.2">
      <c r="B91" s="23" t="s">
        <v>1182</v>
      </c>
      <c r="C91" s="23">
        <v>1</v>
      </c>
      <c r="D91" s="23"/>
      <c r="E91" s="23"/>
      <c r="F91" s="23">
        <v>1</v>
      </c>
      <c r="G91" s="23"/>
      <c r="H91" s="23">
        <v>1</v>
      </c>
      <c r="J91" s="23"/>
      <c r="K91" s="23">
        <v>1</v>
      </c>
      <c r="L91" s="23"/>
      <c r="M91" s="23"/>
      <c r="N91" s="23"/>
      <c r="O91" s="23"/>
      <c r="P91" s="23">
        <v>1</v>
      </c>
      <c r="Q91" s="23">
        <v>1</v>
      </c>
      <c r="R91" s="23"/>
      <c r="S91" s="23"/>
      <c r="T91" s="23"/>
      <c r="U91" s="23">
        <v>1</v>
      </c>
      <c r="V91" s="23"/>
      <c r="X91" s="23">
        <v>1</v>
      </c>
      <c r="Y91" s="23">
        <v>1</v>
      </c>
      <c r="Z91" s="23">
        <v>1</v>
      </c>
      <c r="AA91" s="23">
        <v>1</v>
      </c>
      <c r="AB91" s="23">
        <v>1</v>
      </c>
      <c r="AC91" s="23">
        <v>1</v>
      </c>
      <c r="AD91" s="23"/>
      <c r="AE91" s="23"/>
      <c r="AF91" s="23"/>
      <c r="AG91" s="23"/>
      <c r="AH91" s="23"/>
      <c r="AI91" s="23">
        <v>1</v>
      </c>
      <c r="AJ91" s="23">
        <v>1</v>
      </c>
      <c r="AK91" s="23">
        <v>1</v>
      </c>
      <c r="AL91" s="23"/>
      <c r="AM91" s="2">
        <v>1</v>
      </c>
      <c r="AN91" s="23">
        <v>1</v>
      </c>
      <c r="AO91" s="23">
        <v>1</v>
      </c>
      <c r="AP91" s="23">
        <v>1</v>
      </c>
      <c r="AQ91" s="23">
        <v>1</v>
      </c>
      <c r="AR91" s="23"/>
      <c r="AS91" s="23"/>
      <c r="AT91" s="23"/>
      <c r="AU91" s="23"/>
      <c r="AV91" s="23"/>
      <c r="AW91" s="23">
        <v>1</v>
      </c>
      <c r="AX91" s="23">
        <v>1</v>
      </c>
      <c r="AY91" s="23">
        <v>1</v>
      </c>
      <c r="AZ91" s="23"/>
      <c r="BA91" s="23">
        <v>1</v>
      </c>
      <c r="BC91" s="23">
        <v>1</v>
      </c>
      <c r="BD91" s="23">
        <v>1</v>
      </c>
      <c r="BE91" s="23"/>
      <c r="BF91" s="23">
        <v>1</v>
      </c>
      <c r="BG91" s="23"/>
      <c r="BH91" s="23"/>
      <c r="BI91" s="23">
        <v>1</v>
      </c>
      <c r="BJ91" s="23">
        <v>1</v>
      </c>
      <c r="BK91" s="23"/>
      <c r="BL91" s="23"/>
      <c r="BM91" s="23"/>
      <c r="BN91" s="23"/>
      <c r="BO91" s="23"/>
      <c r="BP91" s="23"/>
      <c r="BQ91" s="23">
        <v>1</v>
      </c>
      <c r="BR91" s="23">
        <v>1</v>
      </c>
      <c r="BS91" s="23">
        <v>1</v>
      </c>
      <c r="BT91" s="23">
        <v>1</v>
      </c>
      <c r="BU91" s="23">
        <v>1</v>
      </c>
      <c r="BV91" s="23">
        <f t="shared" si="4"/>
        <v>35</v>
      </c>
    </row>
    <row r="92" spans="2:74" ht="12.75" customHeight="1" x14ac:dyDescent="0.2">
      <c r="B92" s="23" t="s">
        <v>1038</v>
      </c>
      <c r="C92" s="23"/>
      <c r="D92" s="23">
        <v>1</v>
      </c>
      <c r="E92" s="23"/>
      <c r="F92" s="23">
        <v>1</v>
      </c>
      <c r="G92" s="23">
        <v>1</v>
      </c>
      <c r="H92" s="23">
        <v>1</v>
      </c>
      <c r="J92" s="23">
        <v>1</v>
      </c>
      <c r="K92" s="23"/>
      <c r="L92" s="23">
        <v>1</v>
      </c>
      <c r="M92" s="23"/>
      <c r="N92" s="23">
        <v>1</v>
      </c>
      <c r="O92" s="23">
        <v>1</v>
      </c>
      <c r="P92" s="23">
        <v>1</v>
      </c>
      <c r="Q92" s="23">
        <v>1</v>
      </c>
      <c r="R92" s="23"/>
      <c r="S92" s="23">
        <v>1</v>
      </c>
      <c r="T92" s="23"/>
      <c r="U92" s="23">
        <v>1</v>
      </c>
      <c r="V92" s="23"/>
      <c r="X92" s="23">
        <v>1</v>
      </c>
      <c r="Y92" s="23">
        <v>1</v>
      </c>
      <c r="Z92" s="23">
        <v>1</v>
      </c>
      <c r="AA92" s="23">
        <v>1</v>
      </c>
      <c r="AB92" s="23">
        <v>1</v>
      </c>
      <c r="AC92" s="23">
        <v>1</v>
      </c>
      <c r="AD92" s="23"/>
      <c r="AE92" s="23"/>
      <c r="AF92" s="23"/>
      <c r="AG92" s="23"/>
      <c r="AH92" s="23"/>
      <c r="AI92" s="23">
        <v>1</v>
      </c>
      <c r="AJ92" s="23">
        <v>1</v>
      </c>
      <c r="AK92" s="23">
        <v>1</v>
      </c>
      <c r="AL92" s="23"/>
      <c r="AM92" s="2">
        <v>1</v>
      </c>
      <c r="AN92" s="23">
        <v>1</v>
      </c>
      <c r="AO92" s="23">
        <v>1</v>
      </c>
      <c r="AP92" s="23"/>
      <c r="AQ92" s="23"/>
      <c r="AR92" s="23"/>
      <c r="AS92" s="23">
        <v>1</v>
      </c>
      <c r="AT92" s="23"/>
      <c r="AU92" s="23"/>
      <c r="AV92" s="23"/>
      <c r="AW92" s="23">
        <v>1</v>
      </c>
      <c r="AX92" s="23"/>
      <c r="AY92" s="23">
        <v>1</v>
      </c>
      <c r="AZ92" s="23">
        <v>1</v>
      </c>
      <c r="BA92" s="23">
        <v>1</v>
      </c>
      <c r="BC92" s="23">
        <v>1</v>
      </c>
      <c r="BD92" s="23">
        <v>1</v>
      </c>
      <c r="BE92" s="23"/>
      <c r="BF92" s="23">
        <v>1</v>
      </c>
      <c r="BG92" s="23"/>
      <c r="BH92" s="23"/>
      <c r="BI92" s="23"/>
      <c r="BJ92" s="23"/>
      <c r="BK92" s="23">
        <v>1</v>
      </c>
      <c r="BL92" s="23">
        <v>1</v>
      </c>
      <c r="BM92" s="23"/>
      <c r="BN92" s="23"/>
      <c r="BO92" s="23"/>
      <c r="BP92" s="23"/>
      <c r="BQ92" s="23">
        <v>1</v>
      </c>
      <c r="BR92" s="23">
        <v>1</v>
      </c>
      <c r="BS92" s="23">
        <v>1</v>
      </c>
      <c r="BT92" s="23">
        <v>1</v>
      </c>
      <c r="BU92" s="23">
        <v>1</v>
      </c>
      <c r="BV92" s="23">
        <f t="shared" si="4"/>
        <v>39</v>
      </c>
    </row>
    <row r="93" spans="2:74" ht="12.75" customHeight="1" x14ac:dyDescent="0.2">
      <c r="C93" s="2"/>
      <c r="D93" s="2"/>
      <c r="E93" s="2"/>
      <c r="F93" s="2"/>
      <c r="G93" s="2"/>
      <c r="H93" s="2"/>
      <c r="I93" s="2"/>
      <c r="J93" s="2"/>
      <c r="K93" s="2"/>
      <c r="L93" s="2"/>
      <c r="M93" s="2"/>
      <c r="N93" s="2"/>
      <c r="O93" s="2"/>
      <c r="P93" s="23"/>
      <c r="R93" s="2"/>
      <c r="S93" s="2"/>
      <c r="T93" s="2"/>
      <c r="U93" s="23"/>
      <c r="V93" s="2"/>
      <c r="W93" s="2"/>
      <c r="X93" s="2"/>
      <c r="Z93" s="2"/>
      <c r="AA93" s="2"/>
      <c r="AB93" s="2"/>
      <c r="AC93" s="2"/>
      <c r="AD93" s="2"/>
      <c r="AE93" s="2"/>
      <c r="AF93" s="2"/>
      <c r="AG93" s="2"/>
      <c r="AH93" s="2"/>
      <c r="AI93" s="2"/>
      <c r="AL93" s="23"/>
      <c r="AM93" s="23"/>
    </row>
    <row r="94" spans="2:74" ht="12.75" customHeight="1" x14ac:dyDescent="0.2">
      <c r="B94" s="2" t="str">
        <f>CONCATENATE(C72,D72,E72,F72,G72,H72,I72,J72,K72,L72,M72,N72,O72,P72,Q72,R72,S72,T72,U72,V72,W72,X72,Y72,Z72,AA72,AB72,AC72,AD72,AE72,AF72,AG72,AH72,AI72,AJ72,AK72,AL72,AM72,AN72,AO72,AP72,AQ72,AR72,AS72,AT72,AU72,AV72,AW72,AX72,AY72,AZ72,BA72,BB72,BC72,BD72,BE72,BF72,BG72,BH72,BI72,BJ72,BK72,BL72,BM72,BN72,BO72,BP72,BQ72,BR72,BS72,BT72,BU72)</f>
        <v>ABVAAAABKABTAABAAJABPAAKACWAALAAMABFAAPABNABOAADAAEAANAAOAAGBBBCCCDDDEEE</v>
      </c>
      <c r="C94" s="2" t="str">
        <f>" "</f>
        <v xml:space="preserve"> </v>
      </c>
      <c r="D94" s="2"/>
      <c r="E94" s="5" t="s">
        <v>24</v>
      </c>
      <c r="F94" s="5" t="s">
        <v>139</v>
      </c>
      <c r="G94" s="5" t="s">
        <v>1035</v>
      </c>
      <c r="H94" s="5" t="s">
        <v>78</v>
      </c>
      <c r="I94" s="5" t="s">
        <v>1036</v>
      </c>
      <c r="J94" s="5" t="s">
        <v>48</v>
      </c>
      <c r="K94" s="5" t="s">
        <v>1037</v>
      </c>
      <c r="L94" s="5" t="s">
        <v>97</v>
      </c>
      <c r="M94" s="5" t="s">
        <v>21</v>
      </c>
      <c r="N94" s="5" t="s">
        <v>111</v>
      </c>
      <c r="O94" s="5" t="s">
        <v>104</v>
      </c>
      <c r="P94" s="5" t="s">
        <v>68</v>
      </c>
      <c r="Q94" s="5" t="s">
        <v>63</v>
      </c>
      <c r="R94" s="5" t="s">
        <v>53</v>
      </c>
      <c r="S94" s="5" t="s">
        <v>1038</v>
      </c>
      <c r="T94" s="2"/>
      <c r="U94" s="2"/>
      <c r="V94" s="2"/>
      <c r="W94" s="2"/>
      <c r="X94" s="2"/>
      <c r="Y94" s="2"/>
      <c r="Z94" s="2" t="str">
        <f>" "</f>
        <v xml:space="preserve"> </v>
      </c>
      <c r="AA94" s="2"/>
      <c r="AB94" s="2"/>
      <c r="AC94" s="2"/>
      <c r="AD94" s="2"/>
      <c r="AE94" s="2"/>
      <c r="AF94" s="2"/>
      <c r="AG94" s="2"/>
      <c r="AH94" s="2"/>
    </row>
    <row r="95" spans="2:74" ht="12.75" customHeight="1" x14ac:dyDescent="0.2">
      <c r="B95" s="2" t="str">
        <f>MID($B$94,1,3)</f>
        <v>ABV</v>
      </c>
      <c r="C95" s="2" t="str">
        <f t="shared" ref="C95:C140" si="5">IFERROR((VLOOKUP(B95,$A$4:$B$70,2,FALSE))," ")</f>
        <v>Cindy Piewhistle</v>
      </c>
      <c r="D95" s="2"/>
      <c r="E95" s="19" t="str">
        <f t="shared" ref="E95:S95" si="6">""</f>
        <v/>
      </c>
      <c r="F95" s="19" t="str">
        <f t="shared" si="6"/>
        <v/>
      </c>
      <c r="G95" s="19" t="str">
        <f t="shared" si="6"/>
        <v/>
      </c>
      <c r="H95" s="19" t="str">
        <f t="shared" si="6"/>
        <v/>
      </c>
      <c r="I95" s="19" t="str">
        <f t="shared" si="6"/>
        <v/>
      </c>
      <c r="J95" s="19" t="str">
        <f t="shared" si="6"/>
        <v/>
      </c>
      <c r="K95" s="19" t="str">
        <f t="shared" si="6"/>
        <v/>
      </c>
      <c r="L95" s="19" t="str">
        <f t="shared" si="6"/>
        <v/>
      </c>
      <c r="M95" s="19" t="str">
        <f t="shared" si="6"/>
        <v/>
      </c>
      <c r="N95" s="19" t="str">
        <f t="shared" si="6"/>
        <v/>
      </c>
      <c r="O95" s="19" t="str">
        <f t="shared" si="6"/>
        <v/>
      </c>
      <c r="P95" s="19" t="str">
        <f t="shared" si="6"/>
        <v/>
      </c>
      <c r="Q95" s="19" t="str">
        <f t="shared" si="6"/>
        <v/>
      </c>
      <c r="R95" s="19" t="str">
        <f t="shared" si="6"/>
        <v/>
      </c>
      <c r="S95" s="19" t="str">
        <f t="shared" si="6"/>
        <v/>
      </c>
      <c r="T95" s="2"/>
      <c r="U95" s="2"/>
      <c r="V95" s="2"/>
      <c r="W95" s="2"/>
      <c r="X95" s="2"/>
      <c r="Y95" s="2"/>
      <c r="Z95" s="2" t="str">
        <f t="shared" ref="Z95:Z112" si="7">IFERROR((VLOOKUP(B95,$A$4:$B$75,2,FALSE))," ")</f>
        <v>Cindy Piewhistle</v>
      </c>
      <c r="AA95" s="2"/>
      <c r="AB95" s="2"/>
      <c r="AC95" s="2"/>
      <c r="AD95" s="2"/>
      <c r="AE95" s="2"/>
      <c r="AF95" s="2"/>
      <c r="AG95" s="2"/>
      <c r="AH95" s="2"/>
    </row>
    <row r="96" spans="2:74" ht="12.75" customHeight="1" x14ac:dyDescent="0.2">
      <c r="B96" s="2" t="str">
        <f>MID($B$94,4,3)</f>
        <v>AAA</v>
      </c>
      <c r="C96" s="2" t="str">
        <f t="shared" si="5"/>
        <v>Akhorne the Squirrel</v>
      </c>
      <c r="D96" s="2"/>
      <c r="E96" s="2" t="s">
        <v>1111</v>
      </c>
      <c r="F96" s="2" t="s">
        <v>1111</v>
      </c>
      <c r="G96" s="2" t="s">
        <v>715</v>
      </c>
      <c r="H96" s="2" t="s">
        <v>715</v>
      </c>
      <c r="I96" s="2" t="s">
        <v>715</v>
      </c>
      <c r="J96" s="2" t="s">
        <v>715</v>
      </c>
      <c r="K96" s="9" t="s">
        <v>715</v>
      </c>
      <c r="L96" s="2" t="s">
        <v>715</v>
      </c>
      <c r="M96" s="2" t="s">
        <v>715</v>
      </c>
      <c r="N96" s="2" t="s">
        <v>1111</v>
      </c>
      <c r="O96" s="2" t="s">
        <v>715</v>
      </c>
      <c r="P96" s="2" t="s">
        <v>715</v>
      </c>
      <c r="Q96" s="2" t="s">
        <v>1111</v>
      </c>
      <c r="R96" s="2" t="s">
        <v>715</v>
      </c>
      <c r="S96" s="2" t="s">
        <v>715</v>
      </c>
      <c r="T96" s="2"/>
      <c r="U96" s="2"/>
      <c r="V96" s="2"/>
      <c r="W96" s="2"/>
      <c r="X96" s="2"/>
      <c r="Y96" s="2"/>
      <c r="Z96" s="2" t="str">
        <f t="shared" si="7"/>
        <v>Akhorne the Squirrel</v>
      </c>
      <c r="AA96" s="2"/>
      <c r="AB96" s="2"/>
      <c r="AC96" s="2"/>
      <c r="AD96" s="2"/>
      <c r="AE96" s="2"/>
      <c r="AF96" s="2"/>
      <c r="AG96" s="2"/>
      <c r="AH96" s="2"/>
    </row>
    <row r="97" spans="2:34" ht="12.75" customHeight="1" x14ac:dyDescent="0.2">
      <c r="B97" s="2" t="str">
        <f>MID($B$94,7,3)</f>
        <v>ABK</v>
      </c>
      <c r="C97" s="2" t="str">
        <f t="shared" si="5"/>
        <v>Barik Farblast</v>
      </c>
      <c r="D97" s="2"/>
      <c r="E97" s="2" t="s">
        <v>715</v>
      </c>
      <c r="F97" s="2" t="s">
        <v>715</v>
      </c>
      <c r="G97" s="2" t="s">
        <v>1101</v>
      </c>
      <c r="H97" s="2" t="s">
        <v>1101</v>
      </c>
      <c r="I97" s="2" t="s">
        <v>1101</v>
      </c>
      <c r="J97" s="2" t="s">
        <v>727</v>
      </c>
      <c r="K97" s="9" t="s">
        <v>1026</v>
      </c>
      <c r="L97" s="2" t="s">
        <v>966</v>
      </c>
      <c r="M97" s="2" t="s">
        <v>727</v>
      </c>
      <c r="N97" s="2" t="s">
        <v>715</v>
      </c>
      <c r="O97" s="2" t="s">
        <v>1101</v>
      </c>
      <c r="P97" s="2" t="s">
        <v>1101</v>
      </c>
      <c r="Q97" s="2" t="s">
        <v>715</v>
      </c>
      <c r="R97" s="2" t="s">
        <v>1101</v>
      </c>
      <c r="S97" s="2" t="s">
        <v>1101</v>
      </c>
      <c r="T97" s="2"/>
      <c r="U97" s="2"/>
      <c r="V97" s="2"/>
      <c r="W97" s="2"/>
      <c r="X97" s="2"/>
      <c r="Y97" s="2"/>
      <c r="Z97" s="2" t="str">
        <f t="shared" si="7"/>
        <v>Barik Farblast</v>
      </c>
      <c r="AA97" s="2"/>
      <c r="AB97" s="2"/>
      <c r="AC97" s="2"/>
      <c r="AD97" s="2"/>
      <c r="AE97" s="2"/>
      <c r="AF97" s="2"/>
      <c r="AG97" s="2"/>
      <c r="AH97" s="2"/>
    </row>
    <row r="98" spans="2:34" ht="12.75" customHeight="1" x14ac:dyDescent="0.2">
      <c r="B98" s="2" t="str">
        <f>MID($B$94,10,3)</f>
        <v>ABT</v>
      </c>
      <c r="C98" s="2" t="str">
        <f t="shared" si="5"/>
        <v>Puggy Baconbreath</v>
      </c>
      <c r="D98" s="10"/>
      <c r="E98" s="2" t="s">
        <v>1108</v>
      </c>
      <c r="F98" s="2" t="s">
        <v>1108</v>
      </c>
      <c r="G98" s="2" t="s">
        <v>727</v>
      </c>
      <c r="H98" s="2" t="s">
        <v>727</v>
      </c>
      <c r="I98" s="2" t="s">
        <v>727</v>
      </c>
      <c r="J98" s="2" t="s">
        <v>889</v>
      </c>
      <c r="K98" s="9" t="s">
        <v>727</v>
      </c>
      <c r="L98" s="2" t="s">
        <v>727</v>
      </c>
      <c r="M98" s="2" t="s">
        <v>1201</v>
      </c>
      <c r="N98" s="2" t="s">
        <v>1108</v>
      </c>
      <c r="O98" s="2" t="s">
        <v>727</v>
      </c>
      <c r="P98" s="2" t="s">
        <v>727</v>
      </c>
      <c r="Q98" s="2" t="s">
        <v>1108</v>
      </c>
      <c r="R98" s="2" t="s">
        <v>727</v>
      </c>
      <c r="S98" s="2" t="s">
        <v>1026</v>
      </c>
      <c r="T98" s="2"/>
      <c r="U98" s="2"/>
      <c r="V98" s="2"/>
      <c r="W98" s="2"/>
      <c r="X98" s="2"/>
      <c r="Y98" s="2"/>
      <c r="Z98" s="2" t="str">
        <f t="shared" si="7"/>
        <v>Puggy Baconbreath</v>
      </c>
      <c r="AA98" s="2"/>
      <c r="AB98" s="2"/>
      <c r="AC98" s="2"/>
      <c r="AD98" s="2"/>
      <c r="AE98" s="2"/>
      <c r="AF98" s="2"/>
      <c r="AG98" s="2"/>
      <c r="AH98" s="2"/>
    </row>
    <row r="99" spans="2:34" ht="12.75" customHeight="1" x14ac:dyDescent="0.2">
      <c r="B99" s="2" t="str">
        <f>MID($B$94,13,3)</f>
        <v>AAB</v>
      </c>
      <c r="C99" s="2" t="str">
        <f t="shared" si="5"/>
        <v>Helmut Wulf</v>
      </c>
      <c r="D99" s="10"/>
      <c r="E99" s="2" t="s">
        <v>727</v>
      </c>
      <c r="F99" s="2" t="s">
        <v>727</v>
      </c>
      <c r="G99" s="2" t="s">
        <v>810</v>
      </c>
      <c r="H99" s="2" t="s">
        <v>810</v>
      </c>
      <c r="I99" s="2" t="s">
        <v>879</v>
      </c>
      <c r="J99" s="2" t="s">
        <v>899</v>
      </c>
      <c r="K99" s="9" t="s">
        <v>1093</v>
      </c>
      <c r="L99" s="2" t="s">
        <v>879</v>
      </c>
      <c r="M99" s="2" t="s">
        <v>1223</v>
      </c>
      <c r="N99" s="2" t="s">
        <v>1101</v>
      </c>
      <c r="O99" s="2" t="s">
        <v>810</v>
      </c>
      <c r="P99" s="2" t="s">
        <v>810</v>
      </c>
      <c r="Q99" s="2" t="s">
        <v>727</v>
      </c>
      <c r="R99" s="2" t="s">
        <v>879</v>
      </c>
      <c r="S99" s="2" t="s">
        <v>727</v>
      </c>
      <c r="T99" s="2"/>
      <c r="U99" s="2"/>
      <c r="V99" s="2"/>
      <c r="W99" s="2"/>
      <c r="X99" s="2"/>
      <c r="Y99" s="2"/>
      <c r="Z99" s="2" t="str">
        <f t="shared" si="7"/>
        <v>Helmut Wulf</v>
      </c>
      <c r="AA99" s="2"/>
      <c r="AB99" s="2"/>
      <c r="AC99" s="2"/>
      <c r="AD99" s="2"/>
      <c r="AE99" s="2"/>
      <c r="AF99" s="2"/>
      <c r="AG99" s="2"/>
      <c r="AH99" s="2"/>
    </row>
    <row r="100" spans="2:34" ht="12.75" customHeight="1" x14ac:dyDescent="0.2">
      <c r="B100" s="2" t="str">
        <f>MID($B$94,16,3)</f>
        <v>AAJ</v>
      </c>
      <c r="C100" s="2" t="str">
        <f t="shared" si="5"/>
        <v>Rumbelow Sheepskin</v>
      </c>
      <c r="D100" s="2"/>
      <c r="E100" s="2" t="s">
        <v>739</v>
      </c>
      <c r="F100" s="2" t="s">
        <v>1093</v>
      </c>
      <c r="G100" s="2" t="s">
        <v>1172</v>
      </c>
      <c r="H100" s="2" t="s">
        <v>1172</v>
      </c>
      <c r="I100" s="2" t="s">
        <v>810</v>
      </c>
      <c r="J100" s="2" t="s">
        <v>909</v>
      </c>
      <c r="K100" s="9" t="s">
        <v>1172</v>
      </c>
      <c r="L100" s="2" t="s">
        <v>976</v>
      </c>
      <c r="M100" s="2" t="s">
        <v>830</v>
      </c>
      <c r="N100" s="2" t="s">
        <v>727</v>
      </c>
      <c r="O100" s="2" t="s">
        <v>1172</v>
      </c>
      <c r="P100" s="2" t="s">
        <v>1172</v>
      </c>
      <c r="Q100" s="2" t="s">
        <v>1093</v>
      </c>
      <c r="R100" s="2" t="s">
        <v>810</v>
      </c>
      <c r="S100" s="2" t="s">
        <v>879</v>
      </c>
      <c r="T100" s="2"/>
      <c r="U100" s="2"/>
      <c r="V100" s="2"/>
      <c r="W100" s="2"/>
      <c r="X100" s="2"/>
      <c r="Y100" s="2"/>
      <c r="Z100" s="2" t="str">
        <f t="shared" si="7"/>
        <v>Rumbelow Sheepskin</v>
      </c>
    </row>
    <row r="101" spans="2:34" ht="12.75" customHeight="1" x14ac:dyDescent="0.2">
      <c r="B101" s="2" t="str">
        <f>MID($B$94,19,3)</f>
        <v>ABP</v>
      </c>
      <c r="C101" s="2" t="str">
        <f t="shared" si="5"/>
        <v>Thorsson Stoutmead</v>
      </c>
      <c r="D101" s="2"/>
      <c r="E101" s="2" t="s">
        <v>748</v>
      </c>
      <c r="F101" s="2" t="s">
        <v>800</v>
      </c>
      <c r="G101" s="2" t="s">
        <v>820</v>
      </c>
      <c r="H101" s="2" t="s">
        <v>820</v>
      </c>
      <c r="I101" s="2" t="s">
        <v>820</v>
      </c>
      <c r="J101" s="2" t="s">
        <v>919</v>
      </c>
      <c r="K101" s="9" t="s">
        <v>800</v>
      </c>
      <c r="L101" s="2" t="s">
        <v>870</v>
      </c>
      <c r="M101" s="2" t="s">
        <v>840</v>
      </c>
      <c r="N101" s="2" t="s">
        <v>810</v>
      </c>
      <c r="O101" s="2" t="s">
        <v>1201</v>
      </c>
      <c r="P101" s="2" t="s">
        <v>820</v>
      </c>
      <c r="Q101" s="2" t="s">
        <v>800</v>
      </c>
      <c r="R101" s="2" t="s">
        <v>1172</v>
      </c>
      <c r="S101" s="2" t="s">
        <v>810</v>
      </c>
      <c r="T101" s="2"/>
      <c r="U101" s="2"/>
      <c r="V101" s="2"/>
      <c r="W101" s="2"/>
      <c r="X101" s="2"/>
      <c r="Y101" s="2"/>
      <c r="Z101" s="2" t="str">
        <f t="shared" si="7"/>
        <v>Thorsson Stoutmead</v>
      </c>
    </row>
    <row r="102" spans="2:34" ht="12.75" customHeight="1" x14ac:dyDescent="0.2">
      <c r="B102" s="2" t="str">
        <f>MID($B$94,22,3)</f>
        <v>AAK</v>
      </c>
      <c r="C102" s="2" t="str">
        <f t="shared" si="5"/>
        <v>Grim Ironjaw</v>
      </c>
      <c r="D102" s="2"/>
      <c r="E102" s="2" t="s">
        <v>760</v>
      </c>
      <c r="F102" s="2" t="s">
        <v>789</v>
      </c>
      <c r="G102" s="2" t="s">
        <v>830</v>
      </c>
      <c r="H102" s="2" t="s">
        <v>830</v>
      </c>
      <c r="I102" s="2" t="s">
        <v>748</v>
      </c>
      <c r="J102" s="2" t="s">
        <v>748</v>
      </c>
      <c r="K102" s="9" t="s">
        <v>1016</v>
      </c>
      <c r="L102" s="2" t="s">
        <v>748</v>
      </c>
      <c r="M102" s="2" t="s">
        <v>996</v>
      </c>
      <c r="N102" s="2" t="s">
        <v>1172</v>
      </c>
      <c r="O102" s="2" t="s">
        <v>820</v>
      </c>
      <c r="P102" s="2" t="s">
        <v>830</v>
      </c>
      <c r="Q102" s="2" t="s">
        <v>789</v>
      </c>
      <c r="R102" s="2" t="s">
        <v>820</v>
      </c>
      <c r="S102" s="2" t="s">
        <v>1093</v>
      </c>
      <c r="T102" s="2"/>
      <c r="U102" s="2"/>
      <c r="V102" s="2"/>
      <c r="W102" s="2"/>
      <c r="X102" s="2"/>
      <c r="Y102" s="2"/>
      <c r="Z102" s="2" t="str">
        <f t="shared" si="7"/>
        <v>Grim Ironjaw</v>
      </c>
    </row>
    <row r="103" spans="2:34" ht="12.75" customHeight="1" x14ac:dyDescent="0.2">
      <c r="B103" s="2" t="str">
        <f>MID($B$94,25,3)</f>
        <v>ACW</v>
      </c>
      <c r="C103" s="2" t="str">
        <f t="shared" si="5"/>
        <v>Maple Highgroye</v>
      </c>
      <c r="D103" s="2"/>
      <c r="E103" s="2" t="s">
        <v>767</v>
      </c>
      <c r="F103" s="2" t="s">
        <v>739</v>
      </c>
      <c r="G103" s="2" t="s">
        <v>840</v>
      </c>
      <c r="H103" s="2" t="s">
        <v>840</v>
      </c>
      <c r="I103" s="2" t="s">
        <v>760</v>
      </c>
      <c r="J103" s="2" t="s">
        <v>760</v>
      </c>
      <c r="K103" s="9" t="s">
        <v>789</v>
      </c>
      <c r="L103" s="2" t="s">
        <v>760</v>
      </c>
      <c r="M103" s="2" t="s">
        <v>919</v>
      </c>
      <c r="N103" s="2" t="s">
        <v>820</v>
      </c>
      <c r="O103" s="2" t="s">
        <v>1223</v>
      </c>
      <c r="P103" s="2" t="s">
        <v>840</v>
      </c>
      <c r="Q103" s="2" t="s">
        <v>739</v>
      </c>
      <c r="R103" s="2" t="s">
        <v>830</v>
      </c>
      <c r="S103" s="2" t="s">
        <v>1172</v>
      </c>
      <c r="T103" s="2"/>
      <c r="U103" s="2"/>
      <c r="V103" s="2"/>
      <c r="W103" s="2"/>
      <c r="X103" s="2"/>
      <c r="Y103" s="2"/>
      <c r="Z103" s="2" t="str">
        <f t="shared" si="7"/>
        <v>Maple Highgroye</v>
      </c>
    </row>
    <row r="104" spans="2:34" ht="12.75" customHeight="1" x14ac:dyDescent="0.2">
      <c r="B104" s="2" t="str">
        <f>MID($B$94,28,3)</f>
        <v>AAL</v>
      </c>
      <c r="C104" s="2" t="str">
        <f t="shared" si="5"/>
        <v>Grombrindal, the White Dwarf</v>
      </c>
      <c r="D104" s="2"/>
      <c r="E104" s="2" t="s">
        <v>778</v>
      </c>
      <c r="F104" s="2" t="s">
        <v>748</v>
      </c>
      <c r="G104" s="2" t="s">
        <v>996</v>
      </c>
      <c r="H104" s="2" t="s">
        <v>996</v>
      </c>
      <c r="I104" s="2" t="s">
        <v>778</v>
      </c>
      <c r="J104" s="2" t="s">
        <v>929</v>
      </c>
      <c r="K104" s="9" t="s">
        <v>1006</v>
      </c>
      <c r="L104" s="2" t="s">
        <v>986</v>
      </c>
      <c r="M104" s="2" t="s">
        <v>748</v>
      </c>
      <c r="N104" s="2" t="s">
        <v>830</v>
      </c>
      <c r="O104" s="2" t="s">
        <v>830</v>
      </c>
      <c r="P104" s="2" t="s">
        <v>996</v>
      </c>
      <c r="Q104" s="2" t="s">
        <v>748</v>
      </c>
      <c r="R104" s="2" t="s">
        <v>840</v>
      </c>
      <c r="S104" s="2" t="s">
        <v>800</v>
      </c>
      <c r="T104" s="2"/>
      <c r="U104" s="2"/>
      <c r="V104" s="2"/>
      <c r="W104" s="2"/>
      <c r="X104" s="2"/>
      <c r="Y104" s="2"/>
      <c r="Z104" s="2" t="str">
        <f t="shared" si="7"/>
        <v>Grombrindal, the White Dwarf</v>
      </c>
    </row>
    <row r="105" spans="2:34" ht="12.75" customHeight="1" x14ac:dyDescent="0.2">
      <c r="B105" s="2" t="str">
        <f>MID($B$94,31,3)</f>
        <v>AAM</v>
      </c>
      <c r="C105" s="2" t="str">
        <f t="shared" si="5"/>
        <v>Karla Von Kill</v>
      </c>
      <c r="D105" s="2"/>
      <c r="E105" s="2" t="str">
        <f t="shared" ref="E105:R115" si="8">""</f>
        <v/>
      </c>
      <c r="F105" s="2" t="s">
        <v>760</v>
      </c>
      <c r="G105" s="2" t="s">
        <v>870</v>
      </c>
      <c r="H105" s="2" t="s">
        <v>870</v>
      </c>
      <c r="I105" s="2" t="str">
        <f t="shared" ref="I105:Q112" si="9">""</f>
        <v/>
      </c>
      <c r="J105" s="2" t="s">
        <v>940</v>
      </c>
      <c r="K105" s="9" t="s">
        <v>1150</v>
      </c>
      <c r="L105" s="2" t="str">
        <f t="shared" ref="L105:L107" si="10">""</f>
        <v/>
      </c>
      <c r="M105" s="2" t="s">
        <v>760</v>
      </c>
      <c r="N105" s="2" t="s">
        <v>840</v>
      </c>
      <c r="O105" s="2" t="s">
        <v>840</v>
      </c>
      <c r="P105" s="2" t="s">
        <v>870</v>
      </c>
      <c r="Q105" s="2" t="s">
        <v>760</v>
      </c>
      <c r="R105" s="2" t="s">
        <v>996</v>
      </c>
      <c r="S105" s="2" t="s">
        <v>820</v>
      </c>
      <c r="T105" s="2"/>
      <c r="U105" s="2"/>
      <c r="V105" s="2"/>
      <c r="W105" s="2"/>
      <c r="X105" s="2"/>
      <c r="Y105" s="2"/>
      <c r="Z105" s="2" t="str">
        <f t="shared" si="7"/>
        <v>Karla Von Kill</v>
      </c>
    </row>
    <row r="106" spans="2:34" ht="12.75" customHeight="1" x14ac:dyDescent="0.2">
      <c r="B106" s="2" t="str">
        <f>MID($B$94,34,3)</f>
        <v>ABF</v>
      </c>
      <c r="C106" s="2" t="str">
        <f t="shared" si="5"/>
        <v>Mighty Zug</v>
      </c>
      <c r="D106" s="2"/>
      <c r="E106" s="2" t="str">
        <f t="shared" si="8"/>
        <v/>
      </c>
      <c r="F106" s="2" t="s">
        <v>767</v>
      </c>
      <c r="G106" s="2" t="s">
        <v>1150</v>
      </c>
      <c r="H106" s="2" t="s">
        <v>1150</v>
      </c>
      <c r="I106" s="2" t="str">
        <f t="shared" si="9"/>
        <v/>
      </c>
      <c r="J106" s="2" t="s">
        <v>950</v>
      </c>
      <c r="K106" s="9" t="s">
        <v>1161</v>
      </c>
      <c r="L106" s="2" t="str">
        <f t="shared" si="10"/>
        <v/>
      </c>
      <c r="M106" s="2" t="s">
        <v>1212</v>
      </c>
      <c r="N106" s="2" t="s">
        <v>996</v>
      </c>
      <c r="O106" s="2" t="s">
        <v>996</v>
      </c>
      <c r="P106" s="2" t="s">
        <v>1150</v>
      </c>
      <c r="Q106" s="2" t="s">
        <v>767</v>
      </c>
      <c r="R106" s="2" t="s">
        <v>870</v>
      </c>
      <c r="S106" s="2" t="s">
        <v>1016</v>
      </c>
      <c r="T106" s="2"/>
      <c r="U106" s="2"/>
      <c r="V106" s="2"/>
      <c r="W106" s="2"/>
      <c r="X106" s="2"/>
      <c r="Y106" s="2"/>
      <c r="Z106" s="2" t="str">
        <f t="shared" si="7"/>
        <v>Mighty Zug</v>
      </c>
    </row>
    <row r="107" spans="2:34" ht="12.75" customHeight="1" x14ac:dyDescent="0.2">
      <c r="B107" s="2" t="str">
        <f>MID($B$94,37,3)</f>
        <v>AAP</v>
      </c>
      <c r="C107" s="2" t="str">
        <f t="shared" si="5"/>
        <v>Frank 'n' Stein</v>
      </c>
      <c r="D107" s="2"/>
      <c r="E107" s="2" t="str">
        <f t="shared" si="8"/>
        <v/>
      </c>
      <c r="F107" s="2" t="s">
        <v>778</v>
      </c>
      <c r="G107" s="2" t="s">
        <v>1161</v>
      </c>
      <c r="H107" s="2" t="s">
        <v>1161</v>
      </c>
      <c r="I107" s="2" t="str">
        <f t="shared" si="9"/>
        <v/>
      </c>
      <c r="J107" s="2" t="s">
        <v>778</v>
      </c>
      <c r="K107" s="9" t="s">
        <v>748</v>
      </c>
      <c r="L107" s="2" t="str">
        <f t="shared" si="10"/>
        <v/>
      </c>
      <c r="M107" s="2" t="s">
        <v>778</v>
      </c>
      <c r="N107" s="2" t="s">
        <v>739</v>
      </c>
      <c r="O107" s="2" t="s">
        <v>919</v>
      </c>
      <c r="P107" s="2" t="s">
        <v>1161</v>
      </c>
      <c r="Q107" s="2" t="s">
        <v>778</v>
      </c>
      <c r="R107" s="2" t="s">
        <v>1150</v>
      </c>
      <c r="S107" s="2" t="s">
        <v>789</v>
      </c>
      <c r="T107" s="2"/>
      <c r="U107" s="2"/>
      <c r="V107" s="2"/>
      <c r="W107" s="2"/>
      <c r="X107" s="2"/>
      <c r="Y107" s="2"/>
      <c r="Z107" s="2" t="str">
        <f t="shared" si="7"/>
        <v>Frank 'n' Stein</v>
      </c>
    </row>
    <row r="108" spans="2:34" ht="12.75" customHeight="1" x14ac:dyDescent="0.2">
      <c r="B108" s="2" t="str">
        <f>MID($B$94,40,3)</f>
        <v>ABN</v>
      </c>
      <c r="C108" s="2" t="str">
        <f t="shared" si="5"/>
        <v>Ivar Eriksson</v>
      </c>
      <c r="D108" s="2"/>
      <c r="E108" s="2" t="str">
        <f t="shared" si="8"/>
        <v/>
      </c>
      <c r="F108" s="2" t="str">
        <f t="shared" si="8"/>
        <v/>
      </c>
      <c r="G108" s="2" t="s">
        <v>748</v>
      </c>
      <c r="H108" s="2" t="s">
        <v>748</v>
      </c>
      <c r="I108" s="2" t="str">
        <f t="shared" si="9"/>
        <v/>
      </c>
      <c r="J108" s="2" t="str">
        <f t="shared" si="9"/>
        <v/>
      </c>
      <c r="K108" s="9" t="s">
        <v>760</v>
      </c>
      <c r="L108" s="2" t="str">
        <f t="shared" si="9"/>
        <v/>
      </c>
      <c r="M108" s="2" t="str">
        <f t="shared" si="9"/>
        <v/>
      </c>
      <c r="N108" s="2" t="s">
        <v>870</v>
      </c>
      <c r="O108" s="2" t="s">
        <v>870</v>
      </c>
      <c r="P108" s="2" t="s">
        <v>748</v>
      </c>
      <c r="Q108" s="2" t="str">
        <f t="shared" ref="Q108:Q110" si="11">""</f>
        <v/>
      </c>
      <c r="R108" s="2" t="s">
        <v>1161</v>
      </c>
      <c r="S108" s="2" t="s">
        <v>830</v>
      </c>
      <c r="T108" s="2"/>
      <c r="U108" s="2"/>
      <c r="V108" s="2"/>
      <c r="W108" s="2"/>
      <c r="X108" s="2"/>
      <c r="Y108" s="2"/>
      <c r="Z108" s="2" t="str">
        <f t="shared" si="7"/>
        <v>Ivar Eriksson</v>
      </c>
    </row>
    <row r="109" spans="2:34" ht="12.75" customHeight="1" x14ac:dyDescent="0.2">
      <c r="B109" s="2" t="str">
        <f>MID($B$94,43,3)</f>
        <v>ABO</v>
      </c>
      <c r="C109" s="2" t="str">
        <f t="shared" si="5"/>
        <v>Skrorg Snowpelt</v>
      </c>
      <c r="D109" s="2"/>
      <c r="E109" s="2" t="str">
        <f t="shared" si="8"/>
        <v/>
      </c>
      <c r="F109" s="2" t="str">
        <f t="shared" si="8"/>
        <v/>
      </c>
      <c r="G109" s="2" t="s">
        <v>760</v>
      </c>
      <c r="H109" s="2" t="s">
        <v>760</v>
      </c>
      <c r="I109" s="2" t="str">
        <f t="shared" si="9"/>
        <v/>
      </c>
      <c r="J109" s="2" t="str">
        <f t="shared" si="9"/>
        <v/>
      </c>
      <c r="K109" s="2" t="s">
        <v>956</v>
      </c>
      <c r="L109" s="2" t="str">
        <f t="shared" si="9"/>
        <v/>
      </c>
      <c r="M109" s="2" t="str">
        <f t="shared" si="9"/>
        <v/>
      </c>
      <c r="N109" s="2" t="s">
        <v>1150</v>
      </c>
      <c r="O109" s="2" t="s">
        <v>1150</v>
      </c>
      <c r="P109" s="2" t="s">
        <v>760</v>
      </c>
      <c r="Q109" s="2" t="str">
        <f t="shared" si="11"/>
        <v/>
      </c>
      <c r="R109" s="2" t="s">
        <v>748</v>
      </c>
      <c r="S109" s="2" t="s">
        <v>739</v>
      </c>
      <c r="T109" s="2"/>
      <c r="U109" s="2"/>
      <c r="V109" s="2"/>
      <c r="W109" s="2"/>
      <c r="X109" s="2"/>
      <c r="Y109" s="2"/>
      <c r="Z109" s="2" t="str">
        <f t="shared" si="7"/>
        <v>Skrorg Snowpelt</v>
      </c>
    </row>
    <row r="110" spans="2:34" ht="12.75" customHeight="1" x14ac:dyDescent="0.2">
      <c r="B110" s="2" t="str">
        <f>MID($B$94,46,3)</f>
        <v>AAD</v>
      </c>
      <c r="C110" s="2" t="str">
        <f t="shared" si="5"/>
        <v>Grak</v>
      </c>
      <c r="D110" s="2"/>
      <c r="E110" s="2" t="str">
        <f t="shared" si="8"/>
        <v/>
      </c>
      <c r="F110" s="2" t="str">
        <f t="shared" si="8"/>
        <v/>
      </c>
      <c r="G110" s="2" t="s">
        <v>850</v>
      </c>
      <c r="H110" s="2" t="s">
        <v>850</v>
      </c>
      <c r="I110" s="2" t="str">
        <f t="shared" si="9"/>
        <v/>
      </c>
      <c r="J110" s="2" t="str">
        <f t="shared" si="9"/>
        <v/>
      </c>
      <c r="K110" s="2" t="s">
        <v>778</v>
      </c>
      <c r="L110" s="2" t="str">
        <f t="shared" si="9"/>
        <v/>
      </c>
      <c r="M110" s="2" t="str">
        <f t="shared" si="9"/>
        <v/>
      </c>
      <c r="N110" s="2" t="s">
        <v>1161</v>
      </c>
      <c r="O110" s="2" t="s">
        <v>1161</v>
      </c>
      <c r="P110" s="2" t="s">
        <v>850</v>
      </c>
      <c r="Q110" s="2" t="str">
        <f t="shared" si="11"/>
        <v/>
      </c>
      <c r="R110" s="2" t="s">
        <v>760</v>
      </c>
      <c r="S110" s="2" t="s">
        <v>1006</v>
      </c>
      <c r="T110" s="2"/>
      <c r="U110" s="2"/>
      <c r="V110" s="2"/>
      <c r="W110" s="2"/>
      <c r="X110" s="2"/>
      <c r="Y110" s="2"/>
      <c r="Z110" s="2" t="str">
        <f t="shared" si="7"/>
        <v>Grak</v>
      </c>
    </row>
    <row r="111" spans="2:34" ht="12.75" customHeight="1" x14ac:dyDescent="0.2">
      <c r="B111" s="2" t="str">
        <f>MID($B$94,49,3)</f>
        <v>AAE</v>
      </c>
      <c r="C111" s="2" t="str">
        <f t="shared" si="5"/>
        <v>Crumbleberry</v>
      </c>
      <c r="D111" s="2"/>
      <c r="E111" s="2" t="str">
        <f t="shared" si="8"/>
        <v/>
      </c>
      <c r="F111" s="2" t="str">
        <f t="shared" si="8"/>
        <v/>
      </c>
      <c r="G111" s="2" t="s">
        <v>860</v>
      </c>
      <c r="H111" s="2" t="s">
        <v>860</v>
      </c>
      <c r="I111" s="2" t="str">
        <f t="shared" si="9"/>
        <v/>
      </c>
      <c r="J111" s="2" t="str">
        <f t="shared" si="9"/>
        <v/>
      </c>
      <c r="K111" s="2" t="str">
        <f t="shared" si="9"/>
        <v/>
      </c>
      <c r="L111" s="2" t="str">
        <f t="shared" si="9"/>
        <v/>
      </c>
      <c r="M111" s="2" t="str">
        <f t="shared" si="9"/>
        <v/>
      </c>
      <c r="N111" s="2" t="s">
        <v>748</v>
      </c>
      <c r="O111" s="2" t="s">
        <v>748</v>
      </c>
      <c r="P111" s="2" t="s">
        <v>860</v>
      </c>
      <c r="Q111" s="2" t="str">
        <f t="shared" si="9"/>
        <v/>
      </c>
      <c r="R111" s="2" t="s">
        <v>850</v>
      </c>
      <c r="S111" s="2" t="s">
        <v>1150</v>
      </c>
      <c r="T111" s="2"/>
      <c r="U111" s="2"/>
      <c r="V111" s="2"/>
      <c r="W111" s="2"/>
      <c r="X111" s="2"/>
      <c r="Y111" s="2"/>
      <c r="Z111" s="2" t="str">
        <f t="shared" si="7"/>
        <v>Crumbleberry</v>
      </c>
    </row>
    <row r="112" spans="2:34" ht="12.75" customHeight="1" x14ac:dyDescent="0.2">
      <c r="B112" s="2" t="str">
        <f>MID($B$94,52,3)</f>
        <v>AAN</v>
      </c>
      <c r="C112" s="2" t="str">
        <f t="shared" si="5"/>
        <v>Deeproot Strongbranch</v>
      </c>
      <c r="D112" s="2"/>
      <c r="E112" s="2" t="str">
        <f t="shared" si="8"/>
        <v/>
      </c>
      <c r="F112" s="2" t="str">
        <f t="shared" si="8"/>
        <v/>
      </c>
      <c r="G112" s="2" t="s">
        <v>778</v>
      </c>
      <c r="H112" s="2" t="s">
        <v>778</v>
      </c>
      <c r="I112" s="2" t="str">
        <f t="shared" si="9"/>
        <v/>
      </c>
      <c r="J112" s="2" t="str">
        <f t="shared" si="9"/>
        <v/>
      </c>
      <c r="K112" s="2" t="str">
        <f t="shared" si="9"/>
        <v/>
      </c>
      <c r="L112" s="2" t="str">
        <f t="shared" si="9"/>
        <v/>
      </c>
      <c r="M112" s="2" t="str">
        <f t="shared" si="9"/>
        <v/>
      </c>
      <c r="N112" s="2" t="s">
        <v>760</v>
      </c>
      <c r="O112" s="2" t="s">
        <v>760</v>
      </c>
      <c r="P112" s="2" t="s">
        <v>778</v>
      </c>
      <c r="Q112" s="2" t="str">
        <f t="shared" si="9"/>
        <v/>
      </c>
      <c r="R112" s="2" t="s">
        <v>860</v>
      </c>
      <c r="S112" s="2" t="s">
        <v>1161</v>
      </c>
      <c r="T112" s="2"/>
      <c r="U112" s="2"/>
      <c r="V112" s="2"/>
      <c r="W112" s="2"/>
      <c r="X112" s="2"/>
      <c r="Y112" s="2"/>
      <c r="Z112" s="2" t="str">
        <f t="shared" si="7"/>
        <v>Deeproot Strongbranch</v>
      </c>
    </row>
    <row r="113" spans="2:26" ht="12.75" customHeight="1" x14ac:dyDescent="0.2">
      <c r="B113" s="2" t="str">
        <f>MID($B$94,55,3)</f>
        <v>AAO</v>
      </c>
      <c r="C113" s="2" t="str">
        <f t="shared" si="5"/>
        <v>Griff Oberwald</v>
      </c>
      <c r="D113" s="2"/>
      <c r="E113" s="2" t="str">
        <f t="shared" si="8"/>
        <v/>
      </c>
      <c r="F113" s="2" t="str">
        <f t="shared" si="8"/>
        <v/>
      </c>
      <c r="G113" s="2" t="str">
        <f t="shared" si="8"/>
        <v/>
      </c>
      <c r="H113" s="2" t="str">
        <f t="shared" si="8"/>
        <v/>
      </c>
      <c r="I113" s="2" t="str">
        <f t="shared" si="8"/>
        <v/>
      </c>
      <c r="J113" s="2" t="str">
        <f t="shared" si="8"/>
        <v/>
      </c>
      <c r="K113" s="2" t="str">
        <f t="shared" si="8"/>
        <v/>
      </c>
      <c r="L113" s="2" t="str">
        <f t="shared" si="8"/>
        <v/>
      </c>
      <c r="M113" s="2" t="str">
        <f t="shared" si="8"/>
        <v/>
      </c>
      <c r="N113" s="2" t="s">
        <v>850</v>
      </c>
      <c r="O113" s="2" t="s">
        <v>1212</v>
      </c>
      <c r="P113" s="2" t="str">
        <f t="shared" si="8"/>
        <v/>
      </c>
      <c r="Q113" s="2" t="str">
        <f t="shared" si="8"/>
        <v/>
      </c>
      <c r="R113" s="2" t="s">
        <v>778</v>
      </c>
      <c r="S113" s="2" t="s">
        <v>748</v>
      </c>
      <c r="T113" s="2"/>
      <c r="U113" s="2"/>
      <c r="V113" s="2"/>
      <c r="W113" s="2"/>
      <c r="X113" s="2"/>
      <c r="Y113" s="2"/>
      <c r="Z113" s="2"/>
    </row>
    <row r="114" spans="2:26" ht="12.75" customHeight="1" x14ac:dyDescent="0.2">
      <c r="B114" s="23" t="str">
        <f>MID($B$94,58,3)</f>
        <v>AAG</v>
      </c>
      <c r="C114" s="2" t="str">
        <f t="shared" si="5"/>
        <v>Morg 'n' Thorg</v>
      </c>
      <c r="D114" s="2"/>
      <c r="E114" s="2" t="str">
        <f t="shared" si="8"/>
        <v/>
      </c>
      <c r="F114" s="2" t="str">
        <f t="shared" si="8"/>
        <v/>
      </c>
      <c r="G114" s="2" t="str">
        <f t="shared" si="8"/>
        <v/>
      </c>
      <c r="H114" s="2" t="str">
        <f t="shared" si="8"/>
        <v/>
      </c>
      <c r="I114" s="2" t="str">
        <f t="shared" si="8"/>
        <v/>
      </c>
      <c r="J114" s="2" t="str">
        <f t="shared" si="8"/>
        <v/>
      </c>
      <c r="K114" s="2" t="str">
        <f t="shared" si="8"/>
        <v/>
      </c>
      <c r="L114" s="2" t="str">
        <f t="shared" si="8"/>
        <v/>
      </c>
      <c r="M114" s="2" t="str">
        <f t="shared" si="8"/>
        <v/>
      </c>
      <c r="N114" s="2" t="s">
        <v>860</v>
      </c>
      <c r="O114" s="2" t="s">
        <v>850</v>
      </c>
      <c r="P114" s="2" t="str">
        <f t="shared" si="8"/>
        <v/>
      </c>
      <c r="Q114" s="2" t="str">
        <f t="shared" si="8"/>
        <v/>
      </c>
      <c r="R114" s="2" t="str">
        <f t="shared" si="8"/>
        <v/>
      </c>
      <c r="S114" s="2" t="s">
        <v>760</v>
      </c>
      <c r="T114" s="2"/>
      <c r="U114" s="2"/>
      <c r="V114" s="2"/>
      <c r="W114" s="2"/>
      <c r="X114" s="2"/>
      <c r="Y114" s="2"/>
      <c r="Z114" s="2"/>
    </row>
    <row r="115" spans="2:26" ht="12.75" customHeight="1" x14ac:dyDescent="0.2">
      <c r="B115" s="23" t="str">
        <f>MID($B$94,61,3)</f>
        <v>BBB</v>
      </c>
      <c r="C115" s="2" t="str">
        <f t="shared" si="5"/>
        <v xml:space="preserve"> </v>
      </c>
      <c r="D115" s="2"/>
      <c r="E115" s="2" t="str">
        <f t="shared" si="8"/>
        <v/>
      </c>
      <c r="F115" s="2" t="str">
        <f t="shared" si="8"/>
        <v/>
      </c>
      <c r="G115" s="2" t="str">
        <f t="shared" si="8"/>
        <v/>
      </c>
      <c r="H115" s="2" t="str">
        <f t="shared" si="8"/>
        <v/>
      </c>
      <c r="I115" s="2" t="str">
        <f t="shared" si="8"/>
        <v/>
      </c>
      <c r="J115" s="2" t="str">
        <f t="shared" si="8"/>
        <v/>
      </c>
      <c r="K115" s="2" t="str">
        <f t="shared" si="8"/>
        <v/>
      </c>
      <c r="L115" s="2" t="str">
        <f t="shared" si="8"/>
        <v/>
      </c>
      <c r="M115" s="2" t="str">
        <f t="shared" si="8"/>
        <v/>
      </c>
      <c r="N115" s="2" t="s">
        <v>767</v>
      </c>
      <c r="O115" s="2" t="s">
        <v>860</v>
      </c>
      <c r="P115" s="2" t="str">
        <f t="shared" si="8"/>
        <v/>
      </c>
      <c r="Q115" s="2" t="str">
        <f t="shared" si="8"/>
        <v/>
      </c>
      <c r="R115" s="2" t="str">
        <f t="shared" si="8"/>
        <v/>
      </c>
      <c r="S115" s="2" t="s">
        <v>956</v>
      </c>
      <c r="T115" s="2"/>
      <c r="U115" s="2"/>
      <c r="V115" s="2"/>
      <c r="W115" s="2"/>
      <c r="X115" s="2"/>
      <c r="Y115" s="2"/>
      <c r="Z115" s="21"/>
    </row>
    <row r="116" spans="2:26" ht="12.75" customHeight="1" x14ac:dyDescent="0.2">
      <c r="B116" s="23" t="str">
        <f>MID($B$94,64,3)</f>
        <v>CCC</v>
      </c>
      <c r="C116" s="2" t="str">
        <f t="shared" si="5"/>
        <v xml:space="preserve"> </v>
      </c>
      <c r="D116" s="2"/>
      <c r="E116" s="2"/>
      <c r="F116" s="2"/>
      <c r="G116" s="2"/>
      <c r="H116" s="2"/>
      <c r="I116" s="2"/>
      <c r="J116" s="2"/>
      <c r="K116" s="2"/>
      <c r="L116" s="2"/>
      <c r="M116" s="2"/>
      <c r="N116" s="2" t="s">
        <v>778</v>
      </c>
      <c r="O116" s="2" t="s">
        <v>778</v>
      </c>
      <c r="P116" s="2"/>
      <c r="Q116" s="2"/>
      <c r="R116" s="2" t="str">
        <f>""</f>
        <v/>
      </c>
      <c r="S116" s="2" t="s">
        <v>767</v>
      </c>
    </row>
    <row r="117" spans="2:26" ht="12.75" customHeight="1" x14ac:dyDescent="0.2">
      <c r="B117" s="23" t="str">
        <f>MID($B$94,67,3)</f>
        <v>DDD</v>
      </c>
      <c r="C117" s="2" t="str">
        <f t="shared" si="5"/>
        <v xml:space="preserve"> </v>
      </c>
      <c r="D117" s="2"/>
      <c r="E117" s="2"/>
      <c r="F117" s="2"/>
      <c r="G117" s="2"/>
      <c r="H117" s="2"/>
      <c r="I117" s="2"/>
      <c r="J117" s="2"/>
      <c r="K117" s="2"/>
      <c r="L117" s="2"/>
      <c r="M117" s="2"/>
      <c r="N117" s="2"/>
      <c r="O117" s="2"/>
      <c r="P117" s="2"/>
      <c r="Q117" s="2"/>
      <c r="R117" s="2"/>
      <c r="S117" s="2" t="s">
        <v>778</v>
      </c>
    </row>
    <row r="118" spans="2:26" ht="12.75" customHeight="1" x14ac:dyDescent="0.2">
      <c r="B118" s="23" t="str">
        <f>MID($B$94,70,3)</f>
        <v>EEE</v>
      </c>
      <c r="C118" s="2" t="str">
        <f t="shared" si="5"/>
        <v xml:space="preserve"> </v>
      </c>
      <c r="D118" s="2"/>
      <c r="E118" s="2"/>
      <c r="F118" s="2"/>
      <c r="G118" s="2"/>
      <c r="H118" s="2"/>
      <c r="I118" s="2"/>
      <c r="J118" s="2"/>
      <c r="K118" s="2"/>
      <c r="L118" s="2"/>
      <c r="M118" s="2"/>
      <c r="N118" s="2"/>
      <c r="O118" s="2"/>
      <c r="P118" s="2"/>
      <c r="Q118" s="2"/>
      <c r="R118" s="2"/>
      <c r="S118" s="2"/>
    </row>
    <row r="119" spans="2:26" ht="12.75" customHeight="1" x14ac:dyDescent="0.2">
      <c r="B119" s="23" t="str">
        <f>MID($B$94,73,3)</f>
        <v/>
      </c>
      <c r="C119" s="2" t="str">
        <f t="shared" si="5"/>
        <v xml:space="preserve"> </v>
      </c>
      <c r="D119" s="2"/>
      <c r="E119" s="2"/>
      <c r="F119" s="2"/>
      <c r="G119" s="2"/>
      <c r="H119" s="2"/>
      <c r="I119" s="2"/>
      <c r="J119" s="2"/>
      <c r="K119" s="2"/>
      <c r="L119" s="2"/>
      <c r="M119" s="2"/>
      <c r="N119" s="2"/>
      <c r="O119" s="2"/>
      <c r="P119" s="2"/>
      <c r="Q119" s="2"/>
      <c r="R119" s="2"/>
      <c r="S119" s="2"/>
    </row>
    <row r="120" spans="2:26" ht="12.75" customHeight="1" x14ac:dyDescent="0.2">
      <c r="B120" s="23" t="str">
        <f>MID($B$94,76,3)</f>
        <v/>
      </c>
      <c r="C120" s="2" t="str">
        <f t="shared" si="5"/>
        <v xml:space="preserve"> </v>
      </c>
      <c r="D120" s="2"/>
      <c r="E120" s="2"/>
      <c r="F120" s="2"/>
      <c r="G120" s="2"/>
      <c r="H120" s="2"/>
      <c r="I120" s="2"/>
      <c r="J120" s="2"/>
      <c r="K120" s="2"/>
      <c r="L120" s="2"/>
      <c r="M120" s="2"/>
      <c r="N120" s="2"/>
      <c r="O120" s="2"/>
      <c r="P120" s="2"/>
      <c r="Q120" s="2"/>
      <c r="R120" s="2"/>
      <c r="S120" s="2"/>
    </row>
    <row r="121" spans="2:26" ht="12.75" customHeight="1" x14ac:dyDescent="0.2">
      <c r="B121" s="2" t="str">
        <f>MID($B$94,79,3)</f>
        <v/>
      </c>
      <c r="C121" s="2" t="str">
        <f t="shared" si="5"/>
        <v xml:space="preserve"> </v>
      </c>
      <c r="D121" s="19"/>
      <c r="E121" s="19"/>
      <c r="F121" s="19"/>
      <c r="G121" s="19"/>
      <c r="H121" s="19"/>
      <c r="I121" s="19"/>
      <c r="J121" s="19"/>
      <c r="K121" s="19"/>
      <c r="L121" s="19"/>
    </row>
    <row r="122" spans="2:26" ht="12.75" customHeight="1" x14ac:dyDescent="0.2">
      <c r="B122" s="2" t="str">
        <f>MID($B$94,82,3)</f>
        <v/>
      </c>
      <c r="C122" s="2" t="str">
        <f t="shared" si="5"/>
        <v xml:space="preserve"> </v>
      </c>
      <c r="D122" s="19"/>
      <c r="E122" s="19"/>
      <c r="F122" s="19"/>
      <c r="G122" s="19"/>
      <c r="H122" s="19"/>
      <c r="I122" s="19"/>
      <c r="J122" s="19"/>
      <c r="K122" s="19"/>
      <c r="L122" s="19"/>
    </row>
    <row r="123" spans="2:26" ht="12.75" customHeight="1" x14ac:dyDescent="0.2">
      <c r="B123" s="2" t="str">
        <f>MID($B$94,85,3)</f>
        <v/>
      </c>
      <c r="C123" s="2" t="str">
        <f t="shared" si="5"/>
        <v xml:space="preserve"> </v>
      </c>
      <c r="D123" s="3"/>
      <c r="E123" s="19"/>
      <c r="F123" s="19"/>
      <c r="G123" s="19"/>
      <c r="H123" s="19"/>
      <c r="I123" s="19"/>
      <c r="J123" s="19"/>
      <c r="K123" s="19"/>
      <c r="L123" s="19"/>
    </row>
    <row r="124" spans="2:26" ht="12.75" customHeight="1" x14ac:dyDescent="0.2">
      <c r="B124" s="2" t="str">
        <f>MID($B$94,88,3)</f>
        <v/>
      </c>
      <c r="C124" s="2" t="str">
        <f t="shared" si="5"/>
        <v xml:space="preserve"> </v>
      </c>
      <c r="D124" s="3"/>
      <c r="E124" s="19"/>
      <c r="F124" s="19"/>
      <c r="G124" s="19"/>
      <c r="H124" s="19"/>
      <c r="I124" s="19"/>
      <c r="J124" s="19"/>
      <c r="K124" s="19"/>
      <c r="L124" s="19"/>
    </row>
    <row r="125" spans="2:26" ht="12.75" customHeight="1" x14ac:dyDescent="0.2">
      <c r="B125" s="23" t="str">
        <f>MID($B$94,91,3)</f>
        <v/>
      </c>
      <c r="C125" s="2" t="str">
        <f t="shared" si="5"/>
        <v xml:space="preserve"> </v>
      </c>
      <c r="D125" s="3"/>
      <c r="E125" s="19"/>
      <c r="F125" s="19"/>
      <c r="G125" s="19"/>
      <c r="H125" s="19"/>
      <c r="I125" s="19"/>
      <c r="J125" s="19"/>
      <c r="K125" s="19"/>
      <c r="L125" s="19"/>
    </row>
    <row r="126" spans="2:26" ht="12.75" customHeight="1" x14ac:dyDescent="0.2">
      <c r="B126" s="23" t="str">
        <f>MID($B$94,94,3)</f>
        <v/>
      </c>
      <c r="C126" s="2" t="str">
        <f t="shared" si="5"/>
        <v xml:space="preserve"> </v>
      </c>
      <c r="D126" s="19"/>
      <c r="E126" s="19"/>
      <c r="F126" s="19"/>
      <c r="G126" s="19"/>
      <c r="H126" s="19"/>
      <c r="I126" s="19"/>
      <c r="J126" s="19"/>
      <c r="K126" s="19"/>
      <c r="L126" s="19"/>
    </row>
    <row r="127" spans="2:26" ht="15" customHeight="1" x14ac:dyDescent="0.2">
      <c r="B127" s="23" t="str">
        <f>MID($B$94,97,3)</f>
        <v/>
      </c>
      <c r="C127" s="2" t="str">
        <f t="shared" si="5"/>
        <v xml:space="preserve"> </v>
      </c>
    </row>
    <row r="128" spans="2:26" ht="15" customHeight="1" x14ac:dyDescent="0.2">
      <c r="B128" s="23" t="str">
        <f>MID($B$94,100,3)</f>
        <v/>
      </c>
      <c r="C128" s="2" t="str">
        <f t="shared" si="5"/>
        <v xml:space="preserve"> </v>
      </c>
    </row>
    <row r="129" spans="2:3" ht="15" customHeight="1" x14ac:dyDescent="0.2">
      <c r="B129" s="23" t="str">
        <f>MID($B$94,103,3)</f>
        <v/>
      </c>
      <c r="C129" s="2" t="str">
        <f t="shared" si="5"/>
        <v xml:space="preserve"> </v>
      </c>
    </row>
    <row r="130" spans="2:3" ht="15" customHeight="1" x14ac:dyDescent="0.2">
      <c r="B130" s="23" t="str">
        <f>MID($B$94,106,3)</f>
        <v/>
      </c>
      <c r="C130" s="23" t="str">
        <f t="shared" si="5"/>
        <v xml:space="preserve"> </v>
      </c>
    </row>
    <row r="131" spans="2:3" ht="15" customHeight="1" x14ac:dyDescent="0.2">
      <c r="B131" s="23" t="str">
        <f>MID($B$94,109,3)</f>
        <v/>
      </c>
      <c r="C131" s="23" t="str">
        <f t="shared" si="5"/>
        <v xml:space="preserve"> </v>
      </c>
    </row>
    <row r="132" spans="2:3" ht="15" customHeight="1" x14ac:dyDescent="0.2">
      <c r="B132" s="23" t="str">
        <f>MID($B$94,112,3)</f>
        <v/>
      </c>
      <c r="C132" s="23" t="str">
        <f t="shared" si="5"/>
        <v xml:space="preserve"> </v>
      </c>
    </row>
    <row r="133" spans="2:3" ht="15" customHeight="1" x14ac:dyDescent="0.2">
      <c r="B133" s="23" t="str">
        <f>MID($B$94,115,3)</f>
        <v/>
      </c>
      <c r="C133" s="23" t="str">
        <f t="shared" si="5"/>
        <v xml:space="preserve"> </v>
      </c>
    </row>
    <row r="134" spans="2:3" ht="15" customHeight="1" x14ac:dyDescent="0.2">
      <c r="B134" s="23" t="str">
        <f>MID($B$94,118,3)</f>
        <v/>
      </c>
      <c r="C134" s="23" t="str">
        <f t="shared" si="5"/>
        <v xml:space="preserve"> </v>
      </c>
    </row>
    <row r="135" spans="2:3" ht="15" customHeight="1" x14ac:dyDescent="0.2">
      <c r="B135" s="23" t="str">
        <f>MID($B$94,121,3)</f>
        <v/>
      </c>
      <c r="C135" s="23" t="str">
        <f t="shared" si="5"/>
        <v xml:space="preserve"> </v>
      </c>
    </row>
    <row r="136" spans="2:3" ht="15" customHeight="1" x14ac:dyDescent="0.2">
      <c r="B136" s="23" t="str">
        <f>MID($B$94,124,3)</f>
        <v/>
      </c>
      <c r="C136" s="23" t="str">
        <f t="shared" si="5"/>
        <v xml:space="preserve"> </v>
      </c>
    </row>
    <row r="137" spans="2:3" ht="15" customHeight="1" x14ac:dyDescent="0.2">
      <c r="B137" s="23" t="str">
        <f>MID($B$94,127,3)</f>
        <v/>
      </c>
      <c r="C137" s="23" t="str">
        <f t="shared" si="5"/>
        <v xml:space="preserve"> </v>
      </c>
    </row>
    <row r="138" spans="2:3" ht="15" customHeight="1" x14ac:dyDescent="0.2">
      <c r="B138" s="23" t="str">
        <f>MID($B$94,130,3)</f>
        <v/>
      </c>
      <c r="C138" s="23" t="str">
        <f t="shared" si="5"/>
        <v xml:space="preserve"> </v>
      </c>
    </row>
    <row r="139" spans="2:3" ht="15" customHeight="1" x14ac:dyDescent="0.2">
      <c r="B139" s="23" t="str">
        <f>MID($B$94,133,3)</f>
        <v/>
      </c>
      <c r="C139" s="23" t="str">
        <f t="shared" si="5"/>
        <v xml:space="preserve"> </v>
      </c>
    </row>
    <row r="140" spans="2:3" ht="15" customHeight="1" x14ac:dyDescent="0.2">
      <c r="B140" s="23" t="str">
        <f>MID($B$94,136,3)</f>
        <v/>
      </c>
      <c r="C140" s="23" t="str">
        <f t="shared" si="5"/>
        <v xml:space="preserve"> </v>
      </c>
    </row>
    <row r="141" spans="2:3" ht="15" customHeight="1" x14ac:dyDescent="0.2">
      <c r="B141" s="23" t="s">
        <v>1039</v>
      </c>
      <c r="C141" s="23" t="s">
        <v>1039</v>
      </c>
    </row>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6210C-86BA-43BD-B88B-CE6E38F0059A}">
  <dimension ref="A1:Y194"/>
  <sheetViews>
    <sheetView zoomScale="80" zoomScaleNormal="80" workbookViewId="0">
      <pane ySplit="1" topLeftCell="A44" activePane="bottomLeft" state="frozen"/>
      <selection activeCell="R75" sqref="R75"/>
      <selection pane="bottomLeft" activeCell="R75" sqref="R75"/>
    </sheetView>
  </sheetViews>
  <sheetFormatPr baseColWidth="10"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5" ht="12.75" customHeight="1" x14ac:dyDescent="0.2">
      <c r="A1" s="27" t="s">
        <v>224</v>
      </c>
      <c r="B1" s="5" t="s">
        <v>225</v>
      </c>
      <c r="C1" s="5" t="s">
        <v>226</v>
      </c>
      <c r="D1" s="5" t="s">
        <v>227</v>
      </c>
      <c r="E1" s="5" t="s">
        <v>172</v>
      </c>
      <c r="F1" s="5" t="s">
        <v>176</v>
      </c>
      <c r="G1" s="5" t="s">
        <v>174</v>
      </c>
      <c r="H1" s="5" t="s">
        <v>175</v>
      </c>
      <c r="I1" s="5" t="s">
        <v>173</v>
      </c>
      <c r="J1" s="5" t="s">
        <v>228</v>
      </c>
      <c r="K1" s="5" t="s">
        <v>229</v>
      </c>
      <c r="L1" s="5" t="s">
        <v>10</v>
      </c>
      <c r="M1" s="5" t="s">
        <v>230</v>
      </c>
      <c r="N1" s="5" t="s">
        <v>231</v>
      </c>
      <c r="O1" s="5" t="s">
        <v>167</v>
      </c>
      <c r="P1" s="5" t="s">
        <v>168</v>
      </c>
      <c r="Q1" s="5" t="s">
        <v>169</v>
      </c>
      <c r="R1" s="5" t="s">
        <v>170</v>
      </c>
      <c r="S1" s="5" t="s">
        <v>171</v>
      </c>
      <c r="T1" s="15"/>
      <c r="U1" s="5" t="s">
        <v>232</v>
      </c>
      <c r="V1" s="5" t="s">
        <v>233</v>
      </c>
      <c r="W1" s="5" t="s">
        <v>234</v>
      </c>
      <c r="X1" s="5" t="s">
        <v>235</v>
      </c>
      <c r="Y1" s="5" t="s">
        <v>236</v>
      </c>
    </row>
    <row r="2" spans="1:25" ht="12.75" customHeight="1" x14ac:dyDescent="0.2">
      <c r="A2" s="2" t="s">
        <v>20</v>
      </c>
      <c r="B2" s="23" t="str">
        <f>A2&amp;COUNTIF($A$2:$A2,A2)</f>
        <v>Amazon1</v>
      </c>
      <c r="C2" s="23" t="str">
        <f>""</f>
        <v/>
      </c>
      <c r="D2" s="23" t="str">
        <f t="shared" ref="D2:D194" si="0">A2&amp;C2</f>
        <v>Amazon</v>
      </c>
      <c r="E2" s="23">
        <v>0</v>
      </c>
      <c r="F2" s="23">
        <v>0</v>
      </c>
      <c r="G2" s="23">
        <v>0</v>
      </c>
      <c r="H2" s="23">
        <v>0</v>
      </c>
      <c r="I2" s="23">
        <v>0</v>
      </c>
      <c r="J2" s="23">
        <v>0</v>
      </c>
      <c r="K2" s="25">
        <v>0</v>
      </c>
      <c r="L2" s="1">
        <f t="shared" ref="L2:L93" si="1">K2/1000</f>
        <v>0</v>
      </c>
      <c r="M2" s="25">
        <v>0</v>
      </c>
      <c r="N2" s="25">
        <v>0</v>
      </c>
      <c r="O2" s="25"/>
      <c r="P2" s="25"/>
      <c r="Q2" s="25"/>
      <c r="R2" s="25"/>
      <c r="S2" s="25"/>
      <c r="T2" s="15" t="str">
        <f>IF(K2=0,"",(IF(O2=0,"GPSM",(IF(AND(R2=0,S2=0),"PM",(IF(S2=0,"M",(IF(R2=0,"P","FULL")))))))))</f>
        <v/>
      </c>
      <c r="U2" s="15">
        <v>0</v>
      </c>
      <c r="V2" s="15">
        <v>0</v>
      </c>
      <c r="W2" s="15"/>
      <c r="X2" s="15">
        <v>0</v>
      </c>
      <c r="Y2" s="15">
        <v>0</v>
      </c>
    </row>
    <row r="3" spans="1:25" ht="12.75" customHeight="1" x14ac:dyDescent="0.2">
      <c r="A3" s="2" t="s">
        <v>20</v>
      </c>
      <c r="B3" s="23" t="str">
        <f>A3&amp;COUNTIF($A$2:$A3,A3)</f>
        <v>Amazon2</v>
      </c>
      <c r="C3" s="23" t="s">
        <v>1184</v>
      </c>
      <c r="D3" s="23" t="str">
        <f t="shared" si="0"/>
        <v>AmazonEagle Warrior Linewomen</v>
      </c>
      <c r="E3" s="23">
        <v>6</v>
      </c>
      <c r="F3" s="23">
        <v>3</v>
      </c>
      <c r="G3" s="23">
        <v>3</v>
      </c>
      <c r="H3" s="23">
        <v>4</v>
      </c>
      <c r="I3" s="23">
        <v>8</v>
      </c>
      <c r="J3" s="23" t="s">
        <v>237</v>
      </c>
      <c r="K3" s="25">
        <v>50000</v>
      </c>
      <c r="L3" s="1">
        <f t="shared" si="1"/>
        <v>50</v>
      </c>
      <c r="M3" s="23">
        <v>16</v>
      </c>
      <c r="N3" s="23">
        <v>0</v>
      </c>
      <c r="O3" s="25" t="s">
        <v>170</v>
      </c>
      <c r="P3" s="25" t="s">
        <v>169</v>
      </c>
      <c r="Q3" s="25" t="s">
        <v>169</v>
      </c>
      <c r="R3" s="1">
        <v>0</v>
      </c>
      <c r="S3" s="25">
        <v>0</v>
      </c>
      <c r="T3" s="15" t="str">
        <f t="shared" ref="T3:T66" si="2">IF(K3=0,"",(IF(O3=0,"GPSM",(IF(AND(R3=0,S3=0),"PM",(IF(S3=0,"M",(IF(R3=0,"P","FULL")))))))))</f>
        <v>PM</v>
      </c>
      <c r="U3" s="15" t="s">
        <v>237</v>
      </c>
      <c r="V3" s="15" t="s">
        <v>238</v>
      </c>
      <c r="W3" s="15" t="s">
        <v>239</v>
      </c>
      <c r="X3" s="15" t="s">
        <v>240</v>
      </c>
      <c r="Y3" s="15"/>
    </row>
    <row r="4" spans="1:25" ht="12.75" customHeight="1" x14ac:dyDescent="0.2">
      <c r="A4" s="2" t="s">
        <v>20</v>
      </c>
      <c r="B4" s="23" t="str">
        <f>A4&amp;COUNTIF($A$2:$A4,A4)</f>
        <v>Amazon3</v>
      </c>
      <c r="C4" s="23" t="s">
        <v>1185</v>
      </c>
      <c r="D4" s="23" t="str">
        <f t="shared" si="0"/>
        <v>AmazonPython Warrior Throwers</v>
      </c>
      <c r="E4" s="23">
        <v>6</v>
      </c>
      <c r="F4" s="23">
        <v>3</v>
      </c>
      <c r="G4" s="23">
        <v>3</v>
      </c>
      <c r="H4" s="23">
        <v>3</v>
      </c>
      <c r="I4" s="23">
        <v>8</v>
      </c>
      <c r="J4" s="23" t="s">
        <v>1186</v>
      </c>
      <c r="K4" s="25">
        <v>80000</v>
      </c>
      <c r="L4" s="1">
        <f t="shared" si="1"/>
        <v>80</v>
      </c>
      <c r="M4" s="23">
        <v>2</v>
      </c>
      <c r="N4" s="23">
        <v>0</v>
      </c>
      <c r="O4" s="25" t="s">
        <v>170</v>
      </c>
      <c r="P4" s="25" t="s">
        <v>169</v>
      </c>
      <c r="Q4" s="25" t="s">
        <v>169</v>
      </c>
      <c r="R4" s="1" t="s">
        <v>170</v>
      </c>
      <c r="S4" s="25">
        <v>0</v>
      </c>
      <c r="T4" s="15" t="str">
        <f t="shared" si="2"/>
        <v>M</v>
      </c>
      <c r="U4" s="15" t="s">
        <v>1186</v>
      </c>
      <c r="V4" s="15" t="s">
        <v>1187</v>
      </c>
      <c r="W4" s="15" t="s">
        <v>1188</v>
      </c>
      <c r="X4" s="15" t="s">
        <v>1189</v>
      </c>
      <c r="Y4" s="15"/>
    </row>
    <row r="5" spans="1:25" ht="12.75" customHeight="1" x14ac:dyDescent="0.2">
      <c r="A5" s="2" t="s">
        <v>20</v>
      </c>
      <c r="B5" s="23" t="str">
        <f>A5&amp;COUNTIF($A$2:$A5,A5)</f>
        <v>Amazon4</v>
      </c>
      <c r="C5" s="23" t="s">
        <v>1190</v>
      </c>
      <c r="D5" s="23" t="str">
        <f t="shared" si="0"/>
        <v>AmazonPiranha Warrior Blitzers</v>
      </c>
      <c r="E5" s="23">
        <v>7</v>
      </c>
      <c r="F5" s="23">
        <v>3</v>
      </c>
      <c r="G5" s="23">
        <v>3</v>
      </c>
      <c r="H5" s="23">
        <v>5</v>
      </c>
      <c r="I5" s="23">
        <v>8</v>
      </c>
      <c r="J5" s="23" t="s">
        <v>1191</v>
      </c>
      <c r="K5" s="25">
        <v>90000</v>
      </c>
      <c r="L5" s="1">
        <f t="shared" si="1"/>
        <v>90</v>
      </c>
      <c r="M5" s="23">
        <v>2</v>
      </c>
      <c r="N5" s="23">
        <v>0</v>
      </c>
      <c r="O5" s="25" t="s">
        <v>170</v>
      </c>
      <c r="P5" s="25" t="s">
        <v>170</v>
      </c>
      <c r="Q5" s="25" t="s">
        <v>169</v>
      </c>
      <c r="R5" s="1">
        <v>0</v>
      </c>
      <c r="S5" s="25">
        <v>0</v>
      </c>
      <c r="T5" s="15" t="str">
        <f t="shared" si="2"/>
        <v>PM</v>
      </c>
      <c r="U5" s="15" t="s">
        <v>1191</v>
      </c>
      <c r="V5" s="15" t="s">
        <v>1192</v>
      </c>
      <c r="W5" s="15" t="s">
        <v>1193</v>
      </c>
      <c r="X5" s="15" t="s">
        <v>1194</v>
      </c>
      <c r="Y5" s="15"/>
    </row>
    <row r="6" spans="1:25" ht="12.75" customHeight="1" x14ac:dyDescent="0.2">
      <c r="A6" s="2" t="s">
        <v>20</v>
      </c>
      <c r="B6" s="23" t="str">
        <f>A6&amp;COUNTIF($A$2:$A6,A6)</f>
        <v>Amazon5</v>
      </c>
      <c r="C6" s="23" t="s">
        <v>1195</v>
      </c>
      <c r="D6" s="23" t="str">
        <f t="shared" si="0"/>
        <v>AmazonJaguar Warrior Blockers</v>
      </c>
      <c r="E6" s="23">
        <v>6</v>
      </c>
      <c r="F6" s="23">
        <v>4</v>
      </c>
      <c r="G6" s="23">
        <v>3</v>
      </c>
      <c r="H6" s="23">
        <v>5</v>
      </c>
      <c r="I6" s="23">
        <v>9</v>
      </c>
      <c r="J6" s="23" t="s">
        <v>1196</v>
      </c>
      <c r="K6" s="25">
        <v>110000</v>
      </c>
      <c r="L6" s="1">
        <f t="shared" si="1"/>
        <v>110</v>
      </c>
      <c r="M6" s="23">
        <v>2</v>
      </c>
      <c r="N6" s="23">
        <v>0</v>
      </c>
      <c r="O6" s="25" t="s">
        <v>170</v>
      </c>
      <c r="P6" s="25" t="s">
        <v>169</v>
      </c>
      <c r="Q6" s="25" t="s">
        <v>170</v>
      </c>
      <c r="R6" s="1">
        <v>0</v>
      </c>
      <c r="S6" s="25">
        <v>0</v>
      </c>
      <c r="T6" s="15" t="str">
        <f t="shared" si="2"/>
        <v>PM</v>
      </c>
      <c r="U6" s="15" t="s">
        <v>1196</v>
      </c>
      <c r="V6" s="15" t="s">
        <v>1197</v>
      </c>
      <c r="W6" s="15" t="s">
        <v>1198</v>
      </c>
      <c r="X6" s="15" t="s">
        <v>1199</v>
      </c>
      <c r="Y6" s="15"/>
    </row>
    <row r="7" spans="1:25" ht="12.75" customHeight="1" x14ac:dyDescent="0.2">
      <c r="A7" s="23" t="s">
        <v>22</v>
      </c>
      <c r="B7" s="2" t="str">
        <f>A7&amp;COUNTIF($A$2:$A7,A7)</f>
        <v>Black Orc1</v>
      </c>
      <c r="C7" s="2" t="str">
        <f>""</f>
        <v/>
      </c>
      <c r="D7" s="2" t="str">
        <f t="shared" si="0"/>
        <v>Black Orc</v>
      </c>
      <c r="E7" s="2">
        <v>0</v>
      </c>
      <c r="F7" s="2">
        <v>0</v>
      </c>
      <c r="G7" s="2">
        <v>0</v>
      </c>
      <c r="H7" s="2">
        <v>0</v>
      </c>
      <c r="I7" s="2">
        <v>0</v>
      </c>
      <c r="J7" s="2">
        <f>IF('Pack Pro-Player'!$J$24="Español",V7,(IF('Pack Pro-Player'!$J$24="Deutsch",W7,(IF('Pack Pro-Player'!$J$24="Français",X7,U7)))))</f>
        <v>0</v>
      </c>
      <c r="K7" s="1">
        <v>0</v>
      </c>
      <c r="L7" s="1">
        <f t="shared" si="1"/>
        <v>0</v>
      </c>
      <c r="M7" s="1">
        <v>0</v>
      </c>
      <c r="N7" s="1">
        <v>0</v>
      </c>
      <c r="O7" s="1"/>
      <c r="P7" s="1"/>
      <c r="Q7" s="1"/>
      <c r="R7" s="1"/>
      <c r="S7" s="1"/>
      <c r="T7" s="15" t="str">
        <f t="shared" si="2"/>
        <v/>
      </c>
      <c r="U7" s="15">
        <v>0</v>
      </c>
      <c r="V7" s="15">
        <v>0</v>
      </c>
      <c r="W7" s="15">
        <v>0</v>
      </c>
      <c r="X7" s="15">
        <v>0</v>
      </c>
      <c r="Y7" s="15">
        <v>0</v>
      </c>
    </row>
    <row r="8" spans="1:25" ht="12.75" customHeight="1" x14ac:dyDescent="0.2">
      <c r="A8" s="23" t="s">
        <v>22</v>
      </c>
      <c r="B8" s="2" t="str">
        <f>A8&amp;COUNTIF($A$2:$A8,A8)</f>
        <v>Black Orc2</v>
      </c>
      <c r="C8" s="2" t="s">
        <v>244</v>
      </c>
      <c r="D8" s="2" t="str">
        <f t="shared" si="0"/>
        <v>Black OrcGoblin Bruiser</v>
      </c>
      <c r="E8" s="2">
        <v>6</v>
      </c>
      <c r="F8" s="2">
        <v>2</v>
      </c>
      <c r="G8" s="2">
        <v>3</v>
      </c>
      <c r="H8" s="2">
        <v>4</v>
      </c>
      <c r="I8" s="2">
        <v>8</v>
      </c>
      <c r="J8" s="2" t="str">
        <f>IF('Pack Pro-Player'!$J$24="Español",V8,(IF('Pack Pro-Player'!$J$24="Deutsch",W8,(IF('Pack Pro-Player'!$J$24="Français",X8,U8)))))</f>
        <v>Esquivar, Humanoide bala, Escurridizo, Cabeza dura</v>
      </c>
      <c r="K8" s="1">
        <v>45000</v>
      </c>
      <c r="L8" s="1">
        <f t="shared" si="1"/>
        <v>45</v>
      </c>
      <c r="M8" s="1">
        <v>12</v>
      </c>
      <c r="N8" s="1">
        <v>0</v>
      </c>
      <c r="O8" s="1" t="s">
        <v>169</v>
      </c>
      <c r="P8" s="1" t="s">
        <v>170</v>
      </c>
      <c r="Q8" s="1" t="s">
        <v>169</v>
      </c>
      <c r="R8" s="1" t="s">
        <v>169</v>
      </c>
      <c r="S8" s="1">
        <v>0</v>
      </c>
      <c r="T8" s="15" t="str">
        <f t="shared" si="2"/>
        <v>M</v>
      </c>
      <c r="U8" s="15" t="s">
        <v>245</v>
      </c>
      <c r="V8" s="15" t="s">
        <v>246</v>
      </c>
      <c r="W8" s="15" t="s">
        <v>247</v>
      </c>
      <c r="X8" s="15" t="s">
        <v>248</v>
      </c>
      <c r="Y8" s="15"/>
    </row>
    <row r="9" spans="1:25" ht="12.75" customHeight="1" x14ac:dyDescent="0.2">
      <c r="A9" s="23" t="s">
        <v>22</v>
      </c>
      <c r="B9" s="2" t="str">
        <f>A9&amp;COUNTIF($A$2:$A9,A9)</f>
        <v>Black Orc3</v>
      </c>
      <c r="C9" s="2" t="s">
        <v>22</v>
      </c>
      <c r="D9" s="2" t="str">
        <f t="shared" si="0"/>
        <v>Black OrcBlack Orc</v>
      </c>
      <c r="E9" s="2">
        <v>4</v>
      </c>
      <c r="F9" s="2">
        <v>4</v>
      </c>
      <c r="G9" s="2">
        <v>4</v>
      </c>
      <c r="H9" s="2">
        <v>5</v>
      </c>
      <c r="I9" s="2">
        <v>10</v>
      </c>
      <c r="J9" s="2" t="str">
        <f>IF('Pack Pro-Player'!$J$24="Español",V9,(IF('Pack Pro-Player'!$J$24="Deutsch",W9,(IF('Pack Pro-Player'!$J$24="Français",X9,U9)))))</f>
        <v>Luchador, Apartar</v>
      </c>
      <c r="K9" s="1">
        <v>90000</v>
      </c>
      <c r="L9" s="1">
        <f t="shared" si="1"/>
        <v>90</v>
      </c>
      <c r="M9" s="1">
        <v>6</v>
      </c>
      <c r="N9" s="1">
        <v>0</v>
      </c>
      <c r="O9" s="1" t="s">
        <v>170</v>
      </c>
      <c r="P9" s="1" t="s">
        <v>169</v>
      </c>
      <c r="Q9" s="1" t="s">
        <v>170</v>
      </c>
      <c r="R9" s="1" t="s">
        <v>169</v>
      </c>
      <c r="S9" s="1">
        <v>0</v>
      </c>
      <c r="T9" s="15" t="str">
        <f t="shared" si="2"/>
        <v>M</v>
      </c>
      <c r="U9" s="15" t="s">
        <v>249</v>
      </c>
      <c r="V9" s="15" t="s">
        <v>250</v>
      </c>
      <c r="W9" s="15" t="s">
        <v>251</v>
      </c>
      <c r="X9" s="15" t="s">
        <v>252</v>
      </c>
      <c r="Y9" s="15"/>
    </row>
    <row r="10" spans="1:25" ht="12.75" customHeight="1" x14ac:dyDescent="0.2">
      <c r="A10" s="23" t="s">
        <v>22</v>
      </c>
      <c r="B10" s="2" t="str">
        <f>A10&amp;COUNTIF($A$2:$A10,A10)</f>
        <v>Black Orc4</v>
      </c>
      <c r="C10" s="2" t="s">
        <v>253</v>
      </c>
      <c r="D10" s="2" t="str">
        <f t="shared" si="0"/>
        <v>Black OrcTrained Troll</v>
      </c>
      <c r="E10" s="2">
        <v>4</v>
      </c>
      <c r="F10" s="2">
        <v>5</v>
      </c>
      <c r="G10" s="2">
        <v>5</v>
      </c>
      <c r="H10" s="2">
        <v>5</v>
      </c>
      <c r="I10" s="2">
        <v>10</v>
      </c>
      <c r="J10" s="2" t="str">
        <f>IF('Pack Pro-Player'!$J$24="Español",V10,(IF('Pack Pro-Player'!$J$24="Deutsch",W10,(IF('Pack Pro-Player'!$J$24="Français",X10,U10)))))</f>
        <v>Siempre hambriento, Solitario (3+), Golpe mortífero (+1), Proyectil de vómito, Realmente estúpido, Regeneración, Lanzar compañero</v>
      </c>
      <c r="K10" s="1">
        <v>115000</v>
      </c>
      <c r="L10" s="1">
        <f t="shared" si="1"/>
        <v>115</v>
      </c>
      <c r="M10" s="1">
        <v>1</v>
      </c>
      <c r="N10" s="1">
        <v>1</v>
      </c>
      <c r="O10" s="1" t="s">
        <v>169</v>
      </c>
      <c r="P10" s="1" t="s">
        <v>169</v>
      </c>
      <c r="Q10" s="1" t="s">
        <v>170</v>
      </c>
      <c r="R10" s="1" t="s">
        <v>169</v>
      </c>
      <c r="S10" s="1">
        <v>0</v>
      </c>
      <c r="T10" s="15" t="str">
        <f t="shared" si="2"/>
        <v>M</v>
      </c>
      <c r="U10" s="15" t="s">
        <v>254</v>
      </c>
      <c r="V10" s="15" t="s">
        <v>255</v>
      </c>
      <c r="W10" s="15" t="s">
        <v>256</v>
      </c>
      <c r="X10" s="15" t="s">
        <v>257</v>
      </c>
      <c r="Y10" s="15"/>
    </row>
    <row r="11" spans="1:25" ht="12.75" customHeight="1" x14ac:dyDescent="0.2">
      <c r="A11" s="23" t="s">
        <v>1475</v>
      </c>
      <c r="B11" s="2" t="str">
        <f>A11&amp;COUNTIF($A$2:$A11,A11)</f>
        <v>Bretonnian1</v>
      </c>
      <c r="C11" s="2" t="str">
        <f>""</f>
        <v/>
      </c>
      <c r="D11" s="2" t="str">
        <f t="shared" si="0"/>
        <v>Bretonnian</v>
      </c>
      <c r="E11" s="2">
        <v>0</v>
      </c>
      <c r="F11" s="2">
        <v>0</v>
      </c>
      <c r="G11" s="2">
        <v>0</v>
      </c>
      <c r="H11" s="2">
        <v>0</v>
      </c>
      <c r="I11" s="2">
        <v>0</v>
      </c>
      <c r="J11" s="2">
        <f>IF('Pack Pro-Player'!$J$24="Español",V11,(IF('Pack Pro-Player'!$J$24="Deutsch",W11,(IF('Pack Pro-Player'!$J$24="Français",X11,U11)))))</f>
        <v>0</v>
      </c>
      <c r="K11" s="1">
        <v>0</v>
      </c>
      <c r="L11" s="1">
        <f t="shared" si="1"/>
        <v>0</v>
      </c>
      <c r="M11" s="1">
        <v>0</v>
      </c>
      <c r="N11" s="1">
        <v>0</v>
      </c>
      <c r="O11" s="1"/>
      <c r="P11" s="1"/>
      <c r="Q11" s="1"/>
      <c r="R11" s="1"/>
      <c r="S11" s="1"/>
      <c r="T11" s="15" t="str">
        <f t="shared" si="2"/>
        <v/>
      </c>
      <c r="U11" s="15">
        <v>0</v>
      </c>
      <c r="V11" s="15">
        <v>0</v>
      </c>
      <c r="W11" s="15">
        <v>0</v>
      </c>
      <c r="X11" s="15">
        <v>0</v>
      </c>
      <c r="Y11" s="15">
        <v>0</v>
      </c>
    </row>
    <row r="12" spans="1:25" ht="12.75" customHeight="1" x14ac:dyDescent="0.2">
      <c r="A12" s="23" t="s">
        <v>1475</v>
      </c>
      <c r="B12" s="2" t="str">
        <f>A12&amp;COUNTIF($A$2:$A12,A12)</f>
        <v>Bretonnian2</v>
      </c>
      <c r="C12" s="2" t="s">
        <v>1432</v>
      </c>
      <c r="D12" s="2" t="str">
        <f t="shared" si="0"/>
        <v>BretonnianLinemen</v>
      </c>
      <c r="E12" s="2">
        <v>6</v>
      </c>
      <c r="F12" s="2">
        <v>3</v>
      </c>
      <c r="G12" s="2">
        <v>4</v>
      </c>
      <c r="H12" s="2">
        <v>4</v>
      </c>
      <c r="I12" s="2">
        <v>8</v>
      </c>
      <c r="J12" s="2" t="str">
        <f>IF('Pack Pro-Player'!$J$24="Español",V12,(IF('Pack Pro-Player'!$J$24="Deutsch",W12,(IF('Pack Pro-Player'!$J$24="Français",X12,U12)))))</f>
        <v>Zafarse</v>
      </c>
      <c r="K12" s="1">
        <v>45000</v>
      </c>
      <c r="L12" s="1">
        <f t="shared" si="1"/>
        <v>45</v>
      </c>
      <c r="M12" s="1">
        <v>16</v>
      </c>
      <c r="N12" s="1">
        <v>0</v>
      </c>
      <c r="O12" s="1" t="s">
        <v>170</v>
      </c>
      <c r="P12" s="1" t="s">
        <v>169</v>
      </c>
      <c r="Q12" s="1" t="s">
        <v>169</v>
      </c>
      <c r="R12" s="1">
        <v>0</v>
      </c>
      <c r="S12" s="1">
        <v>0</v>
      </c>
      <c r="T12" s="15" t="str">
        <f t="shared" si="2"/>
        <v>PM</v>
      </c>
      <c r="U12" s="15" t="s">
        <v>434</v>
      </c>
      <c r="V12" s="15" t="s">
        <v>435</v>
      </c>
      <c r="W12" s="15" t="s">
        <v>436</v>
      </c>
      <c r="X12" s="15" t="s">
        <v>437</v>
      </c>
      <c r="Y12" s="15"/>
    </row>
    <row r="13" spans="1:25" ht="12.75" customHeight="1" x14ac:dyDescent="0.2">
      <c r="A13" s="23" t="s">
        <v>1475</v>
      </c>
      <c r="B13" s="2" t="str">
        <f>A13&amp;COUNTIF($A$2:$A13,A13)</f>
        <v>Bretonnian3</v>
      </c>
      <c r="C13" s="2" t="s">
        <v>1476</v>
      </c>
      <c r="D13" s="2" t="str">
        <f t="shared" si="0"/>
        <v>BretonnianYeomen</v>
      </c>
      <c r="E13" s="2">
        <v>6</v>
      </c>
      <c r="F13" s="2">
        <v>3</v>
      </c>
      <c r="G13" s="2">
        <v>3</v>
      </c>
      <c r="H13" s="2">
        <v>5</v>
      </c>
      <c r="I13" s="2">
        <v>9</v>
      </c>
      <c r="J13" s="2" t="str">
        <f>IF('Pack Pro-Player'!$J$24="Español",V13,(IF('Pack Pro-Player'!$J$24="Deutsch",W13,(IF('Pack Pro-Player'!$J$24="Français",X13,U13)))))</f>
        <v>Forcejear</v>
      </c>
      <c r="K13" s="1">
        <v>70000</v>
      </c>
      <c r="L13" s="1">
        <f t="shared" si="1"/>
        <v>70</v>
      </c>
      <c r="M13" s="1">
        <v>4</v>
      </c>
      <c r="N13" s="1">
        <v>0</v>
      </c>
      <c r="O13" s="1" t="s">
        <v>170</v>
      </c>
      <c r="P13" s="1" t="s">
        <v>169</v>
      </c>
      <c r="Q13" s="1" t="s">
        <v>170</v>
      </c>
      <c r="R13" s="1">
        <v>0</v>
      </c>
      <c r="S13" s="1">
        <v>0</v>
      </c>
      <c r="T13" s="15" t="str">
        <f t="shared" si="2"/>
        <v>PM</v>
      </c>
      <c r="U13" s="15" t="s">
        <v>1478</v>
      </c>
      <c r="V13" s="15" t="s">
        <v>1479</v>
      </c>
      <c r="W13" s="15" t="s">
        <v>1482</v>
      </c>
      <c r="X13" s="15" t="s">
        <v>1483</v>
      </c>
      <c r="Y13" s="15"/>
    </row>
    <row r="14" spans="1:25" ht="12.75" customHeight="1" x14ac:dyDescent="0.2">
      <c r="A14" s="23" t="s">
        <v>1475</v>
      </c>
      <c r="B14" s="2" t="str">
        <f>A14&amp;COUNTIF($A$2:$A14,A14)</f>
        <v>Bretonnian4</v>
      </c>
      <c r="C14" s="2" t="s">
        <v>1477</v>
      </c>
      <c r="D14" s="2" t="str">
        <f t="shared" si="0"/>
        <v>BretonnianKnights</v>
      </c>
      <c r="E14" s="2">
        <v>7</v>
      </c>
      <c r="F14" s="2">
        <v>3</v>
      </c>
      <c r="G14" s="2">
        <v>3</v>
      </c>
      <c r="H14" s="2">
        <v>3</v>
      </c>
      <c r="I14" s="2">
        <v>9</v>
      </c>
      <c r="J14" s="2" t="str">
        <f>IF('Pack Pro-Player'!$J$24="Español",V14,(IF('Pack Pro-Player'!$J$24="Deutsch",W14,(IF('Pack Pro-Player'!$J$24="Français",X14,U14)))))</f>
        <v>Placar, Atrapar, Agallas</v>
      </c>
      <c r="K14" s="1">
        <v>100000</v>
      </c>
      <c r="L14" s="1">
        <f t="shared" si="1"/>
        <v>100</v>
      </c>
      <c r="M14" s="1">
        <v>4</v>
      </c>
      <c r="N14" s="1">
        <v>0</v>
      </c>
      <c r="O14" s="1" t="s">
        <v>170</v>
      </c>
      <c r="P14" s="1" t="s">
        <v>170</v>
      </c>
      <c r="Q14" s="1" t="s">
        <v>169</v>
      </c>
      <c r="R14" s="1" t="s">
        <v>170</v>
      </c>
      <c r="S14" s="1">
        <v>0</v>
      </c>
      <c r="T14" s="15" t="str">
        <f t="shared" si="2"/>
        <v>M</v>
      </c>
      <c r="U14" s="15" t="s">
        <v>1480</v>
      </c>
      <c r="V14" s="15" t="s">
        <v>1481</v>
      </c>
      <c r="W14" s="15" t="s">
        <v>1484</v>
      </c>
      <c r="X14" s="15" t="s">
        <v>1485</v>
      </c>
      <c r="Y14" s="15"/>
    </row>
    <row r="15" spans="1:25" ht="12.75" customHeight="1" x14ac:dyDescent="0.2">
      <c r="A15" s="23" t="s">
        <v>29</v>
      </c>
      <c r="B15" s="2" t="str">
        <f>A15&amp;COUNTIF($A$2:$A15,A15)</f>
        <v>Chaos Chosen1</v>
      </c>
      <c r="C15" s="2" t="str">
        <f>""</f>
        <v/>
      </c>
      <c r="D15" s="2" t="str">
        <f t="shared" si="0"/>
        <v>Chaos Chosen</v>
      </c>
      <c r="E15" s="2">
        <v>0</v>
      </c>
      <c r="F15" s="2">
        <v>0</v>
      </c>
      <c r="G15" s="2">
        <v>0</v>
      </c>
      <c r="H15" s="2">
        <v>0</v>
      </c>
      <c r="I15" s="2">
        <v>0</v>
      </c>
      <c r="J15" s="2">
        <f>IF('Pack Pro-Player'!$J$24="Español",V15,(IF('Pack Pro-Player'!$J$24="Deutsch",W15,(IF('Pack Pro-Player'!$J$24="Français",X15,U15)))))</f>
        <v>0</v>
      </c>
      <c r="K15" s="1">
        <v>0</v>
      </c>
      <c r="L15" s="1">
        <f t="shared" si="1"/>
        <v>0</v>
      </c>
      <c r="M15" s="1">
        <v>0</v>
      </c>
      <c r="N15" s="1">
        <v>0</v>
      </c>
      <c r="O15" s="1"/>
      <c r="P15" s="1"/>
      <c r="Q15" s="1"/>
      <c r="R15" s="1"/>
      <c r="S15" s="1"/>
      <c r="T15" s="15" t="str">
        <f t="shared" si="2"/>
        <v/>
      </c>
      <c r="U15" s="15"/>
      <c r="V15" s="15"/>
      <c r="W15" s="15"/>
      <c r="X15" s="15"/>
      <c r="Y15" s="15"/>
    </row>
    <row r="16" spans="1:25" ht="12.75" customHeight="1" x14ac:dyDescent="0.2">
      <c r="A16" s="23" t="s">
        <v>29</v>
      </c>
      <c r="B16" s="2" t="str">
        <f>A16&amp;COUNTIF($A$2:$A16,A16)</f>
        <v>Chaos Chosen2</v>
      </c>
      <c r="C16" s="2" t="s">
        <v>258</v>
      </c>
      <c r="D16" s="2" t="str">
        <f t="shared" si="0"/>
        <v>Chaos ChosenBeastman</v>
      </c>
      <c r="E16" s="2">
        <v>6</v>
      </c>
      <c r="F16" s="2">
        <v>3</v>
      </c>
      <c r="G16" s="2">
        <v>3</v>
      </c>
      <c r="H16" s="2">
        <v>4</v>
      </c>
      <c r="I16" s="2">
        <v>9</v>
      </c>
      <c r="J16" s="2" t="str">
        <f>IF('Pack Pro-Player'!$J$24="Español",V16,(IF('Pack Pro-Player'!$J$24="Deutsch",W16,(IF('Pack Pro-Player'!$J$24="Français",X16,U16)))))</f>
        <v>Cuernos</v>
      </c>
      <c r="K16" s="1">
        <v>60000</v>
      </c>
      <c r="L16" s="1">
        <f t="shared" si="1"/>
        <v>60</v>
      </c>
      <c r="M16" s="2">
        <v>16</v>
      </c>
      <c r="N16" s="2">
        <v>0</v>
      </c>
      <c r="O16" s="1" t="s">
        <v>170</v>
      </c>
      <c r="P16" s="1" t="s">
        <v>169</v>
      </c>
      <c r="Q16" s="1" t="s">
        <v>170</v>
      </c>
      <c r="R16" s="1" t="s">
        <v>169</v>
      </c>
      <c r="S16" s="1" t="s">
        <v>170</v>
      </c>
      <c r="T16" s="15" t="str">
        <f t="shared" si="2"/>
        <v>FULL</v>
      </c>
      <c r="U16" s="15" t="s">
        <v>259</v>
      </c>
      <c r="V16" s="15" t="s">
        <v>260</v>
      </c>
      <c r="W16" s="15" t="s">
        <v>261</v>
      </c>
      <c r="X16" s="15" t="s">
        <v>262</v>
      </c>
      <c r="Y16" s="15"/>
    </row>
    <row r="17" spans="1:25" ht="12.75" customHeight="1" x14ac:dyDescent="0.2">
      <c r="A17" s="23" t="s">
        <v>29</v>
      </c>
      <c r="B17" s="2" t="str">
        <f>A17&amp;COUNTIF($A$2:$A17,A17)</f>
        <v>Chaos Chosen3</v>
      </c>
      <c r="C17" s="2" t="s">
        <v>263</v>
      </c>
      <c r="D17" s="2" t="str">
        <f t="shared" si="0"/>
        <v>Chaos ChosenChaos Warrior</v>
      </c>
      <c r="E17" s="2">
        <v>5</v>
      </c>
      <c r="F17" s="2">
        <v>4</v>
      </c>
      <c r="G17" s="2">
        <v>3</v>
      </c>
      <c r="H17" s="2">
        <v>5</v>
      </c>
      <c r="I17" s="2">
        <v>10</v>
      </c>
      <c r="J17" s="2" t="str">
        <f>IF('Pack Pro-Player'!$J$24="Español",V17,(IF('Pack Pro-Player'!$J$24="Deutsch",W17,(IF('Pack Pro-Player'!$J$24="Français",X17,U17)))))</f>
        <v/>
      </c>
      <c r="K17" s="1">
        <v>100000</v>
      </c>
      <c r="L17" s="1">
        <f t="shared" si="1"/>
        <v>100</v>
      </c>
      <c r="M17" s="2">
        <v>4</v>
      </c>
      <c r="N17" s="2">
        <v>0</v>
      </c>
      <c r="O17" s="1" t="s">
        <v>170</v>
      </c>
      <c r="P17" s="1" t="s">
        <v>169</v>
      </c>
      <c r="Q17" s="1" t="s">
        <v>170</v>
      </c>
      <c r="R17" s="1">
        <v>0</v>
      </c>
      <c r="S17" s="1" t="s">
        <v>170</v>
      </c>
      <c r="T17" s="15" t="str">
        <f t="shared" si="2"/>
        <v>P</v>
      </c>
      <c r="U17" s="15" t="str">
        <f t="shared" ref="U17:Y17" si="3">""</f>
        <v/>
      </c>
      <c r="V17" s="15" t="str">
        <f t="shared" si="3"/>
        <v/>
      </c>
      <c r="W17" s="15" t="str">
        <f t="shared" si="3"/>
        <v/>
      </c>
      <c r="X17" s="15" t="str">
        <f t="shared" si="3"/>
        <v/>
      </c>
      <c r="Y17" s="15" t="str">
        <f t="shared" si="3"/>
        <v/>
      </c>
    </row>
    <row r="18" spans="1:25" ht="12.75" customHeight="1" x14ac:dyDescent="0.2">
      <c r="A18" s="23" t="s">
        <v>29</v>
      </c>
      <c r="B18" s="2" t="str">
        <f>A18&amp;COUNTIF($A$2:$A18,A18)</f>
        <v>Chaos Chosen4</v>
      </c>
      <c r="C18" s="2" t="s">
        <v>264</v>
      </c>
      <c r="D18" s="2" t="str">
        <f t="shared" si="0"/>
        <v>Chaos ChosenChaos Troll</v>
      </c>
      <c r="E18" s="2">
        <v>4</v>
      </c>
      <c r="F18" s="2">
        <v>5</v>
      </c>
      <c r="G18" s="2">
        <v>5</v>
      </c>
      <c r="H18" s="2">
        <v>5</v>
      </c>
      <c r="I18" s="2">
        <v>10</v>
      </c>
      <c r="J18" s="2" t="str">
        <f>IF('Pack Pro-Player'!$J$24="Español",V18,(IF('Pack Pro-Player'!$J$24="Deutsch",W18,(IF('Pack Pro-Player'!$J$24="Français",X18,U18)))))</f>
        <v>Siempre hambriento, Solitario (4+), Golpe mortífero (+1), Proyectil de vómito, Realmente estúpido, Regeneración, Lanzar compañero</v>
      </c>
      <c r="K18" s="1">
        <v>115000</v>
      </c>
      <c r="L18" s="1">
        <f t="shared" si="1"/>
        <v>115</v>
      </c>
      <c r="M18" s="2">
        <v>1</v>
      </c>
      <c r="N18" s="2">
        <v>1</v>
      </c>
      <c r="O18" s="1" t="s">
        <v>169</v>
      </c>
      <c r="P18" s="1" t="s">
        <v>169</v>
      </c>
      <c r="Q18" s="1" t="s">
        <v>170</v>
      </c>
      <c r="R18" s="1">
        <v>0</v>
      </c>
      <c r="S18" s="1" t="s">
        <v>170</v>
      </c>
      <c r="T18" s="15" t="str">
        <f t="shared" si="2"/>
        <v>P</v>
      </c>
      <c r="U18" s="15" t="s">
        <v>265</v>
      </c>
      <c r="V18" s="15" t="s">
        <v>266</v>
      </c>
      <c r="W18" s="15" t="s">
        <v>267</v>
      </c>
      <c r="X18" s="15" t="s">
        <v>268</v>
      </c>
      <c r="Y18" s="15"/>
    </row>
    <row r="19" spans="1:25" ht="12.75" customHeight="1" x14ac:dyDescent="0.2">
      <c r="A19" s="23" t="s">
        <v>29</v>
      </c>
      <c r="B19" s="2" t="str">
        <f>A19&amp;COUNTIF($A$2:$A19,A19)</f>
        <v>Chaos Chosen5</v>
      </c>
      <c r="C19" s="2" t="s">
        <v>269</v>
      </c>
      <c r="D19" s="2" t="str">
        <f t="shared" si="0"/>
        <v>Chaos ChosenChaos Ogre</v>
      </c>
      <c r="E19" s="2">
        <v>5</v>
      </c>
      <c r="F19" s="2">
        <v>5</v>
      </c>
      <c r="G19" s="2">
        <v>4</v>
      </c>
      <c r="H19" s="2">
        <v>5</v>
      </c>
      <c r="I19" s="2">
        <v>10</v>
      </c>
      <c r="J19" s="2" t="str">
        <f>IF('Pack Pro-Player'!$J$24="Español",V19,(IF('Pack Pro-Player'!$J$24="Deutsch",W19,(IF('Pack Pro-Player'!$J$24="Français",X19,U19)))))</f>
        <v>Estúpido, Solitario (4+), Golpe mortífero (+1), Cabeza dura, Lanzar Compañero</v>
      </c>
      <c r="K19" s="1">
        <v>140000</v>
      </c>
      <c r="L19" s="1">
        <f t="shared" si="1"/>
        <v>140</v>
      </c>
      <c r="M19" s="2">
        <v>1</v>
      </c>
      <c r="N19" s="2">
        <v>1</v>
      </c>
      <c r="O19" s="1" t="s">
        <v>169</v>
      </c>
      <c r="P19" s="1" t="s">
        <v>169</v>
      </c>
      <c r="Q19" s="1" t="s">
        <v>170</v>
      </c>
      <c r="R19" s="1">
        <v>0</v>
      </c>
      <c r="S19" s="1" t="s">
        <v>170</v>
      </c>
      <c r="T19" s="15" t="str">
        <f t="shared" si="2"/>
        <v>P</v>
      </c>
      <c r="U19" s="15" t="s">
        <v>270</v>
      </c>
      <c r="V19" s="15" t="s">
        <v>271</v>
      </c>
      <c r="W19" s="15" t="s">
        <v>272</v>
      </c>
      <c r="X19" s="15" t="s">
        <v>273</v>
      </c>
      <c r="Y19" s="15"/>
    </row>
    <row r="20" spans="1:25" ht="12.75" customHeight="1" x14ac:dyDescent="0.2">
      <c r="A20" s="23" t="s">
        <v>29</v>
      </c>
      <c r="B20" s="2" t="str">
        <f>A20&amp;COUNTIF($A$2:$A20,A20)</f>
        <v>Chaos Chosen6</v>
      </c>
      <c r="C20" s="2" t="s">
        <v>274</v>
      </c>
      <c r="D20" s="2" t="str">
        <f t="shared" si="0"/>
        <v>Chaos ChosenMinotaur</v>
      </c>
      <c r="E20" s="2">
        <v>5</v>
      </c>
      <c r="F20" s="2">
        <v>5</v>
      </c>
      <c r="G20" s="2">
        <v>4</v>
      </c>
      <c r="H20" s="2">
        <v>0</v>
      </c>
      <c r="I20" s="2">
        <v>9</v>
      </c>
      <c r="J20" s="2" t="str">
        <f>IF('Pack Pro-Player'!$J$24="Español",V20,(IF('Pack Pro-Player'!$J$24="Deutsch",W20,(IF('Pack Pro-Player'!$J$24="Français",X20,U20)))))</f>
        <v>Solitario (4+), Furia, Cuernos, Golpe mortífero (+1), Cabeza dura, Ira descontrolada</v>
      </c>
      <c r="K20" s="1">
        <v>150000</v>
      </c>
      <c r="L20" s="1">
        <f t="shared" si="1"/>
        <v>150</v>
      </c>
      <c r="M20" s="1">
        <v>1</v>
      </c>
      <c r="N20" s="1">
        <v>1</v>
      </c>
      <c r="O20" s="1" t="s">
        <v>169</v>
      </c>
      <c r="P20" s="1" t="s">
        <v>169</v>
      </c>
      <c r="Q20" s="1" t="s">
        <v>170</v>
      </c>
      <c r="R20" s="12">
        <v>0</v>
      </c>
      <c r="S20" s="1" t="s">
        <v>170</v>
      </c>
      <c r="T20" s="15" t="str">
        <f t="shared" si="2"/>
        <v>P</v>
      </c>
      <c r="U20" s="15" t="s">
        <v>275</v>
      </c>
      <c r="V20" s="15" t="s">
        <v>276</v>
      </c>
      <c r="W20" s="15" t="s">
        <v>277</v>
      </c>
      <c r="X20" s="15" t="s">
        <v>278</v>
      </c>
      <c r="Y20" s="15"/>
    </row>
    <row r="21" spans="1:25" s="23" customFormat="1" ht="12.75" customHeight="1" x14ac:dyDescent="0.2">
      <c r="A21" s="23" t="s">
        <v>35</v>
      </c>
      <c r="B21" s="2" t="str">
        <f>A21&amp;COUNTIF($A$2:$A21,A21)</f>
        <v>Chaos Dwarf1</v>
      </c>
      <c r="D21" s="2" t="str">
        <f t="shared" si="0"/>
        <v>Chaos Dwarf</v>
      </c>
      <c r="E21" s="23">
        <v>0</v>
      </c>
      <c r="F21" s="23">
        <v>0</v>
      </c>
      <c r="G21" s="23">
        <v>0</v>
      </c>
      <c r="H21" s="23">
        <v>0</v>
      </c>
      <c r="I21" s="23">
        <v>0</v>
      </c>
      <c r="J21" s="2">
        <f>IF('Pack Pro-Player'!$J$24="Español",V21,(IF('Pack Pro-Player'!$J$24="Deutsch",W21,(IF('Pack Pro-Player'!$J$24="Français",X21,U21)))))</f>
        <v>0</v>
      </c>
      <c r="K21" s="23">
        <v>0</v>
      </c>
      <c r="L21" s="23">
        <f t="shared" si="1"/>
        <v>0</v>
      </c>
      <c r="M21" s="23">
        <v>0</v>
      </c>
      <c r="N21" s="23">
        <v>0</v>
      </c>
      <c r="T21" s="15" t="str">
        <f t="shared" si="2"/>
        <v/>
      </c>
      <c r="U21" s="23">
        <v>0</v>
      </c>
      <c r="V21" s="23">
        <v>0</v>
      </c>
      <c r="W21" s="23">
        <v>0</v>
      </c>
      <c r="X21" s="23">
        <v>0</v>
      </c>
      <c r="Y21" s="23">
        <v>0</v>
      </c>
    </row>
    <row r="22" spans="1:25" s="23" customFormat="1" ht="12.75" customHeight="1" x14ac:dyDescent="0.2">
      <c r="A22" s="23" t="s">
        <v>35</v>
      </c>
      <c r="B22" s="2" t="str">
        <f>A22&amp;COUNTIF($A$2:$A22,A22)</f>
        <v>Chaos Dwarf2</v>
      </c>
      <c r="C22" s="2" t="s">
        <v>1494</v>
      </c>
      <c r="D22" s="2" t="str">
        <f t="shared" si="0"/>
        <v>Chaos DwarfHobgoblin Lineman</v>
      </c>
      <c r="E22" s="23">
        <v>6</v>
      </c>
      <c r="F22" s="23">
        <v>3</v>
      </c>
      <c r="G22" s="23">
        <v>3</v>
      </c>
      <c r="H22" s="23">
        <v>4</v>
      </c>
      <c r="I22" s="23">
        <v>8</v>
      </c>
      <c r="J22" s="2">
        <f>IF('Pack Pro-Player'!$J$24="Español",V22,(IF('Pack Pro-Player'!$J$24="Deutsch",W22,(IF('Pack Pro-Player'!$J$24="Français",X22,U22)))))</f>
        <v>0</v>
      </c>
      <c r="K22" s="23">
        <v>40000</v>
      </c>
      <c r="L22" s="23">
        <f t="shared" si="1"/>
        <v>40</v>
      </c>
      <c r="M22" s="23">
        <v>16</v>
      </c>
      <c r="N22" s="23">
        <v>0</v>
      </c>
      <c r="O22" s="2" t="s">
        <v>170</v>
      </c>
      <c r="P22" s="2" t="s">
        <v>169</v>
      </c>
      <c r="Q22" s="2" t="s">
        <v>169</v>
      </c>
      <c r="R22" s="23">
        <v>0</v>
      </c>
      <c r="S22" s="23">
        <v>0</v>
      </c>
      <c r="T22" s="15" t="str">
        <f t="shared" si="2"/>
        <v>PM</v>
      </c>
      <c r="U22" s="2" t="s">
        <v>216</v>
      </c>
      <c r="V22" s="15"/>
      <c r="W22" s="15"/>
      <c r="X22" s="15"/>
    </row>
    <row r="23" spans="1:25" s="23" customFormat="1" ht="12.75" customHeight="1" x14ac:dyDescent="0.2">
      <c r="A23" s="23" t="s">
        <v>35</v>
      </c>
      <c r="B23" s="2" t="str">
        <f>A23&amp;COUNTIF($A$2:$A23,A23)</f>
        <v>Chaos Dwarf3</v>
      </c>
      <c r="C23" s="2" t="s">
        <v>1495</v>
      </c>
      <c r="D23" s="2" t="str">
        <f t="shared" si="0"/>
        <v>Chaos DwarfHobgoblin Sneaky Stabba</v>
      </c>
      <c r="E23" s="23">
        <v>6</v>
      </c>
      <c r="F23" s="23">
        <v>3</v>
      </c>
      <c r="G23" s="23">
        <v>3</v>
      </c>
      <c r="H23" s="23">
        <v>5</v>
      </c>
      <c r="I23" s="23">
        <v>8</v>
      </c>
      <c r="J23" s="2" t="str">
        <f>IF('Pack Pro-Player'!$J$24="Español",V23,(IF('Pack Pro-Player'!$J$24="Deutsch",W23,(IF('Pack Pro-Player'!$J$24="Français",X23,U23)))))</f>
        <v>Perseguir, Puñal</v>
      </c>
      <c r="K23" s="23">
        <v>70000</v>
      </c>
      <c r="L23" s="23">
        <f t="shared" si="1"/>
        <v>70</v>
      </c>
      <c r="M23" s="23">
        <v>2</v>
      </c>
      <c r="N23" s="23">
        <v>0</v>
      </c>
      <c r="O23" s="2" t="s">
        <v>170</v>
      </c>
      <c r="P23" s="2" t="s">
        <v>169</v>
      </c>
      <c r="Q23" s="2" t="s">
        <v>169</v>
      </c>
      <c r="R23" s="23">
        <v>0</v>
      </c>
      <c r="S23" s="23">
        <v>0</v>
      </c>
      <c r="T23" s="15" t="str">
        <f t="shared" si="2"/>
        <v>PM</v>
      </c>
      <c r="U23" s="2" t="s">
        <v>326</v>
      </c>
      <c r="V23" s="15" t="s">
        <v>327</v>
      </c>
      <c r="W23" s="15" t="s">
        <v>328</v>
      </c>
      <c r="X23" s="15" t="s">
        <v>329</v>
      </c>
    </row>
    <row r="24" spans="1:25" s="23" customFormat="1" ht="12.75" customHeight="1" x14ac:dyDescent="0.2">
      <c r="A24" s="23" t="s">
        <v>35</v>
      </c>
      <c r="B24" s="2" t="str">
        <f>A24&amp;COUNTIF($A$2:$A24,A24)</f>
        <v>Chaos Dwarf4</v>
      </c>
      <c r="C24" s="2" t="s">
        <v>1496</v>
      </c>
      <c r="D24" s="2" t="str">
        <f t="shared" si="0"/>
        <v>Chaos DwarfChaos Dwarf Blocker</v>
      </c>
      <c r="E24" s="23">
        <v>4</v>
      </c>
      <c r="F24" s="23">
        <v>3</v>
      </c>
      <c r="G24" s="23">
        <v>4</v>
      </c>
      <c r="H24" s="23">
        <v>6</v>
      </c>
      <c r="I24" s="23">
        <v>10</v>
      </c>
      <c r="J24" s="2" t="str">
        <f>IF('Pack Pro-Player'!$J$24="Español",V24,(IF('Pack Pro-Player'!$J$24="Deutsch",W24,(IF('Pack Pro-Player'!$J$24="Français",X24,U24)))))</f>
        <v>Placar, Piel ferrea, Cabeza dura</v>
      </c>
      <c r="K24" s="23">
        <v>70000</v>
      </c>
      <c r="L24" s="23">
        <f t="shared" si="1"/>
        <v>70</v>
      </c>
      <c r="M24" s="23">
        <v>4</v>
      </c>
      <c r="N24" s="23">
        <v>0</v>
      </c>
      <c r="O24" s="2" t="s">
        <v>170</v>
      </c>
      <c r="P24" s="2" t="s">
        <v>169</v>
      </c>
      <c r="Q24" s="2" t="s">
        <v>170</v>
      </c>
      <c r="R24" s="23">
        <v>0</v>
      </c>
      <c r="S24" s="2" t="s">
        <v>169</v>
      </c>
      <c r="T24" s="15" t="str">
        <f t="shared" si="2"/>
        <v>P</v>
      </c>
      <c r="U24" s="2" t="s">
        <v>1499</v>
      </c>
      <c r="V24" s="2" t="s">
        <v>1502</v>
      </c>
      <c r="W24" s="15" t="s">
        <v>1503</v>
      </c>
      <c r="X24" s="15" t="s">
        <v>1504</v>
      </c>
    </row>
    <row r="25" spans="1:25" s="23" customFormat="1" ht="12.75" customHeight="1" x14ac:dyDescent="0.2">
      <c r="A25" s="23" t="s">
        <v>35</v>
      </c>
      <c r="B25" s="2" t="str">
        <f>A25&amp;COUNTIF($A$2:$A25,A25)</f>
        <v>Chaos Dwarf5</v>
      </c>
      <c r="C25" s="2" t="s">
        <v>1497</v>
      </c>
      <c r="D25" s="2" t="str">
        <f t="shared" si="0"/>
        <v>Chaos DwarfChaos Dwarf Flamesmith</v>
      </c>
      <c r="E25" s="23">
        <v>5</v>
      </c>
      <c r="F25" s="23">
        <v>3</v>
      </c>
      <c r="G25" s="23">
        <v>4</v>
      </c>
      <c r="H25" s="23">
        <v>6</v>
      </c>
      <c r="I25" s="23">
        <v>10</v>
      </c>
      <c r="J25" s="2" t="str">
        <f>IF('Pack Pro-Player'!$J$24="Español",V25,(IF('Pack Pro-Player'!$J$24="Deutsch",W25,(IF('Pack Pro-Player'!$J$24="Français",X25,U25)))))</f>
        <v>Luchador, Aliento de fuego, Presencia perturbadora Cabeza dura</v>
      </c>
      <c r="K25" s="23">
        <v>80000</v>
      </c>
      <c r="L25" s="23">
        <f t="shared" si="1"/>
        <v>80</v>
      </c>
      <c r="M25" s="23">
        <v>2</v>
      </c>
      <c r="N25" s="23">
        <v>0</v>
      </c>
      <c r="O25" s="2" t="s">
        <v>170</v>
      </c>
      <c r="P25" s="2" t="s">
        <v>169</v>
      </c>
      <c r="Q25" s="2" t="s">
        <v>170</v>
      </c>
      <c r="R25" s="23">
        <v>0</v>
      </c>
      <c r="S25" s="2" t="s">
        <v>169</v>
      </c>
      <c r="T25" s="15" t="str">
        <f t="shared" si="2"/>
        <v>P</v>
      </c>
      <c r="U25" s="2" t="s">
        <v>1500</v>
      </c>
      <c r="V25" s="15" t="s">
        <v>1505</v>
      </c>
      <c r="W25" s="15" t="s">
        <v>1506</v>
      </c>
      <c r="X25" s="15" t="s">
        <v>1507</v>
      </c>
    </row>
    <row r="26" spans="1:25" s="23" customFormat="1" ht="12.75" customHeight="1" x14ac:dyDescent="0.2">
      <c r="A26" s="23" t="s">
        <v>35</v>
      </c>
      <c r="B26" s="2" t="str">
        <f>A26&amp;COUNTIF($A$2:$A26,A26)</f>
        <v>Chaos Dwarf6</v>
      </c>
      <c r="C26" s="2" t="s">
        <v>1498</v>
      </c>
      <c r="D26" s="2" t="str">
        <f t="shared" si="0"/>
        <v>Chaos DwarfBull Centaur Blitzer</v>
      </c>
      <c r="E26" s="23">
        <v>6</v>
      </c>
      <c r="F26" s="23">
        <v>4</v>
      </c>
      <c r="G26" s="23">
        <v>4</v>
      </c>
      <c r="H26" s="23">
        <v>6</v>
      </c>
      <c r="I26" s="23">
        <v>10</v>
      </c>
      <c r="J26" s="2" t="str">
        <f>IF('Pack Pro-Player'!$J$24="Español",V26,(IF('Pack Pro-Player'!$J$24="Deutsch",W26,(IF('Pack Pro-Player'!$J$24="Français",X26,U26)))))</f>
        <v>Esprintar, Pies firmes, Cabeza dura</v>
      </c>
      <c r="K26" s="23">
        <v>130000</v>
      </c>
      <c r="L26" s="23">
        <f t="shared" si="1"/>
        <v>130</v>
      </c>
      <c r="M26" s="23">
        <v>2</v>
      </c>
      <c r="N26" s="23">
        <v>0</v>
      </c>
      <c r="O26" s="2" t="s">
        <v>170</v>
      </c>
      <c r="P26" s="2" t="s">
        <v>169</v>
      </c>
      <c r="Q26" s="2" t="s">
        <v>170</v>
      </c>
      <c r="R26" s="23">
        <v>0</v>
      </c>
      <c r="S26" s="2" t="s">
        <v>169</v>
      </c>
      <c r="T26" s="15" t="str">
        <f t="shared" si="2"/>
        <v>P</v>
      </c>
      <c r="U26" s="2" t="s">
        <v>284</v>
      </c>
      <c r="V26" s="15" t="s">
        <v>285</v>
      </c>
      <c r="W26" s="15" t="s">
        <v>286</v>
      </c>
      <c r="X26" s="15" t="s">
        <v>287</v>
      </c>
    </row>
    <row r="27" spans="1:25" s="23" customFormat="1" ht="12.75" customHeight="1" x14ac:dyDescent="0.2">
      <c r="A27" s="23" t="s">
        <v>35</v>
      </c>
      <c r="B27" s="2" t="str">
        <f>A27&amp;COUNTIF($A$2:$A27,A27)</f>
        <v>Chaos Dwarf7</v>
      </c>
      <c r="C27" s="2" t="s">
        <v>274</v>
      </c>
      <c r="D27" s="2" t="str">
        <f t="shared" si="0"/>
        <v>Chaos DwarfMinotaur</v>
      </c>
      <c r="E27" s="23">
        <v>5</v>
      </c>
      <c r="F27" s="23">
        <v>5</v>
      </c>
      <c r="G27" s="23">
        <v>4</v>
      </c>
      <c r="H27" s="23">
        <v>0</v>
      </c>
      <c r="I27" s="23">
        <v>9</v>
      </c>
      <c r="J27" s="2" t="str">
        <f>IF('Pack Pro-Player'!$J$24="Español",V27,(IF('Pack Pro-Player'!$J$24="Deutsch",W27,(IF('Pack Pro-Player'!$J$24="Français",X27,U27)))))</f>
        <v>Solitario (4+), Furia, Cuernos, Golpe mortífero (+1), Cabeza dura, Ira descontrolada</v>
      </c>
      <c r="K27" s="23">
        <v>150000</v>
      </c>
      <c r="L27" s="23">
        <f t="shared" si="1"/>
        <v>150</v>
      </c>
      <c r="M27" s="23">
        <v>1</v>
      </c>
      <c r="N27" s="23">
        <v>1</v>
      </c>
      <c r="O27" s="2" t="s">
        <v>169</v>
      </c>
      <c r="P27" s="2" t="s">
        <v>169</v>
      </c>
      <c r="Q27" s="2" t="s">
        <v>170</v>
      </c>
      <c r="R27" s="23">
        <v>0</v>
      </c>
      <c r="S27" s="2" t="s">
        <v>169</v>
      </c>
      <c r="T27" s="15" t="str">
        <f t="shared" si="2"/>
        <v>P</v>
      </c>
      <c r="U27" s="2" t="s">
        <v>1501</v>
      </c>
      <c r="V27" s="15" t="s">
        <v>276</v>
      </c>
      <c r="W27" s="15" t="s">
        <v>288</v>
      </c>
      <c r="X27" s="15" t="s">
        <v>278</v>
      </c>
    </row>
    <row r="28" spans="1:25" ht="12.75" customHeight="1" x14ac:dyDescent="0.2">
      <c r="A28" s="23" t="s">
        <v>41</v>
      </c>
      <c r="B28" s="2" t="str">
        <f>A28&amp;COUNTIF($A$2:$A28,A28)</f>
        <v>Chaos Renegades1</v>
      </c>
      <c r="C28" s="2" t="str">
        <f>""</f>
        <v/>
      </c>
      <c r="D28" s="2" t="str">
        <f t="shared" si="0"/>
        <v>Chaos Renegades</v>
      </c>
      <c r="E28" s="2">
        <v>0</v>
      </c>
      <c r="F28" s="2">
        <v>0</v>
      </c>
      <c r="G28" s="2">
        <v>0</v>
      </c>
      <c r="H28" s="2">
        <v>0</v>
      </c>
      <c r="I28" s="2">
        <v>0</v>
      </c>
      <c r="J28" s="2">
        <f>IF('Pack Pro-Player'!$J$24="Español",V28,(IF('Pack Pro-Player'!$J$24="Deutsch",W28,(IF('Pack Pro-Player'!$J$24="Français",X28,U28)))))</f>
        <v>0</v>
      </c>
      <c r="K28" s="1">
        <v>0</v>
      </c>
      <c r="L28" s="1">
        <f t="shared" si="1"/>
        <v>0</v>
      </c>
      <c r="M28" s="1">
        <v>0</v>
      </c>
      <c r="N28" s="1">
        <v>0</v>
      </c>
      <c r="O28" s="1"/>
      <c r="P28" s="1"/>
      <c r="Q28" s="1"/>
      <c r="R28" s="1"/>
      <c r="S28" s="1"/>
      <c r="T28" s="15" t="str">
        <f t="shared" si="2"/>
        <v/>
      </c>
      <c r="U28" s="15">
        <v>0</v>
      </c>
      <c r="V28" s="15">
        <v>0</v>
      </c>
      <c r="W28" s="15">
        <v>0</v>
      </c>
      <c r="X28" s="15">
        <v>0</v>
      </c>
      <c r="Y28" s="15">
        <v>0</v>
      </c>
    </row>
    <row r="29" spans="1:25" ht="12.75" customHeight="1" x14ac:dyDescent="0.2">
      <c r="A29" s="23" t="s">
        <v>41</v>
      </c>
      <c r="B29" s="2" t="str">
        <f>A29&amp;COUNTIF($A$2:$A29,A29)</f>
        <v>Chaos Renegades2</v>
      </c>
      <c r="C29" s="2" t="s">
        <v>289</v>
      </c>
      <c r="D29" s="2" t="str">
        <f t="shared" si="0"/>
        <v>Chaos RenegadesLinemen Renegade</v>
      </c>
      <c r="E29" s="2">
        <v>6</v>
      </c>
      <c r="F29" s="2">
        <v>3</v>
      </c>
      <c r="G29" s="2">
        <v>3</v>
      </c>
      <c r="H29" s="2">
        <v>4</v>
      </c>
      <c r="I29" s="2">
        <v>9</v>
      </c>
      <c r="J29" s="2" t="str">
        <f>IF('Pack Pro-Player'!$J$24="Español",V29,(IF('Pack Pro-Player'!$J$24="Deutsch",W29,(IF('Pack Pro-Player'!$J$24="Français",X29,U29)))))</f>
        <v/>
      </c>
      <c r="K29" s="1">
        <v>50000</v>
      </c>
      <c r="L29" s="1">
        <f t="shared" si="1"/>
        <v>50</v>
      </c>
      <c r="M29" s="2">
        <v>12</v>
      </c>
      <c r="N29" s="2">
        <v>0</v>
      </c>
      <c r="O29" s="1" t="s">
        <v>170</v>
      </c>
      <c r="P29" s="1" t="s">
        <v>169</v>
      </c>
      <c r="Q29" s="1" t="s">
        <v>169</v>
      </c>
      <c r="R29" s="1">
        <v>0</v>
      </c>
      <c r="S29" s="1" t="s">
        <v>170</v>
      </c>
      <c r="T29" s="15" t="str">
        <f t="shared" si="2"/>
        <v>P</v>
      </c>
      <c r="U29" s="15" t="str">
        <f t="shared" ref="U29:Y29" si="4">""</f>
        <v/>
      </c>
      <c r="V29" s="15" t="str">
        <f t="shared" si="4"/>
        <v/>
      </c>
      <c r="W29" s="15" t="str">
        <f t="shared" si="4"/>
        <v/>
      </c>
      <c r="X29" s="15" t="str">
        <f t="shared" si="4"/>
        <v/>
      </c>
      <c r="Y29" s="15" t="str">
        <f t="shared" si="4"/>
        <v/>
      </c>
    </row>
    <row r="30" spans="1:25" ht="12.75" customHeight="1" x14ac:dyDescent="0.2">
      <c r="A30" s="23" t="s">
        <v>41</v>
      </c>
      <c r="B30" s="2" t="str">
        <f>A30&amp;COUNTIF($A$2:$A30,A30)</f>
        <v>Chaos Renegades3</v>
      </c>
      <c r="C30" s="2" t="s">
        <v>290</v>
      </c>
      <c r="D30" s="2" t="str">
        <f t="shared" si="0"/>
        <v>Chaos RenegadesThrower Renegade</v>
      </c>
      <c r="E30" s="2">
        <v>6</v>
      </c>
      <c r="F30" s="2">
        <v>3</v>
      </c>
      <c r="G30" s="2">
        <v>3</v>
      </c>
      <c r="H30" s="2">
        <v>3</v>
      </c>
      <c r="I30" s="2">
        <v>9</v>
      </c>
      <c r="J30" s="2" t="str">
        <f>IF('Pack Pro-Player'!$J$24="Español",V30,(IF('Pack Pro-Player'!$J$24="Deutsch",W30,(IF('Pack Pro-Player'!$J$24="Français",X30,U30)))))</f>
        <v>Animosidad (todo el equipo), Pasar, Proteger el cuero</v>
      </c>
      <c r="K30" s="1">
        <v>75000</v>
      </c>
      <c r="L30" s="1">
        <f t="shared" si="1"/>
        <v>75</v>
      </c>
      <c r="M30" s="2">
        <v>1</v>
      </c>
      <c r="N30" s="2">
        <v>0</v>
      </c>
      <c r="O30" s="1" t="s">
        <v>170</v>
      </c>
      <c r="P30" s="1" t="s">
        <v>169</v>
      </c>
      <c r="Q30" s="1" t="s">
        <v>169</v>
      </c>
      <c r="R30" s="1" t="s">
        <v>170</v>
      </c>
      <c r="S30" s="1" t="s">
        <v>170</v>
      </c>
      <c r="T30" s="15" t="str">
        <f t="shared" si="2"/>
        <v>FULL</v>
      </c>
      <c r="U30" s="15" t="s">
        <v>291</v>
      </c>
      <c r="V30" s="15" t="s">
        <v>292</v>
      </c>
      <c r="W30" s="15" t="s">
        <v>293</v>
      </c>
      <c r="X30" s="15" t="s">
        <v>294</v>
      </c>
      <c r="Y30" s="15"/>
    </row>
    <row r="31" spans="1:25" ht="12.75" customHeight="1" x14ac:dyDescent="0.2">
      <c r="A31" s="23" t="s">
        <v>41</v>
      </c>
      <c r="B31" s="2" t="str">
        <f>A31&amp;COUNTIF($A$2:$A31,A31)</f>
        <v>Chaos Renegades4</v>
      </c>
      <c r="C31" s="2" t="s">
        <v>295</v>
      </c>
      <c r="D31" s="2" t="str">
        <f t="shared" si="0"/>
        <v>Chaos RenegadesGoblin Renegade</v>
      </c>
      <c r="E31" s="2">
        <v>6</v>
      </c>
      <c r="F31" s="2">
        <v>2</v>
      </c>
      <c r="G31" s="2">
        <v>3</v>
      </c>
      <c r="H31" s="2">
        <v>4</v>
      </c>
      <c r="I31" s="2">
        <v>8</v>
      </c>
      <c r="J31" s="2" t="str">
        <f>IF('Pack Pro-Player'!$J$24="Español",V31,(IF('Pack Pro-Player'!$J$24="Deutsch",W31,(IF('Pack Pro-Player'!$J$24="Français",X31,U31)))))</f>
        <v>Animosidad (todo el equipo), Esquivar, Humanoide bala, Escurridizo</v>
      </c>
      <c r="K31" s="1">
        <v>40000</v>
      </c>
      <c r="L31" s="1">
        <f t="shared" si="1"/>
        <v>40</v>
      </c>
      <c r="M31" s="1">
        <v>1</v>
      </c>
      <c r="N31" s="1">
        <v>0</v>
      </c>
      <c r="O31" s="1" t="s">
        <v>169</v>
      </c>
      <c r="P31" s="1" t="s">
        <v>170</v>
      </c>
      <c r="Q31" s="1" t="s">
        <v>169</v>
      </c>
      <c r="R31" s="1" t="s">
        <v>169</v>
      </c>
      <c r="S31" s="1" t="s">
        <v>170</v>
      </c>
      <c r="T31" s="15" t="str">
        <f t="shared" si="2"/>
        <v>FULL</v>
      </c>
      <c r="U31" s="15" t="s">
        <v>296</v>
      </c>
      <c r="V31" s="15" t="s">
        <v>297</v>
      </c>
      <c r="W31" s="15" t="s">
        <v>298</v>
      </c>
      <c r="X31" s="15" t="s">
        <v>299</v>
      </c>
      <c r="Y31" s="15"/>
    </row>
    <row r="32" spans="1:25" ht="12.75" customHeight="1" x14ac:dyDescent="0.2">
      <c r="A32" s="23" t="s">
        <v>41</v>
      </c>
      <c r="B32" s="2" t="str">
        <f>A32&amp;COUNTIF($A$2:$A32,A32)</f>
        <v>Chaos Renegades5</v>
      </c>
      <c r="C32" s="2" t="s">
        <v>300</v>
      </c>
      <c r="D32" s="2" t="str">
        <f t="shared" si="0"/>
        <v>Chaos RenegadesSkaven Renegade</v>
      </c>
      <c r="E32" s="2">
        <v>7</v>
      </c>
      <c r="F32" s="2">
        <v>3</v>
      </c>
      <c r="G32" s="2">
        <v>3</v>
      </c>
      <c r="H32" s="2">
        <v>4</v>
      </c>
      <c r="I32" s="2">
        <v>8</v>
      </c>
      <c r="J32" s="2" t="str">
        <f>IF('Pack Pro-Player'!$J$24="Español",V32,(IF('Pack Pro-Player'!$J$24="Deutsch",W32,(IF('Pack Pro-Player'!$J$24="Français",X32,U32)))))</f>
        <v>Animosidad (todo el equipo)</v>
      </c>
      <c r="K32" s="1">
        <v>50000</v>
      </c>
      <c r="L32" s="1">
        <f t="shared" si="1"/>
        <v>50</v>
      </c>
      <c r="M32" s="1">
        <v>1</v>
      </c>
      <c r="N32" s="1">
        <v>0</v>
      </c>
      <c r="O32" s="1" t="s">
        <v>170</v>
      </c>
      <c r="P32" s="1" t="s">
        <v>169</v>
      </c>
      <c r="Q32" s="1" t="s">
        <v>169</v>
      </c>
      <c r="R32" s="1">
        <v>0</v>
      </c>
      <c r="S32" s="1" t="s">
        <v>170</v>
      </c>
      <c r="T32" s="15" t="str">
        <f t="shared" si="2"/>
        <v>P</v>
      </c>
      <c r="U32" s="15" t="s">
        <v>301</v>
      </c>
      <c r="V32" s="15" t="s">
        <v>302</v>
      </c>
      <c r="W32" s="15" t="s">
        <v>303</v>
      </c>
      <c r="X32" s="15" t="s">
        <v>304</v>
      </c>
      <c r="Y32" s="15"/>
    </row>
    <row r="33" spans="1:25" ht="12.75" customHeight="1" x14ac:dyDescent="0.2">
      <c r="A33" s="23" t="s">
        <v>41</v>
      </c>
      <c r="B33" s="2" t="str">
        <f>A33&amp;COUNTIF($A$2:$A33,A33)</f>
        <v>Chaos Renegades6</v>
      </c>
      <c r="C33" s="2" t="s">
        <v>305</v>
      </c>
      <c r="D33" s="2" t="str">
        <f t="shared" si="0"/>
        <v>Chaos RenegadesOrc Renegade</v>
      </c>
      <c r="E33" s="2">
        <v>5</v>
      </c>
      <c r="F33" s="2">
        <v>3</v>
      </c>
      <c r="G33" s="2">
        <v>3</v>
      </c>
      <c r="H33" s="2">
        <v>5</v>
      </c>
      <c r="I33" s="2">
        <v>10</v>
      </c>
      <c r="J33" s="2" t="str">
        <f>IF('Pack Pro-Player'!$J$24="Español",V33,(IF('Pack Pro-Player'!$J$24="Deutsch",W33,(IF('Pack Pro-Player'!$J$24="Français",X33,U33)))))</f>
        <v>Animosidad (todo el equipo)</v>
      </c>
      <c r="K33" s="1">
        <v>50000</v>
      </c>
      <c r="L33" s="1">
        <f t="shared" si="1"/>
        <v>50</v>
      </c>
      <c r="M33" s="1">
        <v>1</v>
      </c>
      <c r="N33" s="1">
        <v>0</v>
      </c>
      <c r="O33" s="1" t="s">
        <v>170</v>
      </c>
      <c r="P33" s="1" t="s">
        <v>169</v>
      </c>
      <c r="Q33" s="1" t="s">
        <v>169</v>
      </c>
      <c r="R33" s="1">
        <v>0</v>
      </c>
      <c r="S33" s="1" t="s">
        <v>170</v>
      </c>
      <c r="T33" s="15" t="str">
        <f t="shared" si="2"/>
        <v>P</v>
      </c>
      <c r="U33" s="15" t="s">
        <v>301</v>
      </c>
      <c r="V33" s="15" t="s">
        <v>302</v>
      </c>
      <c r="W33" s="15" t="s">
        <v>303</v>
      </c>
      <c r="X33" s="15" t="s">
        <v>304</v>
      </c>
      <c r="Y33" s="15"/>
    </row>
    <row r="34" spans="1:25" ht="12.75" customHeight="1" x14ac:dyDescent="0.2">
      <c r="A34" s="23" t="s">
        <v>41</v>
      </c>
      <c r="B34" s="2" t="str">
        <f>A34&amp;COUNTIF($A$2:$A34,A34)</f>
        <v>Chaos Renegades7</v>
      </c>
      <c r="C34" s="2" t="s">
        <v>306</v>
      </c>
      <c r="D34" s="2" t="str">
        <f t="shared" si="0"/>
        <v>Chaos RenegadesDark Elf Renegade</v>
      </c>
      <c r="E34" s="2">
        <v>6</v>
      </c>
      <c r="F34" s="2">
        <v>3</v>
      </c>
      <c r="G34" s="2">
        <v>2</v>
      </c>
      <c r="H34" s="2">
        <v>3</v>
      </c>
      <c r="I34" s="2">
        <v>9</v>
      </c>
      <c r="J34" s="2" t="str">
        <f>IF('Pack Pro-Player'!$J$24="Español",V34,(IF('Pack Pro-Player'!$J$24="Deutsch",W34,(IF('Pack Pro-Player'!$J$24="Français",X34,U34)))))</f>
        <v>Animosidad (todo el equipo)</v>
      </c>
      <c r="K34" s="1">
        <v>75000</v>
      </c>
      <c r="L34" s="1">
        <f t="shared" si="1"/>
        <v>75</v>
      </c>
      <c r="M34" s="1">
        <v>1</v>
      </c>
      <c r="N34" s="1">
        <v>0</v>
      </c>
      <c r="O34" s="1" t="s">
        <v>170</v>
      </c>
      <c r="P34" s="1" t="s">
        <v>170</v>
      </c>
      <c r="Q34" s="1" t="s">
        <v>169</v>
      </c>
      <c r="R34" s="1" t="s">
        <v>169</v>
      </c>
      <c r="S34" s="1" t="s">
        <v>170</v>
      </c>
      <c r="T34" s="15" t="str">
        <f t="shared" si="2"/>
        <v>FULL</v>
      </c>
      <c r="U34" s="15" t="s">
        <v>301</v>
      </c>
      <c r="V34" s="15" t="s">
        <v>302</v>
      </c>
      <c r="W34" s="15" t="s">
        <v>303</v>
      </c>
      <c r="X34" s="15" t="s">
        <v>304</v>
      </c>
      <c r="Y34" s="15"/>
    </row>
    <row r="35" spans="1:25" ht="12.75" customHeight="1" x14ac:dyDescent="0.2">
      <c r="A35" s="23" t="s">
        <v>41</v>
      </c>
      <c r="B35" s="2" t="str">
        <f>A35&amp;COUNTIF($A$2:$A35,A35)</f>
        <v>Chaos Renegades8</v>
      </c>
      <c r="C35" s="2" t="s">
        <v>307</v>
      </c>
      <c r="D35" s="2" t="str">
        <f t="shared" si="0"/>
        <v>Chaos RenegadesTroll Renegade</v>
      </c>
      <c r="E35" s="2">
        <v>4</v>
      </c>
      <c r="F35" s="2">
        <v>5</v>
      </c>
      <c r="G35" s="2">
        <v>5</v>
      </c>
      <c r="H35" s="2">
        <v>5</v>
      </c>
      <c r="I35" s="2">
        <v>10</v>
      </c>
      <c r="J35" s="2" t="str">
        <f>IF('Pack Pro-Player'!$J$24="Español",V35,(IF('Pack Pro-Player'!$J$24="Deutsch",W35,(IF('Pack Pro-Player'!$J$24="Français",X35,U35)))))</f>
        <v>Siempre hambriento, Solitario (4+), Golpe mortífero (+1), Proyectil de vómito, Realmente estúpido, Regeneración, Lanzar compañero</v>
      </c>
      <c r="K35" s="1">
        <v>115000</v>
      </c>
      <c r="L35" s="1">
        <f t="shared" si="1"/>
        <v>115</v>
      </c>
      <c r="M35" s="1">
        <v>1</v>
      </c>
      <c r="N35" s="1">
        <v>1</v>
      </c>
      <c r="O35" s="1" t="s">
        <v>169</v>
      </c>
      <c r="P35" s="1" t="s">
        <v>169</v>
      </c>
      <c r="Q35" s="1" t="s">
        <v>170</v>
      </c>
      <c r="R35" s="1">
        <v>0</v>
      </c>
      <c r="S35" s="1" t="s">
        <v>169</v>
      </c>
      <c r="T35" s="15" t="str">
        <f t="shared" si="2"/>
        <v>P</v>
      </c>
      <c r="U35" s="15" t="s">
        <v>265</v>
      </c>
      <c r="V35" s="15" t="s">
        <v>266</v>
      </c>
      <c r="W35" s="15" t="s">
        <v>267</v>
      </c>
      <c r="X35" s="15" t="s">
        <v>268</v>
      </c>
      <c r="Y35" s="15"/>
    </row>
    <row r="36" spans="1:25" ht="12.75" customHeight="1" x14ac:dyDescent="0.2">
      <c r="A36" s="23" t="s">
        <v>41</v>
      </c>
      <c r="B36" s="2" t="str">
        <f>A36&amp;COUNTIF($A$2:$A36,A36)</f>
        <v>Chaos Renegades9</v>
      </c>
      <c r="C36" s="2" t="s">
        <v>308</v>
      </c>
      <c r="D36" s="2" t="str">
        <f t="shared" si="0"/>
        <v>Chaos RenegadesOgre Renegade</v>
      </c>
      <c r="E36" s="2">
        <v>5</v>
      </c>
      <c r="F36" s="2">
        <v>5</v>
      </c>
      <c r="G36" s="2">
        <v>4</v>
      </c>
      <c r="H36" s="2">
        <v>5</v>
      </c>
      <c r="I36" s="2">
        <v>10</v>
      </c>
      <c r="J36" s="2" t="str">
        <f>IF('Pack Pro-Player'!$J$24="Español",V36,(IF('Pack Pro-Player'!$J$24="Deutsch",W36,(IF('Pack Pro-Player'!$J$24="Français",X36,U36)))))</f>
        <v>Estúpido, Solitario (4+), Golpe mortífero (+1), Cabeza dura, Lanzar Compañero</v>
      </c>
      <c r="K36" s="1">
        <v>140000</v>
      </c>
      <c r="L36" s="1">
        <f t="shared" si="1"/>
        <v>140</v>
      </c>
      <c r="M36" s="1">
        <v>1</v>
      </c>
      <c r="N36" s="1">
        <v>1</v>
      </c>
      <c r="O36" s="1" t="s">
        <v>169</v>
      </c>
      <c r="P36" s="1" t="s">
        <v>169</v>
      </c>
      <c r="Q36" s="1" t="s">
        <v>170</v>
      </c>
      <c r="R36" s="1">
        <v>0</v>
      </c>
      <c r="S36" s="1" t="s">
        <v>169</v>
      </c>
      <c r="T36" s="15" t="str">
        <f t="shared" si="2"/>
        <v>P</v>
      </c>
      <c r="U36" s="15" t="s">
        <v>270</v>
      </c>
      <c r="V36" s="15" t="s">
        <v>271</v>
      </c>
      <c r="W36" s="15" t="s">
        <v>272</v>
      </c>
      <c r="X36" s="15" t="s">
        <v>273</v>
      </c>
      <c r="Y36" s="15"/>
    </row>
    <row r="37" spans="1:25" ht="12.75" customHeight="1" x14ac:dyDescent="0.2">
      <c r="A37" s="23" t="s">
        <v>41</v>
      </c>
      <c r="B37" s="2" t="str">
        <f>A37&amp;COUNTIF($A$2:$A37,A37)</f>
        <v>Chaos Renegades10</v>
      </c>
      <c r="C37" s="2" t="s">
        <v>309</v>
      </c>
      <c r="D37" s="2" t="str">
        <f t="shared" si="0"/>
        <v>Chaos RenegadesMinotaur Renegade</v>
      </c>
      <c r="E37" s="2">
        <v>5</v>
      </c>
      <c r="F37" s="2">
        <v>5</v>
      </c>
      <c r="G37" s="2">
        <v>4</v>
      </c>
      <c r="H37" s="2">
        <v>0</v>
      </c>
      <c r="I37" s="2">
        <v>9</v>
      </c>
      <c r="J37" s="2" t="str">
        <f>IF('Pack Pro-Player'!$J$24="Español",V37,(IF('Pack Pro-Player'!$J$24="Deutsch",W37,(IF('Pack Pro-Player'!$J$24="Français",X37,U37)))))</f>
        <v>Solitario (4+), Furia, Cuernos, Golpe mortífero (+1), Cabeza dura, Ira descontrolada</v>
      </c>
      <c r="K37" s="1">
        <v>150000</v>
      </c>
      <c r="L37" s="1">
        <f t="shared" si="1"/>
        <v>150</v>
      </c>
      <c r="M37" s="1">
        <v>1</v>
      </c>
      <c r="N37" s="1">
        <v>1</v>
      </c>
      <c r="O37" s="1" t="s">
        <v>169</v>
      </c>
      <c r="P37" s="1" t="s">
        <v>169</v>
      </c>
      <c r="Q37" s="1" t="s">
        <v>170</v>
      </c>
      <c r="R37" s="12">
        <v>0</v>
      </c>
      <c r="S37" s="1" t="s">
        <v>169</v>
      </c>
      <c r="T37" s="15" t="str">
        <f t="shared" si="2"/>
        <v>P</v>
      </c>
      <c r="U37" s="15" t="s">
        <v>275</v>
      </c>
      <c r="V37" s="15" t="s">
        <v>276</v>
      </c>
      <c r="W37" s="15" t="s">
        <v>277</v>
      </c>
      <c r="X37" s="15" t="s">
        <v>278</v>
      </c>
      <c r="Y37" s="15"/>
    </row>
    <row r="38" spans="1:25" ht="12.75" customHeight="1" x14ac:dyDescent="0.2">
      <c r="A38" s="23" t="s">
        <v>41</v>
      </c>
      <c r="B38" s="2" t="str">
        <f>A38&amp;COUNTIF($A$2:$A38,A38)</f>
        <v>Chaos Renegades11</v>
      </c>
      <c r="C38" s="2" t="s">
        <v>310</v>
      </c>
      <c r="D38" s="2" t="str">
        <f t="shared" si="0"/>
        <v>Chaos RenegadesRat Ogre Renegade</v>
      </c>
      <c r="E38" s="2">
        <v>6</v>
      </c>
      <c r="F38" s="2">
        <v>5</v>
      </c>
      <c r="G38" s="2">
        <v>4</v>
      </c>
      <c r="H38" s="2">
        <v>0</v>
      </c>
      <c r="I38" s="2">
        <v>9</v>
      </c>
      <c r="J38" s="2" t="str">
        <f>IF('Pack Pro-Player'!$J$24="Español",V38,(IF('Pack Pro-Player'!$J$24="Deutsch",W38,(IF('Pack Pro-Player'!$J$24="Français",X38,U38)))))</f>
        <v>Ferocidad animal, Furia, Solitario (4+), Golpe mortífero (+1), Cola prensil</v>
      </c>
      <c r="K38" s="1">
        <v>150000</v>
      </c>
      <c r="L38" s="1">
        <f t="shared" si="1"/>
        <v>150</v>
      </c>
      <c r="M38" s="1">
        <v>1</v>
      </c>
      <c r="N38" s="1">
        <v>1</v>
      </c>
      <c r="O38" s="1" t="s">
        <v>169</v>
      </c>
      <c r="P38" s="1" t="s">
        <v>169</v>
      </c>
      <c r="Q38" s="1" t="s">
        <v>170</v>
      </c>
      <c r="R38" s="12">
        <v>0</v>
      </c>
      <c r="S38" s="1" t="s">
        <v>169</v>
      </c>
      <c r="T38" s="15" t="str">
        <f t="shared" si="2"/>
        <v>P</v>
      </c>
      <c r="U38" s="15" t="s">
        <v>311</v>
      </c>
      <c r="V38" s="15" t="s">
        <v>312</v>
      </c>
      <c r="W38" s="15" t="s">
        <v>313</v>
      </c>
      <c r="X38" s="15" t="s">
        <v>314</v>
      </c>
      <c r="Y38" s="15"/>
    </row>
    <row r="39" spans="1:25" ht="12.75" customHeight="1" x14ac:dyDescent="0.2">
      <c r="A39" s="23" t="s">
        <v>46</v>
      </c>
      <c r="B39" s="2" t="str">
        <f>A39&amp;COUNTIF($A$2:$A39,A39)</f>
        <v>Dark Elf1</v>
      </c>
      <c r="C39" s="2" t="str">
        <f>""</f>
        <v/>
      </c>
      <c r="D39" s="2" t="str">
        <f t="shared" si="0"/>
        <v>Dark Elf</v>
      </c>
      <c r="E39" s="2">
        <v>0</v>
      </c>
      <c r="F39" s="2">
        <v>0</v>
      </c>
      <c r="G39" s="2">
        <v>0</v>
      </c>
      <c r="H39" s="2">
        <v>0</v>
      </c>
      <c r="I39" s="2">
        <v>0</v>
      </c>
      <c r="J39" s="2">
        <f>IF('Pack Pro-Player'!$J$24="Español",V39,(IF('Pack Pro-Player'!$J$24="Deutsch",W39,(IF('Pack Pro-Player'!$J$24="Français",X39,U39)))))</f>
        <v>0</v>
      </c>
      <c r="K39" s="1">
        <v>0</v>
      </c>
      <c r="L39" s="1">
        <f t="shared" si="1"/>
        <v>0</v>
      </c>
      <c r="M39" s="1">
        <v>0</v>
      </c>
      <c r="N39" s="1">
        <v>0</v>
      </c>
      <c r="O39" s="1"/>
      <c r="P39" s="1"/>
      <c r="Q39" s="1"/>
      <c r="R39" s="1"/>
      <c r="S39" s="1"/>
      <c r="T39" s="15" t="str">
        <f t="shared" si="2"/>
        <v/>
      </c>
      <c r="U39" s="15">
        <v>0</v>
      </c>
      <c r="V39" s="15">
        <v>0</v>
      </c>
      <c r="W39" s="15">
        <v>0</v>
      </c>
      <c r="X39" s="15">
        <v>0</v>
      </c>
      <c r="Y39" s="15">
        <v>0</v>
      </c>
    </row>
    <row r="40" spans="1:25" ht="12.75" customHeight="1" x14ac:dyDescent="0.2">
      <c r="A40" s="23" t="s">
        <v>46</v>
      </c>
      <c r="B40" s="2" t="str">
        <f>A40&amp;COUNTIF($A$2:$A40,A40)</f>
        <v>Dark Elf2</v>
      </c>
      <c r="C40" s="2" t="s">
        <v>319</v>
      </c>
      <c r="D40" s="2" t="str">
        <f t="shared" si="0"/>
        <v>Dark ElfLineman</v>
      </c>
      <c r="E40" s="2">
        <v>6</v>
      </c>
      <c r="F40" s="2">
        <v>3</v>
      </c>
      <c r="G40" s="2">
        <v>2</v>
      </c>
      <c r="H40" s="2">
        <v>4</v>
      </c>
      <c r="I40" s="2">
        <v>9</v>
      </c>
      <c r="J40" s="2" t="str">
        <f>IF('Pack Pro-Player'!$J$24="Español",V40,(IF('Pack Pro-Player'!$J$24="Deutsch",W40,(IF('Pack Pro-Player'!$J$24="Français",X40,U40)))))</f>
        <v/>
      </c>
      <c r="K40" s="1">
        <v>70000</v>
      </c>
      <c r="L40" s="1">
        <f t="shared" si="1"/>
        <v>70</v>
      </c>
      <c r="M40" s="1">
        <v>16</v>
      </c>
      <c r="N40" s="1">
        <v>0</v>
      </c>
      <c r="O40" s="1" t="s">
        <v>170</v>
      </c>
      <c r="P40" s="1" t="s">
        <v>170</v>
      </c>
      <c r="Q40" s="1" t="s">
        <v>169</v>
      </c>
      <c r="R40" s="1">
        <v>0</v>
      </c>
      <c r="S40" s="1">
        <v>0</v>
      </c>
      <c r="T40" s="15" t="str">
        <f t="shared" si="2"/>
        <v>PM</v>
      </c>
      <c r="U40" s="15" t="str">
        <f t="shared" ref="U40:Y40" si="5">""</f>
        <v/>
      </c>
      <c r="V40" s="15" t="str">
        <f t="shared" si="5"/>
        <v/>
      </c>
      <c r="W40" s="15" t="str">
        <f t="shared" si="5"/>
        <v/>
      </c>
      <c r="X40" s="15" t="str">
        <f t="shared" si="5"/>
        <v/>
      </c>
      <c r="Y40" s="15" t="str">
        <f t="shared" si="5"/>
        <v/>
      </c>
    </row>
    <row r="41" spans="1:25" ht="12.75" customHeight="1" x14ac:dyDescent="0.2">
      <c r="A41" s="23" t="s">
        <v>46</v>
      </c>
      <c r="B41" s="2" t="str">
        <f>A41&amp;COUNTIF($A$2:$A41,A41)</f>
        <v>Dark Elf3</v>
      </c>
      <c r="C41" s="2" t="s">
        <v>320</v>
      </c>
      <c r="D41" s="2" t="str">
        <f t="shared" si="0"/>
        <v>Dark ElfRunner</v>
      </c>
      <c r="E41" s="2">
        <v>7</v>
      </c>
      <c r="F41" s="2">
        <v>3</v>
      </c>
      <c r="G41" s="2">
        <v>2</v>
      </c>
      <c r="H41" s="2">
        <v>3</v>
      </c>
      <c r="I41" s="2">
        <v>8</v>
      </c>
      <c r="J41" s="2" t="str">
        <f>IF('Pack Pro-Player'!$J$24="Español",V41,(IF('Pack Pro-Player'!$J$24="Deutsch",W41,(IF('Pack Pro-Player'!$J$24="Français",X41,U41)))))</f>
        <v>Pase precipitado</v>
      </c>
      <c r="K41" s="1">
        <v>80000</v>
      </c>
      <c r="L41" s="1">
        <f t="shared" si="1"/>
        <v>80</v>
      </c>
      <c r="M41" s="1">
        <v>2</v>
      </c>
      <c r="N41" s="1">
        <v>0</v>
      </c>
      <c r="O41" s="1" t="s">
        <v>170</v>
      </c>
      <c r="P41" s="1" t="s">
        <v>170</v>
      </c>
      <c r="Q41" s="1" t="s">
        <v>169</v>
      </c>
      <c r="R41" s="1" t="s">
        <v>170</v>
      </c>
      <c r="S41" s="1">
        <v>0</v>
      </c>
      <c r="T41" s="15" t="str">
        <f t="shared" si="2"/>
        <v>M</v>
      </c>
      <c r="U41" s="15" t="s">
        <v>321</v>
      </c>
      <c r="V41" s="15" t="s">
        <v>322</v>
      </c>
      <c r="W41" s="15" t="s">
        <v>323</v>
      </c>
      <c r="X41" s="15" t="s">
        <v>324</v>
      </c>
      <c r="Y41" s="15"/>
    </row>
    <row r="42" spans="1:25" ht="12.75" customHeight="1" x14ac:dyDescent="0.2">
      <c r="A42" s="23" t="s">
        <v>46</v>
      </c>
      <c r="B42" s="2" t="str">
        <f>A42&amp;COUNTIF($A$2:$A42,A42)</f>
        <v>Dark Elf4</v>
      </c>
      <c r="C42" s="2" t="s">
        <v>325</v>
      </c>
      <c r="D42" s="2" t="str">
        <f t="shared" si="0"/>
        <v>Dark ElfAssassin</v>
      </c>
      <c r="E42" s="2">
        <v>7</v>
      </c>
      <c r="F42" s="2">
        <v>3</v>
      </c>
      <c r="G42" s="2">
        <v>2</v>
      </c>
      <c r="H42" s="2">
        <v>5</v>
      </c>
      <c r="I42" s="2">
        <v>8</v>
      </c>
      <c r="J42" s="2" t="str">
        <f>IF('Pack Pro-Player'!$J$24="Español",V42,(IF('Pack Pro-Player'!$J$24="Deutsch",W42,(IF('Pack Pro-Player'!$J$24="Français",X42,U42)))))</f>
        <v>Perseguir, Puñal</v>
      </c>
      <c r="K42" s="1">
        <v>85000</v>
      </c>
      <c r="L42" s="1">
        <f t="shared" si="1"/>
        <v>85</v>
      </c>
      <c r="M42" s="1">
        <v>2</v>
      </c>
      <c r="N42" s="1">
        <v>0</v>
      </c>
      <c r="O42" s="1" t="s">
        <v>170</v>
      </c>
      <c r="P42" s="1" t="s">
        <v>170</v>
      </c>
      <c r="Q42" s="1" t="s">
        <v>169</v>
      </c>
      <c r="R42" s="1" t="s">
        <v>169</v>
      </c>
      <c r="S42" s="1">
        <v>0</v>
      </c>
      <c r="T42" s="15" t="str">
        <f t="shared" si="2"/>
        <v>M</v>
      </c>
      <c r="U42" s="15" t="s">
        <v>326</v>
      </c>
      <c r="V42" s="15" t="s">
        <v>327</v>
      </c>
      <c r="W42" s="15" t="s">
        <v>328</v>
      </c>
      <c r="X42" s="15" t="s">
        <v>329</v>
      </c>
      <c r="Y42" s="15"/>
    </row>
    <row r="43" spans="1:25" ht="12.75" customHeight="1" x14ac:dyDescent="0.2">
      <c r="A43" s="23" t="s">
        <v>46</v>
      </c>
      <c r="B43" s="2" t="str">
        <f>A43&amp;COUNTIF($A$2:$A43,A43)</f>
        <v>Dark Elf5</v>
      </c>
      <c r="C43" s="2" t="s">
        <v>243</v>
      </c>
      <c r="D43" s="2" t="str">
        <f t="shared" si="0"/>
        <v>Dark ElfBlitzer</v>
      </c>
      <c r="E43" s="2">
        <v>7</v>
      </c>
      <c r="F43" s="2">
        <v>3</v>
      </c>
      <c r="G43" s="2">
        <v>2</v>
      </c>
      <c r="H43" s="2">
        <v>4</v>
      </c>
      <c r="I43" s="2">
        <v>9</v>
      </c>
      <c r="J43" s="2" t="str">
        <f>IF('Pack Pro-Player'!$J$24="Español",V43,(IF('Pack Pro-Player'!$J$24="Deutsch",W43,(IF('Pack Pro-Player'!$J$24="Français",X43,U43)))))</f>
        <v>Placar</v>
      </c>
      <c r="K43" s="1">
        <v>100000</v>
      </c>
      <c r="L43" s="1">
        <f t="shared" si="1"/>
        <v>100</v>
      </c>
      <c r="M43" s="7">
        <v>4</v>
      </c>
      <c r="N43" s="7">
        <v>0</v>
      </c>
      <c r="O43" s="1" t="s">
        <v>170</v>
      </c>
      <c r="P43" s="1" t="s">
        <v>170</v>
      </c>
      <c r="Q43" s="1" t="s">
        <v>169</v>
      </c>
      <c r="R43" s="1" t="s">
        <v>169</v>
      </c>
      <c r="S43" s="1">
        <v>0</v>
      </c>
      <c r="T43" s="15" t="str">
        <f t="shared" si="2"/>
        <v>M</v>
      </c>
      <c r="U43" s="15" t="s">
        <v>330</v>
      </c>
      <c r="V43" s="15" t="s">
        <v>331</v>
      </c>
      <c r="W43" s="15" t="s">
        <v>330</v>
      </c>
      <c r="X43" s="15" t="s">
        <v>332</v>
      </c>
      <c r="Y43" s="15"/>
    </row>
    <row r="44" spans="1:25" ht="12.75" customHeight="1" x14ac:dyDescent="0.2">
      <c r="A44" s="23" t="s">
        <v>46</v>
      </c>
      <c r="B44" s="2" t="str">
        <f>A44&amp;COUNTIF($A$2:$A44,A44)</f>
        <v>Dark Elf6</v>
      </c>
      <c r="C44" s="2" t="s">
        <v>333</v>
      </c>
      <c r="D44" s="2" t="str">
        <f t="shared" si="0"/>
        <v>Dark ElfWitch Elf</v>
      </c>
      <c r="E44" s="2">
        <v>7</v>
      </c>
      <c r="F44" s="2">
        <v>3</v>
      </c>
      <c r="G44" s="2">
        <v>2</v>
      </c>
      <c r="H44" s="2">
        <v>5</v>
      </c>
      <c r="I44" s="2">
        <v>8</v>
      </c>
      <c r="J44" s="2" t="str">
        <f>IF('Pack Pro-Player'!$J$24="Español",V44,(IF('Pack Pro-Player'!$J$24="Deutsch",W44,(IF('Pack Pro-Player'!$J$24="Français",X44,U44)))))</f>
        <v>Esquivar, Furia, En pie de un salto</v>
      </c>
      <c r="K44" s="1">
        <v>110000</v>
      </c>
      <c r="L44" s="1">
        <f t="shared" si="1"/>
        <v>110</v>
      </c>
      <c r="M44" s="2">
        <v>2</v>
      </c>
      <c r="N44" s="2">
        <v>0</v>
      </c>
      <c r="O44" s="1" t="s">
        <v>170</v>
      </c>
      <c r="P44" s="1" t="s">
        <v>170</v>
      </c>
      <c r="Q44" s="1" t="s">
        <v>169</v>
      </c>
      <c r="R44" s="1" t="s">
        <v>169</v>
      </c>
      <c r="S44" s="1">
        <v>0</v>
      </c>
      <c r="T44" s="15" t="str">
        <f t="shared" si="2"/>
        <v>M</v>
      </c>
      <c r="U44" s="15" t="s">
        <v>334</v>
      </c>
      <c r="V44" s="15" t="s">
        <v>335</v>
      </c>
      <c r="W44" s="15" t="s">
        <v>336</v>
      </c>
      <c r="X44" s="15" t="s">
        <v>337</v>
      </c>
      <c r="Y44" s="15"/>
    </row>
    <row r="45" spans="1:25" ht="12.75" customHeight="1" x14ac:dyDescent="0.2">
      <c r="A45" s="23" t="s">
        <v>52</v>
      </c>
      <c r="B45" s="2" t="str">
        <f>A45&amp;COUNTIF($A$2:$A45,A45)</f>
        <v>Dwarf1</v>
      </c>
      <c r="C45" s="2" t="str">
        <f>""</f>
        <v/>
      </c>
      <c r="D45" s="2" t="str">
        <f t="shared" si="0"/>
        <v>Dwarf</v>
      </c>
      <c r="E45" s="2">
        <v>0</v>
      </c>
      <c r="F45" s="2">
        <v>0</v>
      </c>
      <c r="G45" s="2">
        <v>0</v>
      </c>
      <c r="H45" s="2">
        <v>0</v>
      </c>
      <c r="I45" s="2">
        <v>0</v>
      </c>
      <c r="J45" s="2">
        <f>IF('Pack Pro-Player'!$J$24="Español",V45,(IF('Pack Pro-Player'!$J$24="Deutsch",W45,(IF('Pack Pro-Player'!$J$24="Français",X45,U45)))))</f>
        <v>0</v>
      </c>
      <c r="K45" s="1">
        <v>0</v>
      </c>
      <c r="L45" s="1">
        <f t="shared" si="1"/>
        <v>0</v>
      </c>
      <c r="M45" s="1">
        <v>0</v>
      </c>
      <c r="N45" s="1">
        <v>0</v>
      </c>
      <c r="O45" s="1"/>
      <c r="P45" s="1"/>
      <c r="Q45" s="1"/>
      <c r="R45" s="1"/>
      <c r="S45" s="1"/>
      <c r="T45" s="15" t="str">
        <f t="shared" si="2"/>
        <v/>
      </c>
      <c r="U45" s="15">
        <v>0</v>
      </c>
      <c r="V45" s="15">
        <v>0</v>
      </c>
      <c r="W45" s="15">
        <v>0</v>
      </c>
      <c r="X45" s="15">
        <v>0</v>
      </c>
      <c r="Y45" s="15">
        <v>0</v>
      </c>
    </row>
    <row r="46" spans="1:25" ht="12.75" customHeight="1" x14ac:dyDescent="0.2">
      <c r="A46" s="23" t="s">
        <v>52</v>
      </c>
      <c r="B46" s="2" t="str">
        <f>A46&amp;COUNTIF($A$2:$A46,A46)</f>
        <v>Dwarf2</v>
      </c>
      <c r="C46" s="2" t="s">
        <v>279</v>
      </c>
      <c r="D46" s="2" t="str">
        <f t="shared" si="0"/>
        <v>DwarfBlocker</v>
      </c>
      <c r="E46" s="2">
        <v>4</v>
      </c>
      <c r="F46" s="2">
        <v>3</v>
      </c>
      <c r="G46" s="2">
        <v>4</v>
      </c>
      <c r="H46" s="2">
        <v>5</v>
      </c>
      <c r="I46" s="2">
        <v>10</v>
      </c>
      <c r="J46" s="2" t="str">
        <f>IF('Pack Pro-Player'!$J$24="Español",V46,(IF('Pack Pro-Player'!$J$24="Deutsch",W46,(IF('Pack Pro-Player'!$J$24="Français",X46,U46)))))</f>
        <v>Placar, Placaje defensivo, Cabeza dura</v>
      </c>
      <c r="K46" s="1">
        <v>70000</v>
      </c>
      <c r="L46" s="1">
        <f t="shared" si="1"/>
        <v>70</v>
      </c>
      <c r="M46" s="7">
        <v>16</v>
      </c>
      <c r="N46" s="7">
        <v>0</v>
      </c>
      <c r="O46" s="1" t="s">
        <v>170</v>
      </c>
      <c r="P46" s="1" t="s">
        <v>169</v>
      </c>
      <c r="Q46" s="1" t="s">
        <v>170</v>
      </c>
      <c r="R46" s="1">
        <v>0</v>
      </c>
      <c r="S46" s="1">
        <v>0</v>
      </c>
      <c r="T46" s="15" t="str">
        <f t="shared" si="2"/>
        <v>PM</v>
      </c>
      <c r="U46" s="15" t="s">
        <v>280</v>
      </c>
      <c r="V46" s="2" t="s">
        <v>281</v>
      </c>
      <c r="W46" s="15" t="s">
        <v>282</v>
      </c>
      <c r="X46" s="15" t="s">
        <v>283</v>
      </c>
      <c r="Y46" s="15"/>
    </row>
    <row r="47" spans="1:25" ht="12.75" customHeight="1" x14ac:dyDescent="0.2">
      <c r="A47" s="23" t="s">
        <v>52</v>
      </c>
      <c r="B47" s="2" t="str">
        <f>A47&amp;COUNTIF($A$2:$A47,A47)</f>
        <v>Dwarf3</v>
      </c>
      <c r="C47" s="2" t="s">
        <v>320</v>
      </c>
      <c r="D47" s="2" t="str">
        <f t="shared" si="0"/>
        <v>DwarfRunner</v>
      </c>
      <c r="E47" s="2">
        <v>6</v>
      </c>
      <c r="F47" s="2">
        <v>3</v>
      </c>
      <c r="G47" s="2">
        <v>3</v>
      </c>
      <c r="H47" s="2">
        <v>4</v>
      </c>
      <c r="I47" s="2">
        <v>9</v>
      </c>
      <c r="J47" s="2" t="str">
        <f>IF('Pack Pro-Player'!$J$24="Español",V47,(IF('Pack Pro-Player'!$J$24="Deutsch",W47,(IF('Pack Pro-Player'!$J$24="Français",X47,U47)))))</f>
        <v>Manos seguras, Cabeza dura</v>
      </c>
      <c r="K47" s="1">
        <v>85000</v>
      </c>
      <c r="L47" s="1">
        <f t="shared" si="1"/>
        <v>85</v>
      </c>
      <c r="M47" s="1">
        <v>2</v>
      </c>
      <c r="N47" s="1">
        <v>0</v>
      </c>
      <c r="O47" s="1" t="s">
        <v>170</v>
      </c>
      <c r="P47" s="1" t="s">
        <v>169</v>
      </c>
      <c r="Q47" s="1" t="s">
        <v>169</v>
      </c>
      <c r="R47" s="1" t="s">
        <v>170</v>
      </c>
      <c r="S47" s="1">
        <v>0</v>
      </c>
      <c r="T47" s="15" t="str">
        <f t="shared" si="2"/>
        <v>M</v>
      </c>
      <c r="U47" s="15" t="s">
        <v>338</v>
      </c>
      <c r="V47" s="2" t="s">
        <v>339</v>
      </c>
      <c r="W47" s="15" t="s">
        <v>340</v>
      </c>
      <c r="X47" s="15" t="s">
        <v>341</v>
      </c>
      <c r="Y47" s="15"/>
    </row>
    <row r="48" spans="1:25" ht="12.75" customHeight="1" x14ac:dyDescent="0.2">
      <c r="A48" s="23" t="s">
        <v>52</v>
      </c>
      <c r="B48" s="2" t="str">
        <f>A48&amp;COUNTIF($A$2:$A48,A48)</f>
        <v>Dwarf4</v>
      </c>
      <c r="C48" s="2" t="s">
        <v>243</v>
      </c>
      <c r="D48" s="2" t="str">
        <f t="shared" si="0"/>
        <v>DwarfBlitzer</v>
      </c>
      <c r="E48" s="2">
        <v>5</v>
      </c>
      <c r="F48" s="2">
        <v>3</v>
      </c>
      <c r="G48" s="2">
        <v>3</v>
      </c>
      <c r="H48" s="2">
        <v>4</v>
      </c>
      <c r="I48" s="2">
        <v>10</v>
      </c>
      <c r="J48" s="2" t="str">
        <f>IF('Pack Pro-Player'!$J$24="Español",V48,(IF('Pack Pro-Player'!$J$24="Deutsch",W48,(IF('Pack Pro-Player'!$J$24="Français",X48,U48)))))</f>
        <v>Placar, Cabeza dura</v>
      </c>
      <c r="K48" s="1">
        <v>80000</v>
      </c>
      <c r="L48" s="1">
        <f t="shared" si="1"/>
        <v>80</v>
      </c>
      <c r="M48" s="1">
        <v>2</v>
      </c>
      <c r="N48" s="1">
        <v>0</v>
      </c>
      <c r="O48" s="1" t="s">
        <v>170</v>
      </c>
      <c r="P48" s="1" t="s">
        <v>169</v>
      </c>
      <c r="Q48" s="1" t="s">
        <v>170</v>
      </c>
      <c r="R48" s="1" t="s">
        <v>169</v>
      </c>
      <c r="S48" s="1">
        <v>0</v>
      </c>
      <c r="T48" s="15" t="str">
        <f t="shared" si="2"/>
        <v>M</v>
      </c>
      <c r="U48" s="15" t="s">
        <v>342</v>
      </c>
      <c r="V48" s="15" t="s">
        <v>343</v>
      </c>
      <c r="W48" s="15" t="s">
        <v>344</v>
      </c>
      <c r="X48" s="15" t="s">
        <v>345</v>
      </c>
      <c r="Y48" s="15"/>
    </row>
    <row r="49" spans="1:25" ht="12.75" customHeight="1" x14ac:dyDescent="0.2">
      <c r="A49" s="23" t="s">
        <v>52</v>
      </c>
      <c r="B49" s="2" t="str">
        <f>A49&amp;COUNTIF($A$2:$A49,A49)</f>
        <v>Dwarf5</v>
      </c>
      <c r="C49" s="2" t="s">
        <v>346</v>
      </c>
      <c r="D49" s="2" t="str">
        <f t="shared" si="0"/>
        <v>DwarfTroll Slayer</v>
      </c>
      <c r="E49" s="2">
        <v>5</v>
      </c>
      <c r="F49" s="2">
        <v>3</v>
      </c>
      <c r="G49" s="2">
        <v>4</v>
      </c>
      <c r="H49" s="2">
        <v>0</v>
      </c>
      <c r="I49" s="2">
        <v>9</v>
      </c>
      <c r="J49" s="2" t="str">
        <f>IF('Pack Pro-Player'!$J$24="Español",V49,(IF('Pack Pro-Player'!$J$24="Deutsch",W49,(IF('Pack Pro-Player'!$J$24="Français",X49,U49)))))</f>
        <v>Placar, Furia, Agallas, Cabeza dura</v>
      </c>
      <c r="K49" s="1">
        <v>95000</v>
      </c>
      <c r="L49" s="1">
        <f t="shared" si="1"/>
        <v>95</v>
      </c>
      <c r="M49" s="1">
        <v>2</v>
      </c>
      <c r="N49" s="1">
        <v>0</v>
      </c>
      <c r="O49" s="1" t="s">
        <v>170</v>
      </c>
      <c r="P49" s="1" t="s">
        <v>169</v>
      </c>
      <c r="Q49" s="1" t="s">
        <v>170</v>
      </c>
      <c r="R49" s="12">
        <v>0</v>
      </c>
      <c r="S49" s="1">
        <v>0</v>
      </c>
      <c r="T49" s="15" t="str">
        <f t="shared" si="2"/>
        <v>PM</v>
      </c>
      <c r="U49" s="15" t="s">
        <v>347</v>
      </c>
      <c r="V49" s="15" t="s">
        <v>348</v>
      </c>
      <c r="W49" s="15" t="s">
        <v>349</v>
      </c>
      <c r="X49" s="15" t="s">
        <v>350</v>
      </c>
      <c r="Y49" s="15"/>
    </row>
    <row r="50" spans="1:25" ht="12.75" customHeight="1" x14ac:dyDescent="0.2">
      <c r="A50" s="23" t="s">
        <v>52</v>
      </c>
      <c r="B50" s="2" t="str">
        <f>A50&amp;COUNTIF($A$2:$A50,A50)</f>
        <v>Dwarf6</v>
      </c>
      <c r="C50" s="2" t="s">
        <v>351</v>
      </c>
      <c r="D50" s="2" t="str">
        <f t="shared" si="0"/>
        <v>DwarfDeathroller</v>
      </c>
      <c r="E50" s="2">
        <v>4</v>
      </c>
      <c r="F50" s="2">
        <v>7</v>
      </c>
      <c r="G50" s="2">
        <v>5</v>
      </c>
      <c r="H50" s="2">
        <v>0</v>
      </c>
      <c r="I50" s="2">
        <v>11</v>
      </c>
      <c r="J50" s="2" t="str">
        <f>IF('Pack Pro-Player'!$J$24="Español",V50,(IF('Pack Pro-Player'!$J$24="Deutsch",W50,(IF('Pack Pro-Player'!$J$24="Français",X50,U50)))))</f>
        <v>Abrirse paso, Juego sucio (+2), Imparable, Solitario (5+), Golpe mortífero (+1), Sin manos, Arma secreta, Mantenerse firme</v>
      </c>
      <c r="K50" s="1">
        <v>170000</v>
      </c>
      <c r="L50" s="1">
        <f t="shared" si="1"/>
        <v>170</v>
      </c>
      <c r="M50" s="2">
        <v>1</v>
      </c>
      <c r="N50" s="2">
        <v>1</v>
      </c>
      <c r="O50" s="1" t="s">
        <v>169</v>
      </c>
      <c r="P50" s="1" t="s">
        <v>169</v>
      </c>
      <c r="Q50" s="1" t="s">
        <v>170</v>
      </c>
      <c r="R50" s="1">
        <v>0</v>
      </c>
      <c r="S50" s="1">
        <v>0</v>
      </c>
      <c r="T50" s="15" t="str">
        <f t="shared" si="2"/>
        <v>PM</v>
      </c>
      <c r="U50" s="15" t="s">
        <v>352</v>
      </c>
      <c r="V50" s="15" t="s">
        <v>353</v>
      </c>
      <c r="W50" s="15" t="s">
        <v>354</v>
      </c>
      <c r="X50" s="15" t="s">
        <v>355</v>
      </c>
      <c r="Y50" s="15"/>
    </row>
    <row r="51" spans="1:25" ht="12.75" customHeight="1" x14ac:dyDescent="0.2">
      <c r="A51" s="23" t="s">
        <v>57</v>
      </c>
      <c r="B51" s="2" t="str">
        <f>A51&amp;COUNTIF($A$2:$A51,A51)</f>
        <v>Elven Union1</v>
      </c>
      <c r="C51" s="2" t="str">
        <f>""</f>
        <v/>
      </c>
      <c r="D51" s="2" t="str">
        <f t="shared" si="0"/>
        <v>Elven Union</v>
      </c>
      <c r="E51" s="2">
        <v>0</v>
      </c>
      <c r="F51" s="2">
        <v>0</v>
      </c>
      <c r="G51" s="2">
        <v>0</v>
      </c>
      <c r="H51" s="2">
        <v>0</v>
      </c>
      <c r="I51" s="2">
        <v>0</v>
      </c>
      <c r="J51" s="2">
        <f>IF('Pack Pro-Player'!$J$24="Español",V51,(IF('Pack Pro-Player'!$J$24="Deutsch",W51,(IF('Pack Pro-Player'!$J$24="Français",X51,U51)))))</f>
        <v>0</v>
      </c>
      <c r="K51" s="1">
        <v>0</v>
      </c>
      <c r="L51" s="1">
        <f t="shared" si="1"/>
        <v>0</v>
      </c>
      <c r="M51" s="1">
        <v>0</v>
      </c>
      <c r="N51" s="1">
        <v>0</v>
      </c>
      <c r="O51" s="1"/>
      <c r="P51" s="1"/>
      <c r="Q51" s="1"/>
      <c r="R51" s="1"/>
      <c r="S51" s="1"/>
      <c r="T51" s="15" t="str">
        <f t="shared" si="2"/>
        <v/>
      </c>
      <c r="U51" s="15">
        <v>0</v>
      </c>
      <c r="V51" s="15">
        <v>0</v>
      </c>
      <c r="W51" s="15">
        <v>0</v>
      </c>
      <c r="X51" s="15">
        <v>0</v>
      </c>
      <c r="Y51" s="15">
        <v>0</v>
      </c>
    </row>
    <row r="52" spans="1:25" ht="12.75" customHeight="1" x14ac:dyDescent="0.2">
      <c r="A52" s="23" t="s">
        <v>57</v>
      </c>
      <c r="B52" s="2" t="str">
        <f>A52&amp;COUNTIF($A$2:$A52,A52)</f>
        <v>Elven Union2</v>
      </c>
      <c r="C52" s="2" t="s">
        <v>319</v>
      </c>
      <c r="D52" s="2" t="str">
        <f t="shared" si="0"/>
        <v>Elven UnionLineman</v>
      </c>
      <c r="E52" s="2">
        <v>6</v>
      </c>
      <c r="F52" s="2">
        <v>3</v>
      </c>
      <c r="G52" s="2">
        <v>2</v>
      </c>
      <c r="H52" s="2">
        <v>4</v>
      </c>
      <c r="I52" s="2">
        <v>8</v>
      </c>
      <c r="J52" s="2" t="str">
        <f>IF('Pack Pro-Player'!$J$24="Español",V52,(IF('Pack Pro-Player'!$J$24="Deutsch",W52,(IF('Pack Pro-Player'!$J$24="Français",X52,U52)))))</f>
        <v/>
      </c>
      <c r="K52" s="1">
        <v>60000</v>
      </c>
      <c r="L52" s="1">
        <f t="shared" si="1"/>
        <v>60</v>
      </c>
      <c r="M52" s="1">
        <v>16</v>
      </c>
      <c r="N52" s="1">
        <v>0</v>
      </c>
      <c r="O52" s="1" t="s">
        <v>170</v>
      </c>
      <c r="P52" s="1" t="s">
        <v>170</v>
      </c>
      <c r="Q52" s="1" t="s">
        <v>169</v>
      </c>
      <c r="R52" s="1">
        <v>0</v>
      </c>
      <c r="S52" s="1">
        <v>0</v>
      </c>
      <c r="T52" s="15" t="str">
        <f t="shared" si="2"/>
        <v>PM</v>
      </c>
      <c r="U52" s="15" t="str">
        <f t="shared" ref="U52:Y52" si="6">""</f>
        <v/>
      </c>
      <c r="V52" s="15" t="str">
        <f t="shared" si="6"/>
        <v/>
      </c>
      <c r="W52" s="15" t="str">
        <f t="shared" si="6"/>
        <v/>
      </c>
      <c r="X52" s="15" t="str">
        <f t="shared" si="6"/>
        <v/>
      </c>
      <c r="Y52" s="15" t="str">
        <f t="shared" si="6"/>
        <v/>
      </c>
    </row>
    <row r="53" spans="1:25" ht="12.75" customHeight="1" x14ac:dyDescent="0.2">
      <c r="A53" s="23" t="s">
        <v>57</v>
      </c>
      <c r="B53" s="2" t="str">
        <f>A53&amp;COUNTIF($A$2:$A53,A53)</f>
        <v>Elven Union3</v>
      </c>
      <c r="C53" s="2" t="s">
        <v>241</v>
      </c>
      <c r="D53" s="2" t="str">
        <f t="shared" si="0"/>
        <v>Elven UnionThrower</v>
      </c>
      <c r="E53" s="2">
        <v>6</v>
      </c>
      <c r="F53" s="2">
        <v>3</v>
      </c>
      <c r="G53" s="2">
        <v>2</v>
      </c>
      <c r="H53" s="2">
        <v>2</v>
      </c>
      <c r="I53" s="2">
        <v>8</v>
      </c>
      <c r="J53" s="2" t="str">
        <f>IF('Pack Pro-Player'!$J$24="Español",V53,(IF('Pack Pro-Player'!$J$24="Deutsch",W53,(IF('Pack Pro-Player'!$J$24="Français",X53,U53)))))</f>
        <v>Pasar</v>
      </c>
      <c r="K53" s="1">
        <v>75000</v>
      </c>
      <c r="L53" s="1">
        <f t="shared" si="1"/>
        <v>75</v>
      </c>
      <c r="M53" s="7">
        <v>2</v>
      </c>
      <c r="N53" s="7">
        <v>0</v>
      </c>
      <c r="O53" s="1" t="s">
        <v>170</v>
      </c>
      <c r="P53" s="1" t="s">
        <v>170</v>
      </c>
      <c r="Q53" s="1" t="s">
        <v>169</v>
      </c>
      <c r="R53" s="1" t="s">
        <v>170</v>
      </c>
      <c r="S53" s="1">
        <v>0</v>
      </c>
      <c r="T53" s="15" t="str">
        <f t="shared" si="2"/>
        <v>M</v>
      </c>
      <c r="U53" s="15" t="s">
        <v>356</v>
      </c>
      <c r="V53" s="15" t="s">
        <v>357</v>
      </c>
      <c r="W53" s="15" t="s">
        <v>358</v>
      </c>
      <c r="X53" s="15" t="s">
        <v>359</v>
      </c>
      <c r="Y53" s="15"/>
    </row>
    <row r="54" spans="1:25" ht="12.75" customHeight="1" x14ac:dyDescent="0.2">
      <c r="A54" s="23" t="s">
        <v>57</v>
      </c>
      <c r="B54" s="2" t="str">
        <f>A54&amp;COUNTIF($A$2:$A54,A54)</f>
        <v>Elven Union4</v>
      </c>
      <c r="C54" s="2" t="s">
        <v>242</v>
      </c>
      <c r="D54" s="2" t="str">
        <f t="shared" si="0"/>
        <v>Elven UnionCatcher</v>
      </c>
      <c r="E54" s="2">
        <v>8</v>
      </c>
      <c r="F54" s="2">
        <v>3</v>
      </c>
      <c r="G54" s="2">
        <v>2</v>
      </c>
      <c r="H54" s="2">
        <v>4</v>
      </c>
      <c r="I54" s="2">
        <v>8</v>
      </c>
      <c r="J54" s="2" t="str">
        <f>IF('Pack Pro-Player'!$J$24="Español",V54,(IF('Pack Pro-Player'!$J$24="Deutsch",W54,(IF('Pack Pro-Player'!$J$24="Français",X54,U54)))))</f>
        <v>Atrapar, Nervios de acero</v>
      </c>
      <c r="K54" s="1">
        <v>100000</v>
      </c>
      <c r="L54" s="1">
        <f t="shared" si="1"/>
        <v>100</v>
      </c>
      <c r="M54" s="2">
        <v>4</v>
      </c>
      <c r="N54" s="2">
        <v>0</v>
      </c>
      <c r="O54" s="1" t="s">
        <v>170</v>
      </c>
      <c r="P54" s="1" t="s">
        <v>170</v>
      </c>
      <c r="Q54" s="1" t="s">
        <v>169</v>
      </c>
      <c r="R54" s="1">
        <v>0</v>
      </c>
      <c r="S54" s="1">
        <v>0</v>
      </c>
      <c r="T54" s="15" t="str">
        <f t="shared" si="2"/>
        <v>PM</v>
      </c>
      <c r="U54" s="15" t="s">
        <v>360</v>
      </c>
      <c r="V54" s="15" t="s">
        <v>361</v>
      </c>
      <c r="W54" s="15" t="s">
        <v>362</v>
      </c>
      <c r="X54" s="15" t="s">
        <v>363</v>
      </c>
      <c r="Y54" s="15"/>
    </row>
    <row r="55" spans="1:25" ht="12.75" customHeight="1" x14ac:dyDescent="0.2">
      <c r="A55" s="23" t="s">
        <v>57</v>
      </c>
      <c r="B55" s="2" t="str">
        <f>A55&amp;COUNTIF($A$2:$A55,A55)</f>
        <v>Elven Union5</v>
      </c>
      <c r="C55" s="2" t="s">
        <v>243</v>
      </c>
      <c r="D55" s="2" t="str">
        <f t="shared" si="0"/>
        <v>Elven UnionBlitzer</v>
      </c>
      <c r="E55" s="2">
        <v>7</v>
      </c>
      <c r="F55" s="2">
        <v>3</v>
      </c>
      <c r="G55" s="2">
        <v>2</v>
      </c>
      <c r="H55" s="2">
        <v>3</v>
      </c>
      <c r="I55" s="2">
        <v>9</v>
      </c>
      <c r="J55" s="2" t="str">
        <f>IF('Pack Pro-Player'!$J$24="Español",V55,(IF('Pack Pro-Player'!$J$24="Deutsch",W55,(IF('Pack Pro-Player'!$J$24="Français",X55,U55)))))</f>
        <v>Placar, Echarse a un lado</v>
      </c>
      <c r="K55" s="1">
        <v>115000</v>
      </c>
      <c r="L55" s="1">
        <f t="shared" si="1"/>
        <v>115</v>
      </c>
      <c r="M55" s="2">
        <v>2</v>
      </c>
      <c r="N55" s="2">
        <v>0</v>
      </c>
      <c r="O55" s="1" t="s">
        <v>170</v>
      </c>
      <c r="P55" s="1" t="s">
        <v>170</v>
      </c>
      <c r="Q55" s="1" t="s">
        <v>169</v>
      </c>
      <c r="R55" s="1" t="s">
        <v>169</v>
      </c>
      <c r="S55" s="1">
        <v>0</v>
      </c>
      <c r="T55" s="15" t="str">
        <f t="shared" si="2"/>
        <v>M</v>
      </c>
      <c r="U55" s="15" t="s">
        <v>364</v>
      </c>
      <c r="V55" s="15" t="s">
        <v>365</v>
      </c>
      <c r="W55" s="15" t="s">
        <v>366</v>
      </c>
      <c r="X55" s="15" t="s">
        <v>367</v>
      </c>
      <c r="Y55" s="15"/>
    </row>
    <row r="56" spans="1:25" ht="12.75" customHeight="1" x14ac:dyDescent="0.2">
      <c r="A56" s="23" t="s">
        <v>62</v>
      </c>
      <c r="B56" s="2" t="str">
        <f>A56&amp;COUNTIF($A$2:$A56,A56)</f>
        <v>Goblin1</v>
      </c>
      <c r="C56" s="2" t="str">
        <f>""</f>
        <v/>
      </c>
      <c r="D56" s="2" t="str">
        <f t="shared" si="0"/>
        <v>Goblin</v>
      </c>
      <c r="E56" s="2">
        <v>0</v>
      </c>
      <c r="F56" s="2">
        <v>0</v>
      </c>
      <c r="G56" s="2">
        <v>0</v>
      </c>
      <c r="H56" s="2">
        <v>0</v>
      </c>
      <c r="I56" s="2">
        <v>0</v>
      </c>
      <c r="J56" s="2">
        <f>IF('Pack Pro-Player'!$J$24="Español",V56,(IF('Pack Pro-Player'!$J$24="Deutsch",W56,(IF('Pack Pro-Player'!$J$24="Français",X56,U56)))))</f>
        <v>0</v>
      </c>
      <c r="K56" s="1">
        <v>0</v>
      </c>
      <c r="L56" s="1">
        <f t="shared" si="1"/>
        <v>0</v>
      </c>
      <c r="M56" s="1">
        <v>0</v>
      </c>
      <c r="N56" s="1">
        <v>0</v>
      </c>
      <c r="O56" s="1"/>
      <c r="P56" s="1"/>
      <c r="Q56" s="1"/>
      <c r="R56" s="1"/>
      <c r="S56" s="1"/>
      <c r="T56" s="15" t="str">
        <f t="shared" si="2"/>
        <v/>
      </c>
      <c r="U56" s="15">
        <v>0</v>
      </c>
      <c r="V56" s="15">
        <v>0</v>
      </c>
      <c r="W56" s="15">
        <v>0</v>
      </c>
      <c r="X56" s="15">
        <v>0</v>
      </c>
      <c r="Y56" s="15">
        <v>0</v>
      </c>
    </row>
    <row r="57" spans="1:25" ht="12.75" customHeight="1" x14ac:dyDescent="0.2">
      <c r="A57" s="23" t="s">
        <v>62</v>
      </c>
      <c r="B57" s="2" t="str">
        <f>A57&amp;COUNTIF($A$2:$A57,A57)</f>
        <v>Goblin2</v>
      </c>
      <c r="C57" s="2" t="s">
        <v>62</v>
      </c>
      <c r="D57" s="2" t="str">
        <f t="shared" si="0"/>
        <v>GoblinGoblin</v>
      </c>
      <c r="E57" s="2">
        <v>6</v>
      </c>
      <c r="F57" s="2">
        <v>2</v>
      </c>
      <c r="G57" s="2">
        <v>3</v>
      </c>
      <c r="H57" s="2">
        <v>4</v>
      </c>
      <c r="I57" s="2">
        <v>8</v>
      </c>
      <c r="J57" s="2" t="str">
        <f>IF('Pack Pro-Player'!$J$24="Español",V57,(IF('Pack Pro-Player'!$J$24="Deutsch",W57,(IF('Pack Pro-Player'!$J$24="Français",X57,U57)))))</f>
        <v>Esquivar, Humanoide bala, Escurridizo</v>
      </c>
      <c r="K57" s="1">
        <v>40000</v>
      </c>
      <c r="L57" s="1">
        <f t="shared" si="1"/>
        <v>40</v>
      </c>
      <c r="M57" s="1">
        <v>16</v>
      </c>
      <c r="N57" s="1">
        <v>0</v>
      </c>
      <c r="O57" s="1" t="s">
        <v>169</v>
      </c>
      <c r="P57" s="1" t="s">
        <v>170</v>
      </c>
      <c r="Q57" s="1" t="s">
        <v>169</v>
      </c>
      <c r="R57" s="1" t="s">
        <v>169</v>
      </c>
      <c r="S57" s="1">
        <v>0</v>
      </c>
      <c r="T57" s="15" t="str">
        <f t="shared" si="2"/>
        <v>M</v>
      </c>
      <c r="U57" s="15" t="s">
        <v>368</v>
      </c>
      <c r="V57" s="15" t="s">
        <v>369</v>
      </c>
      <c r="W57" s="15" t="s">
        <v>370</v>
      </c>
      <c r="X57" s="15" t="s">
        <v>371</v>
      </c>
      <c r="Y57" s="15"/>
    </row>
    <row r="58" spans="1:25" ht="12.75" customHeight="1" x14ac:dyDescent="0.2">
      <c r="A58" s="23" t="s">
        <v>62</v>
      </c>
      <c r="B58" s="2" t="str">
        <f>A58&amp;COUNTIF($A$2:$A58,A58)</f>
        <v>Goblin3</v>
      </c>
      <c r="C58" s="2" t="s">
        <v>372</v>
      </c>
      <c r="D58" s="2" t="str">
        <f t="shared" si="0"/>
        <v>GoblinBombardier</v>
      </c>
      <c r="E58" s="2">
        <v>6</v>
      </c>
      <c r="F58" s="2">
        <v>2</v>
      </c>
      <c r="G58" s="2">
        <v>3</v>
      </c>
      <c r="H58" s="2">
        <v>4</v>
      </c>
      <c r="I58" s="2">
        <v>8</v>
      </c>
      <c r="J58" s="2" t="str">
        <f>IF('Pack Pro-Player'!$J$24="Español",V58,(IF('Pack Pro-Player'!$J$24="Deutsch",W58,(IF('Pack Pro-Player'!$J$24="Français",X58,U58)))))</f>
        <v>Bombardero, Esquivar, Arma secreta, Escurridizo</v>
      </c>
      <c r="K58" s="1">
        <v>45000</v>
      </c>
      <c r="L58" s="1">
        <f t="shared" si="1"/>
        <v>45</v>
      </c>
      <c r="M58" s="1">
        <v>1</v>
      </c>
      <c r="N58" s="1">
        <v>0</v>
      </c>
      <c r="O58" s="1" t="s">
        <v>169</v>
      </c>
      <c r="P58" s="1" t="s">
        <v>170</v>
      </c>
      <c r="Q58" s="1" t="s">
        <v>169</v>
      </c>
      <c r="R58" s="1" t="s">
        <v>170</v>
      </c>
      <c r="S58" s="1">
        <v>0</v>
      </c>
      <c r="T58" s="15" t="str">
        <f t="shared" si="2"/>
        <v>M</v>
      </c>
      <c r="U58" s="15" t="s">
        <v>373</v>
      </c>
      <c r="V58" s="15" t="s">
        <v>374</v>
      </c>
      <c r="W58" s="15" t="s">
        <v>375</v>
      </c>
      <c r="X58" s="15" t="s">
        <v>376</v>
      </c>
      <c r="Y58" s="15"/>
    </row>
    <row r="59" spans="1:25" ht="12.75" customHeight="1" x14ac:dyDescent="0.2">
      <c r="A59" s="23" t="s">
        <v>62</v>
      </c>
      <c r="B59" s="2" t="str">
        <f>A59&amp;COUNTIF($A$2:$A59,A59)</f>
        <v>Goblin4</v>
      </c>
      <c r="C59" s="2" t="s">
        <v>377</v>
      </c>
      <c r="D59" s="2" t="str">
        <f t="shared" si="0"/>
        <v>GoblinLooney</v>
      </c>
      <c r="E59" s="2">
        <v>6</v>
      </c>
      <c r="F59" s="2">
        <v>2</v>
      </c>
      <c r="G59" s="2">
        <v>3</v>
      </c>
      <c r="H59" s="2">
        <v>0</v>
      </c>
      <c r="I59" s="2">
        <v>8</v>
      </c>
      <c r="J59" s="2" t="str">
        <f>IF('Pack Pro-Player'!$J$24="Español",V59,(IF('Pack Pro-Player'!$J$24="Deutsch",W59,(IF('Pack Pro-Player'!$J$24="Français",X59,U59)))))</f>
        <v>Motosierra, Arma secreta, Escurridizo</v>
      </c>
      <c r="K59" s="1">
        <v>40000</v>
      </c>
      <c r="L59" s="1">
        <f t="shared" si="1"/>
        <v>40</v>
      </c>
      <c r="M59" s="1">
        <v>1</v>
      </c>
      <c r="N59" s="1">
        <v>0</v>
      </c>
      <c r="O59" s="1" t="s">
        <v>169</v>
      </c>
      <c r="P59" s="1" t="s">
        <v>170</v>
      </c>
      <c r="Q59" s="1" t="s">
        <v>169</v>
      </c>
      <c r="R59" s="12">
        <v>0</v>
      </c>
      <c r="S59" s="1">
        <v>0</v>
      </c>
      <c r="T59" s="15" t="str">
        <f t="shared" si="2"/>
        <v>PM</v>
      </c>
      <c r="U59" s="15" t="s">
        <v>378</v>
      </c>
      <c r="V59" s="15" t="s">
        <v>379</v>
      </c>
      <c r="W59" s="15" t="s">
        <v>380</v>
      </c>
      <c r="X59" s="15" t="s">
        <v>381</v>
      </c>
      <c r="Y59" s="15"/>
    </row>
    <row r="60" spans="1:25" ht="12.75" customHeight="1" x14ac:dyDescent="0.2">
      <c r="A60" s="23" t="s">
        <v>62</v>
      </c>
      <c r="B60" s="2" t="str">
        <f>A60&amp;COUNTIF($A$2:$A60,A60)</f>
        <v>Goblin5</v>
      </c>
      <c r="C60" s="2" t="s">
        <v>382</v>
      </c>
      <c r="D60" s="2" t="str">
        <f t="shared" si="0"/>
        <v>GoblinDoom Diver</v>
      </c>
      <c r="E60" s="2">
        <v>6</v>
      </c>
      <c r="F60" s="2">
        <v>2</v>
      </c>
      <c r="G60" s="2">
        <v>3</v>
      </c>
      <c r="H60" s="2">
        <v>6</v>
      </c>
      <c r="I60" s="2">
        <v>8</v>
      </c>
      <c r="J60" s="2" t="str">
        <f>IF('Pack Pro-Player'!$J$24="Español",V60,(IF('Pack Pro-Player'!$J$24="Deutsch",W60,(IF('Pack Pro-Player'!$J$24="Français",X60,U60)))))</f>
        <v>Humanoide bala, Escurridizo, Planear</v>
      </c>
      <c r="K60" s="1">
        <v>60000</v>
      </c>
      <c r="L60" s="1">
        <f t="shared" si="1"/>
        <v>60</v>
      </c>
      <c r="M60" s="7">
        <v>1</v>
      </c>
      <c r="N60" s="7">
        <v>0</v>
      </c>
      <c r="O60" s="1" t="s">
        <v>169</v>
      </c>
      <c r="P60" s="1" t="s">
        <v>170</v>
      </c>
      <c r="Q60" s="1" t="s">
        <v>169</v>
      </c>
      <c r="R60" s="1">
        <v>0</v>
      </c>
      <c r="S60" s="1">
        <v>0</v>
      </c>
      <c r="T60" s="15" t="str">
        <f t="shared" si="2"/>
        <v>PM</v>
      </c>
      <c r="U60" s="15" t="s">
        <v>383</v>
      </c>
      <c r="V60" s="15" t="s">
        <v>384</v>
      </c>
      <c r="W60" s="15" t="s">
        <v>385</v>
      </c>
      <c r="X60" s="15" t="s">
        <v>386</v>
      </c>
      <c r="Y60" s="15"/>
    </row>
    <row r="61" spans="1:25" ht="12.75" customHeight="1" x14ac:dyDescent="0.2">
      <c r="A61" s="23" t="s">
        <v>62</v>
      </c>
      <c r="B61" s="2" t="str">
        <f>A61&amp;COUNTIF($A$2:$A61,A61)</f>
        <v>Goblin6</v>
      </c>
      <c r="C61" s="2" t="s">
        <v>387</v>
      </c>
      <c r="D61" s="2" t="str">
        <f t="shared" si="0"/>
        <v>GoblinOoligan</v>
      </c>
      <c r="E61" s="2">
        <v>6</v>
      </c>
      <c r="F61" s="2">
        <v>2</v>
      </c>
      <c r="G61" s="2">
        <v>3</v>
      </c>
      <c r="H61" s="2">
        <v>6</v>
      </c>
      <c r="I61" s="2">
        <v>8</v>
      </c>
      <c r="J61" s="2" t="str">
        <f>IF('Pack Pro-Player'!$J$24="Español",V61,(IF('Pack Pro-Player'!$J$24="Deutsch",W61,(IF('Pack Pro-Player'!$J$24="Français",X61,U61)))))</f>
        <v>Juego sucio (+1), Presencia perturbadora, Esquivar, Humanoide bala, Escurridizo</v>
      </c>
      <c r="K61" s="1">
        <v>65000</v>
      </c>
      <c r="L61" s="1">
        <f t="shared" si="1"/>
        <v>65</v>
      </c>
      <c r="M61" s="2">
        <v>1</v>
      </c>
      <c r="N61" s="2">
        <v>0</v>
      </c>
      <c r="O61" s="1" t="s">
        <v>169</v>
      </c>
      <c r="P61" s="1" t="s">
        <v>170</v>
      </c>
      <c r="Q61" s="1" t="s">
        <v>169</v>
      </c>
      <c r="R61" s="1" t="s">
        <v>169</v>
      </c>
      <c r="S61" s="1">
        <v>0</v>
      </c>
      <c r="T61" s="15" t="str">
        <f t="shared" si="2"/>
        <v>M</v>
      </c>
      <c r="U61" s="15" t="s">
        <v>388</v>
      </c>
      <c r="V61" s="15" t="s">
        <v>389</v>
      </c>
      <c r="W61" s="15" t="s">
        <v>390</v>
      </c>
      <c r="X61" s="15" t="s">
        <v>391</v>
      </c>
      <c r="Y61" s="15"/>
    </row>
    <row r="62" spans="1:25" ht="12.75" customHeight="1" x14ac:dyDescent="0.2">
      <c r="A62" s="23" t="s">
        <v>62</v>
      </c>
      <c r="B62" s="2" t="str">
        <f>A62&amp;COUNTIF($A$2:$A62,A62)</f>
        <v>Goblin7</v>
      </c>
      <c r="C62" s="2" t="s">
        <v>392</v>
      </c>
      <c r="D62" s="2" t="str">
        <f t="shared" si="0"/>
        <v xml:space="preserve">GoblinFanatic </v>
      </c>
      <c r="E62" s="2">
        <v>3</v>
      </c>
      <c r="F62" s="2">
        <v>7</v>
      </c>
      <c r="G62" s="2">
        <v>3</v>
      </c>
      <c r="H62" s="2">
        <v>0</v>
      </c>
      <c r="I62" s="2">
        <v>8</v>
      </c>
      <c r="J62" s="2" t="str">
        <f>IF('Pack Pro-Player'!$J$24="Español",V62,(IF('Pack Pro-Player'!$J$24="Deutsch",W62,(IF('Pack Pro-Player'!$J$24="Français",X62,U62)))))</f>
        <v>Bola y cadena, Sin manos, Arma secreta, Escurridizo</v>
      </c>
      <c r="K62" s="1">
        <v>70000</v>
      </c>
      <c r="L62" s="1">
        <f t="shared" si="1"/>
        <v>70</v>
      </c>
      <c r="M62" s="2">
        <v>1</v>
      </c>
      <c r="N62" s="2">
        <v>0</v>
      </c>
      <c r="O62" s="1" t="s">
        <v>169</v>
      </c>
      <c r="P62" s="1" t="s">
        <v>169</v>
      </c>
      <c r="Q62" s="1" t="s">
        <v>170</v>
      </c>
      <c r="R62" s="12">
        <v>0</v>
      </c>
      <c r="S62" s="1">
        <v>0</v>
      </c>
      <c r="T62" s="15" t="str">
        <f t="shared" si="2"/>
        <v>PM</v>
      </c>
      <c r="U62" s="15" t="s">
        <v>393</v>
      </c>
      <c r="V62" s="15" t="s">
        <v>394</v>
      </c>
      <c r="W62" s="15" t="s">
        <v>395</v>
      </c>
      <c r="X62" s="15" t="s">
        <v>396</v>
      </c>
      <c r="Y62" s="15"/>
    </row>
    <row r="63" spans="1:25" ht="12.75" customHeight="1" x14ac:dyDescent="0.2">
      <c r="A63" s="23" t="s">
        <v>62</v>
      </c>
      <c r="B63" s="2" t="str">
        <f>A63&amp;COUNTIF($A$2:$A63,A63)</f>
        <v>Goblin8</v>
      </c>
      <c r="C63" s="2" t="s">
        <v>397</v>
      </c>
      <c r="D63" s="2" t="str">
        <f t="shared" si="0"/>
        <v>GoblinPogoer</v>
      </c>
      <c r="E63" s="2">
        <v>7</v>
      </c>
      <c r="F63" s="2">
        <v>2</v>
      </c>
      <c r="G63" s="2">
        <v>3</v>
      </c>
      <c r="H63" s="2">
        <v>5</v>
      </c>
      <c r="I63" s="2">
        <v>8</v>
      </c>
      <c r="J63" s="2" t="str">
        <f>IF('Pack Pro-Player'!$J$24="Español",V63,(IF('Pack Pro-Player'!$J$24="Deutsch",W63,(IF('Pack Pro-Player'!$J$24="Français",X63,U63)))))</f>
        <v>Esquivar, Pogo saltarín, Escurridizo</v>
      </c>
      <c r="K63" s="1">
        <v>75000</v>
      </c>
      <c r="L63" s="1">
        <f t="shared" si="1"/>
        <v>75</v>
      </c>
      <c r="M63" s="2">
        <v>1</v>
      </c>
      <c r="N63" s="2">
        <v>0</v>
      </c>
      <c r="O63" s="1" t="s">
        <v>169</v>
      </c>
      <c r="P63" s="1" t="s">
        <v>170</v>
      </c>
      <c r="Q63" s="1" t="s">
        <v>169</v>
      </c>
      <c r="R63" s="1" t="s">
        <v>169</v>
      </c>
      <c r="S63" s="1">
        <v>0</v>
      </c>
      <c r="T63" s="15" t="str">
        <f t="shared" si="2"/>
        <v>M</v>
      </c>
      <c r="U63" s="15" t="s">
        <v>398</v>
      </c>
      <c r="V63" s="15" t="s">
        <v>399</v>
      </c>
      <c r="W63" s="15" t="s">
        <v>400</v>
      </c>
      <c r="X63" s="15" t="s">
        <v>401</v>
      </c>
      <c r="Y63" s="15"/>
    </row>
    <row r="64" spans="1:25" ht="12.75" customHeight="1" x14ac:dyDescent="0.2">
      <c r="A64" s="23" t="s">
        <v>62</v>
      </c>
      <c r="B64" s="2" t="str">
        <f>A64&amp;COUNTIF($A$2:$A64,A64)</f>
        <v>Goblin9</v>
      </c>
      <c r="C64" s="2" t="s">
        <v>402</v>
      </c>
      <c r="D64" s="2" t="str">
        <f t="shared" si="0"/>
        <v xml:space="preserve">GoblinTroll </v>
      </c>
      <c r="E64" s="2">
        <v>4</v>
      </c>
      <c r="F64" s="2">
        <v>5</v>
      </c>
      <c r="G64" s="2">
        <v>5</v>
      </c>
      <c r="H64" s="2">
        <v>5</v>
      </c>
      <c r="I64" s="2">
        <v>10</v>
      </c>
      <c r="J64" s="2" t="str">
        <f>IF('Pack Pro-Player'!$J$24="Español",V64,(IF('Pack Pro-Player'!$J$24="Deutsch",W64,(IF('Pack Pro-Player'!$J$24="Français",X64,U64)))))</f>
        <v>Siempre hambriento, Solitario (3+), Golpe mortífero (+1), Proyectil de vómito, Realmente estúpido, Regeneración, Lanzar compañero</v>
      </c>
      <c r="K64" s="1">
        <v>115000</v>
      </c>
      <c r="L64" s="1">
        <f t="shared" si="1"/>
        <v>115</v>
      </c>
      <c r="M64" s="2">
        <v>2</v>
      </c>
      <c r="N64" s="2">
        <v>1</v>
      </c>
      <c r="O64" s="1" t="s">
        <v>169</v>
      </c>
      <c r="P64" s="1" t="s">
        <v>169</v>
      </c>
      <c r="Q64" s="1" t="s">
        <v>170</v>
      </c>
      <c r="R64" s="1" t="s">
        <v>169</v>
      </c>
      <c r="S64" s="1">
        <v>0</v>
      </c>
      <c r="T64" s="15" t="str">
        <f t="shared" si="2"/>
        <v>M</v>
      </c>
      <c r="U64" s="15" t="s">
        <v>254</v>
      </c>
      <c r="V64" s="15" t="s">
        <v>255</v>
      </c>
      <c r="W64" s="15" t="s">
        <v>256</v>
      </c>
      <c r="X64" s="15" t="s">
        <v>257</v>
      </c>
      <c r="Y64" s="15"/>
    </row>
    <row r="65" spans="1:25" ht="12.75" customHeight="1" x14ac:dyDescent="0.2">
      <c r="A65" s="23" t="s">
        <v>1431</v>
      </c>
      <c r="B65" s="2" t="str">
        <f>A65&amp;COUNTIF($A$2:$A65,A65)</f>
        <v>Gnome1</v>
      </c>
      <c r="C65" s="2"/>
      <c r="D65" s="2" t="str">
        <f t="shared" si="0"/>
        <v>Gnome</v>
      </c>
      <c r="E65" s="2">
        <v>0</v>
      </c>
      <c r="F65" s="2">
        <v>0</v>
      </c>
      <c r="G65" s="2">
        <v>0</v>
      </c>
      <c r="H65" s="2">
        <v>0</v>
      </c>
      <c r="I65" s="2">
        <v>0</v>
      </c>
      <c r="J65" s="2">
        <f>IF('Pack Pro-Player'!$J$24="Español",V65,(IF('Pack Pro-Player'!$J$24="Deutsch",W65,(IF('Pack Pro-Player'!$J$24="Français",X65,U65)))))</f>
        <v>0</v>
      </c>
      <c r="K65" s="1">
        <v>0</v>
      </c>
      <c r="L65" s="1">
        <f t="shared" si="1"/>
        <v>0</v>
      </c>
      <c r="M65" s="2">
        <v>0</v>
      </c>
      <c r="N65" s="2">
        <v>0</v>
      </c>
      <c r="O65" s="1"/>
      <c r="P65" s="1"/>
      <c r="Q65" s="1"/>
      <c r="R65" s="1"/>
      <c r="S65" s="1"/>
      <c r="T65" s="15" t="str">
        <f t="shared" si="2"/>
        <v/>
      </c>
      <c r="U65" s="15"/>
      <c r="V65" s="15"/>
      <c r="W65" s="15"/>
      <c r="X65" s="15"/>
      <c r="Y65" s="15"/>
    </row>
    <row r="66" spans="1:25" ht="12.75" customHeight="1" x14ac:dyDescent="0.2">
      <c r="A66" s="23" t="s">
        <v>1431</v>
      </c>
      <c r="B66" s="2" t="str">
        <f>A66&amp;COUNTIF($A$2:$A66,A66)</f>
        <v>Gnome2</v>
      </c>
      <c r="C66" s="2" t="s">
        <v>319</v>
      </c>
      <c r="D66" s="2" t="str">
        <f t="shared" si="0"/>
        <v>GnomeLineman</v>
      </c>
      <c r="E66" s="2">
        <v>5</v>
      </c>
      <c r="F66" s="2">
        <v>2</v>
      </c>
      <c r="G66" s="2">
        <v>3</v>
      </c>
      <c r="H66" s="2">
        <v>4</v>
      </c>
      <c r="I66" s="2">
        <v>7</v>
      </c>
      <c r="J66" s="2" t="str">
        <f>IF('Pack Pro-Player'!$J$24="Español",V66,(IF('Pack Pro-Player'!$J$24="Deutsch",W66,(IF('Pack Pro-Player'!$J$24="Français",X66,U66)))))</f>
        <v>En pie de un salto, Humanoide bala, Escurridizo, Forcejear</v>
      </c>
      <c r="K66" s="1">
        <v>40000</v>
      </c>
      <c r="L66" s="1">
        <f t="shared" si="1"/>
        <v>40</v>
      </c>
      <c r="M66" s="2">
        <v>16</v>
      </c>
      <c r="N66" s="2">
        <v>0</v>
      </c>
      <c r="O66" s="1" t="s">
        <v>169</v>
      </c>
      <c r="P66" s="1" t="s">
        <v>170</v>
      </c>
      <c r="Q66" s="1" t="s">
        <v>169</v>
      </c>
      <c r="R66" s="1" t="s">
        <v>169</v>
      </c>
      <c r="S66" s="1">
        <v>0</v>
      </c>
      <c r="T66" s="15" t="str">
        <f t="shared" si="2"/>
        <v>M</v>
      </c>
      <c r="U66" s="15" t="s">
        <v>1437</v>
      </c>
      <c r="V66" s="15" t="s">
        <v>1441</v>
      </c>
      <c r="W66" s="15" t="s">
        <v>1442</v>
      </c>
      <c r="X66" s="15" t="s">
        <v>1443</v>
      </c>
      <c r="Y66" s="15"/>
    </row>
    <row r="67" spans="1:25" ht="12.75" customHeight="1" x14ac:dyDescent="0.2">
      <c r="A67" s="23" t="s">
        <v>1431</v>
      </c>
      <c r="B67" s="2" t="str">
        <f>A67&amp;COUNTIF($A$2:$A67,A67)</f>
        <v>Gnome3</v>
      </c>
      <c r="C67" s="2" t="s">
        <v>1433</v>
      </c>
      <c r="D67" s="2" t="str">
        <f t="shared" si="0"/>
        <v>GnomeIllusionist</v>
      </c>
      <c r="E67" s="2">
        <v>5</v>
      </c>
      <c r="F67" s="2">
        <v>2</v>
      </c>
      <c r="G67" s="2">
        <v>3</v>
      </c>
      <c r="H67" s="2">
        <v>3</v>
      </c>
      <c r="I67" s="2">
        <v>7</v>
      </c>
      <c r="J67" s="2" t="str">
        <f>IF('Pack Pro-Player'!$J$24="Español",V67,(IF('Pack Pro-Player'!$J$24="Deutsch",W67,(IF('Pack Pro-Player'!$J$24="Français",X67,U67)))))</f>
        <v>En pie de un salto, Escurridizo, Embaucador, Forcejear</v>
      </c>
      <c r="K67" s="1">
        <v>50000</v>
      </c>
      <c r="L67" s="1">
        <f t="shared" si="1"/>
        <v>50</v>
      </c>
      <c r="M67" s="2">
        <v>2</v>
      </c>
      <c r="N67" s="2">
        <v>0</v>
      </c>
      <c r="O67" s="1" t="s">
        <v>169</v>
      </c>
      <c r="P67" s="1" t="s">
        <v>170</v>
      </c>
      <c r="Q67" s="1" t="s">
        <v>169</v>
      </c>
      <c r="R67" s="1" t="s">
        <v>169</v>
      </c>
      <c r="S67" s="1">
        <v>0</v>
      </c>
      <c r="T67" s="15" t="str">
        <f t="shared" ref="T67:T130" si="7">IF(K67=0,"",(IF(O67=0,"GPSM",(IF(AND(R67=0,S67=0),"PM",(IF(S67=0,"M",(IF(R67=0,"P","FULL")))))))))</f>
        <v>M</v>
      </c>
      <c r="U67" s="15" t="s">
        <v>1438</v>
      </c>
      <c r="V67" s="15" t="s">
        <v>1491</v>
      </c>
      <c r="W67" s="15" t="s">
        <v>1492</v>
      </c>
      <c r="X67" s="15" t="s">
        <v>1493</v>
      </c>
      <c r="Y67" s="15"/>
    </row>
    <row r="68" spans="1:25" ht="12.75" customHeight="1" x14ac:dyDescent="0.2">
      <c r="A68" s="23" t="s">
        <v>1431</v>
      </c>
      <c r="B68" s="2" t="str">
        <f>A68&amp;COUNTIF($A$2:$A68,A68)</f>
        <v>Gnome4</v>
      </c>
      <c r="C68" s="2" t="s">
        <v>1434</v>
      </c>
      <c r="D68" s="2" t="str">
        <f t="shared" si="0"/>
        <v>GnomeWoodland Fox</v>
      </c>
      <c r="E68" s="2">
        <v>7</v>
      </c>
      <c r="F68" s="2">
        <v>2</v>
      </c>
      <c r="G68" s="2">
        <v>2</v>
      </c>
      <c r="H68" s="2">
        <v>0</v>
      </c>
      <c r="I68" s="2">
        <v>6</v>
      </c>
      <c r="J68" s="2" t="str">
        <f>IF('Pack Pro-Player'!$J$24="Español",V68,(IF('Pack Pro-Player'!$J$24="Deutsch",W68,(IF('Pack Pro-Player'!$J$24="Français",X68,U68)))))</f>
        <v>Esquivar, Mi balón, Echarse a un lado, Escurridizo</v>
      </c>
      <c r="K68" s="1">
        <v>50000</v>
      </c>
      <c r="L68" s="1">
        <f t="shared" si="1"/>
        <v>50</v>
      </c>
      <c r="M68" s="2">
        <v>2</v>
      </c>
      <c r="N68" s="2">
        <v>0</v>
      </c>
      <c r="O68" s="1">
        <v>0</v>
      </c>
      <c r="P68" s="1" t="s">
        <v>169</v>
      </c>
      <c r="Q68" s="1">
        <v>0</v>
      </c>
      <c r="R68" s="1">
        <v>0</v>
      </c>
      <c r="S68" s="1">
        <v>0</v>
      </c>
      <c r="T68" s="15" t="str">
        <f t="shared" si="7"/>
        <v>GPSM</v>
      </c>
      <c r="U68" s="15" t="s">
        <v>1439</v>
      </c>
      <c r="V68" s="15" t="s">
        <v>1444</v>
      </c>
      <c r="W68" s="15" t="s">
        <v>1445</v>
      </c>
      <c r="X68" s="15" t="s">
        <v>1446</v>
      </c>
      <c r="Y68" s="15"/>
    </row>
    <row r="69" spans="1:25" ht="12.75" customHeight="1" x14ac:dyDescent="0.2">
      <c r="A69" s="23" t="s">
        <v>1431</v>
      </c>
      <c r="B69" s="2" t="str">
        <f>A69&amp;COUNTIF($A$2:$A69,A69)</f>
        <v>Gnome5</v>
      </c>
      <c r="C69" s="2" t="s">
        <v>1435</v>
      </c>
      <c r="D69" s="2" t="str">
        <f t="shared" si="0"/>
        <v>GnomeBeastmaster</v>
      </c>
      <c r="E69" s="2">
        <v>5</v>
      </c>
      <c r="F69" s="2">
        <v>2</v>
      </c>
      <c r="G69" s="2">
        <v>3</v>
      </c>
      <c r="H69" s="2">
        <v>4</v>
      </c>
      <c r="I69" s="2">
        <v>8</v>
      </c>
      <c r="J69" s="2" t="str">
        <f>IF('Pack Pro-Player'!$J$24="Español",V69,(IF('Pack Pro-Player'!$J$24="Deutsch",W69,(IF('Pack Pro-Player'!$J$24="Français",X69,U69)))))</f>
        <v>Defensa, En pie de un salto, Escurridizo, Forcejear</v>
      </c>
      <c r="K69" s="1">
        <v>55000</v>
      </c>
      <c r="L69" s="1">
        <f t="shared" si="1"/>
        <v>55</v>
      </c>
      <c r="M69" s="2">
        <v>2</v>
      </c>
      <c r="N69" s="2">
        <v>0</v>
      </c>
      <c r="O69" s="1" t="s">
        <v>169</v>
      </c>
      <c r="P69" s="1" t="s">
        <v>170</v>
      </c>
      <c r="Q69" s="1" t="s">
        <v>169</v>
      </c>
      <c r="R69" s="1" t="s">
        <v>169</v>
      </c>
      <c r="S69" s="1">
        <v>0</v>
      </c>
      <c r="T69" s="15" t="str">
        <f t="shared" si="7"/>
        <v>M</v>
      </c>
      <c r="U69" s="15" t="s">
        <v>1440</v>
      </c>
      <c r="V69" s="15" t="s">
        <v>1447</v>
      </c>
      <c r="W69" s="15" t="s">
        <v>1448</v>
      </c>
      <c r="X69" s="15" t="s">
        <v>1449</v>
      </c>
      <c r="Y69" s="15"/>
    </row>
    <row r="70" spans="1:25" ht="12.75" customHeight="1" x14ac:dyDescent="0.2">
      <c r="A70" s="23" t="s">
        <v>1431</v>
      </c>
      <c r="B70" s="2" t="str">
        <f>A70&amp;COUNTIF($A$2:$A70,A70)</f>
        <v>Gnome6</v>
      </c>
      <c r="C70" s="2" t="s">
        <v>1436</v>
      </c>
      <c r="D70" s="2" t="str">
        <f t="shared" si="0"/>
        <v>GnomeAltern Forest Treeman</v>
      </c>
      <c r="E70" s="2">
        <v>2</v>
      </c>
      <c r="F70" s="2">
        <v>6</v>
      </c>
      <c r="G70" s="2">
        <v>5</v>
      </c>
      <c r="H70" s="2">
        <v>5</v>
      </c>
      <c r="I70" s="2">
        <v>11</v>
      </c>
      <c r="J70" s="2" t="str">
        <f>IF('Pack Pro-Player'!$J$24="Español",V70,(IF('Pack Pro-Player'!$J$24="Deutsch",W70,(IF('Pack Pro-Player'!$J$24="Français",X70,U70)))))</f>
        <v>Golpe mortífero (+1), Mantenerse firme, Brazo fuerte, Echar raíces, Cabeza dura, Lanzar compañero, ¡Tronco va!</v>
      </c>
      <c r="K70" s="1">
        <v>120000</v>
      </c>
      <c r="L70" s="1">
        <f t="shared" si="1"/>
        <v>120</v>
      </c>
      <c r="M70" s="2">
        <v>2</v>
      </c>
      <c r="N70" s="2">
        <v>1</v>
      </c>
      <c r="O70" s="1" t="s">
        <v>169</v>
      </c>
      <c r="P70" s="1" t="s">
        <v>169</v>
      </c>
      <c r="Q70" s="1" t="s">
        <v>170</v>
      </c>
      <c r="R70" s="1" t="s">
        <v>169</v>
      </c>
      <c r="S70" s="1">
        <v>0</v>
      </c>
      <c r="T70" s="15" t="str">
        <f t="shared" si="7"/>
        <v>M</v>
      </c>
      <c r="U70" s="15" t="s">
        <v>415</v>
      </c>
      <c r="V70" s="15" t="s">
        <v>416</v>
      </c>
      <c r="W70" s="15" t="s">
        <v>1090</v>
      </c>
      <c r="X70" s="15" t="s">
        <v>417</v>
      </c>
      <c r="Y70" s="15"/>
    </row>
    <row r="71" spans="1:25" ht="12.75" customHeight="1" x14ac:dyDescent="0.2">
      <c r="A71" s="23" t="s">
        <v>67</v>
      </c>
      <c r="B71" s="2" t="str">
        <f>A71&amp;COUNTIF($A$2:$A71,A71)</f>
        <v>Halfling1</v>
      </c>
      <c r="C71" s="2" t="str">
        <f>""</f>
        <v/>
      </c>
      <c r="D71" s="2" t="str">
        <f t="shared" si="0"/>
        <v>Halfling</v>
      </c>
      <c r="E71" s="2">
        <v>0</v>
      </c>
      <c r="F71" s="2">
        <v>0</v>
      </c>
      <c r="G71" s="2">
        <v>0</v>
      </c>
      <c r="H71" s="2">
        <v>0</v>
      </c>
      <c r="I71" s="2">
        <v>0</v>
      </c>
      <c r="J71" s="2">
        <f>IF('Pack Pro-Player'!$J$24="Español",V71,(IF('Pack Pro-Player'!$J$24="Deutsch",W71,(IF('Pack Pro-Player'!$J$24="Français",X71,U71)))))</f>
        <v>0</v>
      </c>
      <c r="K71" s="1">
        <v>0</v>
      </c>
      <c r="L71" s="1">
        <f t="shared" si="1"/>
        <v>0</v>
      </c>
      <c r="M71" s="1">
        <v>0</v>
      </c>
      <c r="N71" s="1">
        <v>0</v>
      </c>
      <c r="O71" s="1"/>
      <c r="P71" s="1"/>
      <c r="Q71" s="1"/>
      <c r="R71" s="1"/>
      <c r="S71" s="1"/>
      <c r="T71" s="15" t="str">
        <f t="shared" si="7"/>
        <v/>
      </c>
      <c r="U71" s="15">
        <v>0</v>
      </c>
      <c r="V71" s="15">
        <v>0</v>
      </c>
      <c r="W71" s="15">
        <v>0</v>
      </c>
      <c r="X71" s="15">
        <v>0</v>
      </c>
      <c r="Y71" s="15">
        <v>0</v>
      </c>
    </row>
    <row r="72" spans="1:25" ht="12.75" customHeight="1" x14ac:dyDescent="0.2">
      <c r="A72" s="23" t="s">
        <v>67</v>
      </c>
      <c r="B72" s="2" t="str">
        <f>A72&amp;COUNTIF($A$2:$A72,A72)</f>
        <v>Halfling2</v>
      </c>
      <c r="C72" s="2" t="s">
        <v>403</v>
      </c>
      <c r="D72" s="2" t="str">
        <f t="shared" si="0"/>
        <v>HalflingHalfling Hopeful</v>
      </c>
      <c r="E72" s="2">
        <v>5</v>
      </c>
      <c r="F72" s="2">
        <v>2</v>
      </c>
      <c r="G72" s="2">
        <v>3</v>
      </c>
      <c r="H72" s="2">
        <v>4</v>
      </c>
      <c r="I72" s="2">
        <v>7</v>
      </c>
      <c r="J72" s="2" t="str">
        <f>IF('Pack Pro-Player'!$J$24="Español",V72,(IF('Pack Pro-Player'!$J$24="Deutsch",W72,(IF('Pack Pro-Player'!$J$24="Français",X72,U72)))))</f>
        <v>Esquivar, Humanoide bala, Escurridizo</v>
      </c>
      <c r="K72" s="1">
        <v>30000</v>
      </c>
      <c r="L72" s="1">
        <f t="shared" si="1"/>
        <v>30</v>
      </c>
      <c r="M72" s="2">
        <v>16</v>
      </c>
      <c r="N72" s="2">
        <v>0</v>
      </c>
      <c r="O72" s="1" t="s">
        <v>169</v>
      </c>
      <c r="P72" s="1" t="s">
        <v>170</v>
      </c>
      <c r="Q72" s="1" t="s">
        <v>169</v>
      </c>
      <c r="R72" s="1">
        <v>0</v>
      </c>
      <c r="S72" s="1">
        <v>0</v>
      </c>
      <c r="T72" s="15" t="str">
        <f t="shared" si="7"/>
        <v>PM</v>
      </c>
      <c r="U72" s="15" t="s">
        <v>368</v>
      </c>
      <c r="V72" s="15" t="s">
        <v>369</v>
      </c>
      <c r="W72" s="15" t="s">
        <v>370</v>
      </c>
      <c r="X72" s="15" t="s">
        <v>371</v>
      </c>
      <c r="Y72" s="15"/>
    </row>
    <row r="73" spans="1:25" ht="12.75" customHeight="1" x14ac:dyDescent="0.2">
      <c r="A73" s="23" t="s">
        <v>67</v>
      </c>
      <c r="B73" s="2" t="str">
        <f>A73&amp;COUNTIF($A$2:$A73,A73)</f>
        <v>Halfling3</v>
      </c>
      <c r="C73" s="2" t="s">
        <v>404</v>
      </c>
      <c r="D73" s="2" t="str">
        <f t="shared" si="0"/>
        <v>HalflingHalfling Catcher</v>
      </c>
      <c r="E73" s="2">
        <v>5</v>
      </c>
      <c r="F73" s="2">
        <v>2</v>
      </c>
      <c r="G73" s="2">
        <v>3</v>
      </c>
      <c r="H73" s="2">
        <v>5</v>
      </c>
      <c r="I73" s="2">
        <v>7</v>
      </c>
      <c r="J73" s="2" t="str">
        <f>IF('Pack Pro-Player'!$J$24="Español",V73,(IF('Pack Pro-Player'!$J$24="Deutsch",W73,(IF('Pack Pro-Player'!$J$24="Français",X73,U73)))))</f>
        <v>Atrapar, Esquivar, Humanoide bala, Esprintar, Escurridizo</v>
      </c>
      <c r="K73" s="1">
        <v>55000</v>
      </c>
      <c r="L73" s="1">
        <f t="shared" si="1"/>
        <v>55</v>
      </c>
      <c r="M73" s="2">
        <v>2</v>
      </c>
      <c r="N73" s="2">
        <v>0</v>
      </c>
      <c r="O73" s="1" t="s">
        <v>169</v>
      </c>
      <c r="P73" s="1" t="s">
        <v>170</v>
      </c>
      <c r="Q73" s="1" t="s">
        <v>169</v>
      </c>
      <c r="R73" s="1">
        <v>0</v>
      </c>
      <c r="S73" s="1">
        <v>0</v>
      </c>
      <c r="T73" s="15" t="str">
        <f t="shared" si="7"/>
        <v>PM</v>
      </c>
      <c r="U73" s="15" t="s">
        <v>405</v>
      </c>
      <c r="V73" s="15" t="s">
        <v>406</v>
      </c>
      <c r="W73" s="15" t="s">
        <v>407</v>
      </c>
      <c r="X73" s="15" t="s">
        <v>408</v>
      </c>
      <c r="Y73" s="15"/>
    </row>
    <row r="74" spans="1:25" ht="12.75" customHeight="1" x14ac:dyDescent="0.2">
      <c r="A74" s="23" t="s">
        <v>67</v>
      </c>
      <c r="B74" s="2" t="str">
        <f>A74&amp;COUNTIF($A$2:$A74,A74)</f>
        <v>Halfling4</v>
      </c>
      <c r="C74" s="2" t="s">
        <v>409</v>
      </c>
      <c r="D74" s="2" t="str">
        <f t="shared" si="0"/>
        <v>HalflingHalfling Hefty</v>
      </c>
      <c r="E74" s="2">
        <v>5</v>
      </c>
      <c r="F74" s="2">
        <v>2</v>
      </c>
      <c r="G74" s="2">
        <v>3</v>
      </c>
      <c r="H74" s="2">
        <v>3</v>
      </c>
      <c r="I74" s="2">
        <v>8</v>
      </c>
      <c r="J74" s="2" t="str">
        <f>IF('Pack Pro-Player'!$J$24="Español",V74,(IF('Pack Pro-Player'!$J$24="Deutsch",W74,(IF('Pack Pro-Player'!$J$24="Français",X74,U74)))))</f>
        <v>Esquivar, Zafarse, Escurridizo</v>
      </c>
      <c r="K74" s="1">
        <v>50000</v>
      </c>
      <c r="L74" s="1">
        <f t="shared" si="1"/>
        <v>50</v>
      </c>
      <c r="M74" s="1">
        <v>2</v>
      </c>
      <c r="N74" s="1">
        <v>0</v>
      </c>
      <c r="O74" s="1" t="s">
        <v>169</v>
      </c>
      <c r="P74" s="1" t="s">
        <v>170</v>
      </c>
      <c r="Q74" s="1" t="s">
        <v>169</v>
      </c>
      <c r="R74" s="1" t="s">
        <v>170</v>
      </c>
      <c r="S74" s="1">
        <v>0</v>
      </c>
      <c r="T74" s="15" t="str">
        <f t="shared" si="7"/>
        <v>M</v>
      </c>
      <c r="U74" s="15" t="s">
        <v>410</v>
      </c>
      <c r="V74" s="15" t="s">
        <v>411</v>
      </c>
      <c r="W74" s="15" t="s">
        <v>412</v>
      </c>
      <c r="X74" s="15" t="s">
        <v>413</v>
      </c>
      <c r="Y74" s="15"/>
    </row>
    <row r="75" spans="1:25" ht="12.75" customHeight="1" x14ac:dyDescent="0.2">
      <c r="A75" s="23" t="s">
        <v>67</v>
      </c>
      <c r="B75" s="2" t="str">
        <f>A75&amp;COUNTIF($A$2:$A75,A75)</f>
        <v>Halfling5</v>
      </c>
      <c r="C75" s="2" t="s">
        <v>414</v>
      </c>
      <c r="D75" s="2" t="str">
        <f t="shared" si="0"/>
        <v>HalflingForest Treeman</v>
      </c>
      <c r="E75" s="2">
        <v>2</v>
      </c>
      <c r="F75" s="2">
        <v>6</v>
      </c>
      <c r="G75" s="2">
        <v>5</v>
      </c>
      <c r="H75" s="2">
        <v>5</v>
      </c>
      <c r="I75" s="2">
        <v>11</v>
      </c>
      <c r="J75" s="2" t="str">
        <f>IF('Pack Pro-Player'!$J$24="Español",V75,(IF('Pack Pro-Player'!$J$24="Deutsch",W75,(IF('Pack Pro-Player'!$J$24="Français",X75,U75)))))</f>
        <v>Golpe mortífero (+1), Mantenerse firme, Brazo fuerte, Echar raíces, Cabeza dura, Lanzar compañero, ¡Tronco va!</v>
      </c>
      <c r="K75" s="1">
        <v>120000</v>
      </c>
      <c r="L75" s="1">
        <f t="shared" si="1"/>
        <v>120</v>
      </c>
      <c r="M75" s="1">
        <v>2</v>
      </c>
      <c r="N75" s="1">
        <v>1</v>
      </c>
      <c r="O75" s="1" t="s">
        <v>169</v>
      </c>
      <c r="P75" s="1" t="s">
        <v>169</v>
      </c>
      <c r="Q75" s="1" t="s">
        <v>170</v>
      </c>
      <c r="R75" s="1" t="s">
        <v>169</v>
      </c>
      <c r="S75" s="1">
        <v>0</v>
      </c>
      <c r="T75" s="15" t="str">
        <f t="shared" si="7"/>
        <v>M</v>
      </c>
      <c r="U75" s="15" t="s">
        <v>415</v>
      </c>
      <c r="V75" s="15" t="s">
        <v>416</v>
      </c>
      <c r="W75" s="15" t="s">
        <v>1090</v>
      </c>
      <c r="X75" s="15" t="s">
        <v>417</v>
      </c>
      <c r="Y75" s="15"/>
    </row>
    <row r="76" spans="1:25" ht="12.75" customHeight="1" x14ac:dyDescent="0.2">
      <c r="A76" s="23" t="s">
        <v>72</v>
      </c>
      <c r="B76" s="2" t="str">
        <f>A76&amp;COUNTIF($A$2:$A76,A76)</f>
        <v>High Elf1</v>
      </c>
      <c r="C76" s="2" t="str">
        <f>""</f>
        <v/>
      </c>
      <c r="D76" s="2" t="str">
        <f t="shared" si="0"/>
        <v>High Elf</v>
      </c>
      <c r="E76" s="2">
        <v>0</v>
      </c>
      <c r="F76" s="2">
        <v>0</v>
      </c>
      <c r="G76" s="2">
        <v>0</v>
      </c>
      <c r="H76" s="2">
        <v>0</v>
      </c>
      <c r="I76" s="2">
        <v>0</v>
      </c>
      <c r="J76" s="2">
        <f>IF('Pack Pro-Player'!$J$24="Español",V76,(IF('Pack Pro-Player'!$J$24="Deutsch",W76,(IF('Pack Pro-Player'!$J$24="Français",X76,U76)))))</f>
        <v>0</v>
      </c>
      <c r="K76" s="1">
        <v>0</v>
      </c>
      <c r="L76" s="1">
        <f t="shared" si="1"/>
        <v>0</v>
      </c>
      <c r="M76" s="1">
        <v>0</v>
      </c>
      <c r="N76" s="1">
        <v>0</v>
      </c>
      <c r="O76" s="1"/>
      <c r="P76" s="1"/>
      <c r="Q76" s="1"/>
      <c r="R76" s="1"/>
      <c r="S76" s="1"/>
      <c r="T76" s="15" t="str">
        <f t="shared" si="7"/>
        <v/>
      </c>
      <c r="U76" s="15">
        <v>0</v>
      </c>
      <c r="V76" s="15">
        <v>0</v>
      </c>
      <c r="W76" s="15">
        <v>0</v>
      </c>
      <c r="X76" s="15">
        <v>0</v>
      </c>
      <c r="Y76" s="15">
        <v>0</v>
      </c>
    </row>
    <row r="77" spans="1:25" ht="12.75" customHeight="1" x14ac:dyDescent="0.2">
      <c r="A77" s="23" t="s">
        <v>72</v>
      </c>
      <c r="B77" s="2" t="str">
        <f>A77&amp;COUNTIF($A$2:$A77,A77)</f>
        <v>High Elf2</v>
      </c>
      <c r="C77" s="2" t="s">
        <v>319</v>
      </c>
      <c r="D77" s="2" t="str">
        <f t="shared" si="0"/>
        <v>High ElfLineman</v>
      </c>
      <c r="E77" s="2">
        <v>6</v>
      </c>
      <c r="F77" s="2">
        <v>3</v>
      </c>
      <c r="G77" s="2">
        <v>2</v>
      </c>
      <c r="H77" s="2">
        <v>4</v>
      </c>
      <c r="I77" s="2">
        <v>9</v>
      </c>
      <c r="J77" s="2" t="str">
        <f>IF('Pack Pro-Player'!$J$24="Español",V77,(IF('Pack Pro-Player'!$J$24="Deutsch",W77,(IF('Pack Pro-Player'!$J$24="Français",X77,U77)))))</f>
        <v/>
      </c>
      <c r="K77" s="1">
        <v>70000</v>
      </c>
      <c r="L77" s="1">
        <f t="shared" si="1"/>
        <v>70</v>
      </c>
      <c r="M77" s="2">
        <v>16</v>
      </c>
      <c r="N77" s="2">
        <v>0</v>
      </c>
      <c r="O77" s="1" t="s">
        <v>170</v>
      </c>
      <c r="P77" s="1" t="s">
        <v>170</v>
      </c>
      <c r="Q77" s="1" t="s">
        <v>169</v>
      </c>
      <c r="R77" s="1" t="s">
        <v>169</v>
      </c>
      <c r="S77" s="1">
        <v>0</v>
      </c>
      <c r="T77" s="15" t="str">
        <f t="shared" si="7"/>
        <v>M</v>
      </c>
      <c r="U77" s="15" t="str">
        <f t="shared" ref="U77:Y77" si="8">""</f>
        <v/>
      </c>
      <c r="V77" s="15" t="str">
        <f t="shared" si="8"/>
        <v/>
      </c>
      <c r="W77" s="15" t="str">
        <f t="shared" si="8"/>
        <v/>
      </c>
      <c r="X77" s="15" t="str">
        <f t="shared" si="8"/>
        <v/>
      </c>
      <c r="Y77" s="15" t="str">
        <f t="shared" si="8"/>
        <v/>
      </c>
    </row>
    <row r="78" spans="1:25" ht="12.75" customHeight="1" x14ac:dyDescent="0.2">
      <c r="A78" s="23" t="s">
        <v>72</v>
      </c>
      <c r="B78" s="2" t="str">
        <f>A78&amp;COUNTIF($A$2:$A78,A78)</f>
        <v>High Elf3</v>
      </c>
      <c r="C78" s="2" t="s">
        <v>241</v>
      </c>
      <c r="D78" s="2" t="str">
        <f t="shared" si="0"/>
        <v>High ElfThrower</v>
      </c>
      <c r="E78" s="2">
        <v>6</v>
      </c>
      <c r="F78" s="2">
        <v>3</v>
      </c>
      <c r="G78" s="2">
        <v>2</v>
      </c>
      <c r="H78" s="2">
        <v>2</v>
      </c>
      <c r="I78" s="2">
        <v>9</v>
      </c>
      <c r="J78" s="2" t="str">
        <f>IF('Pack Pro-Player'!$J$24="Español",V78,(IF('Pack Pro-Player'!$J$24="Deutsch",W78,(IF('Pack Pro-Player'!$J$24="Français",X78,U78)))))</f>
        <v>Partenubes, Pasar, Pase seguro</v>
      </c>
      <c r="K78" s="1">
        <v>100000</v>
      </c>
      <c r="L78" s="1">
        <f t="shared" si="1"/>
        <v>100</v>
      </c>
      <c r="M78" s="2">
        <v>2</v>
      </c>
      <c r="N78" s="2">
        <v>0</v>
      </c>
      <c r="O78" s="1" t="s">
        <v>170</v>
      </c>
      <c r="P78" s="1" t="s">
        <v>170</v>
      </c>
      <c r="Q78" s="1" t="s">
        <v>169</v>
      </c>
      <c r="R78" s="1" t="s">
        <v>170</v>
      </c>
      <c r="S78" s="1">
        <v>0</v>
      </c>
      <c r="T78" s="15" t="str">
        <f t="shared" si="7"/>
        <v>M</v>
      </c>
      <c r="U78" s="15" t="s">
        <v>418</v>
      </c>
      <c r="V78" s="15" t="s">
        <v>419</v>
      </c>
      <c r="W78" s="15" t="s">
        <v>420</v>
      </c>
      <c r="X78" s="15" t="s">
        <v>421</v>
      </c>
      <c r="Y78" s="15"/>
    </row>
    <row r="79" spans="1:25" ht="12.75" customHeight="1" x14ac:dyDescent="0.2">
      <c r="A79" s="23" t="s">
        <v>72</v>
      </c>
      <c r="B79" s="2" t="str">
        <f>A79&amp;COUNTIF($A$2:$A79,A79)</f>
        <v>High Elf4</v>
      </c>
      <c r="C79" s="2" t="s">
        <v>242</v>
      </c>
      <c r="D79" s="2" t="str">
        <f t="shared" si="0"/>
        <v>High ElfCatcher</v>
      </c>
      <c r="E79" s="2">
        <v>8</v>
      </c>
      <c r="F79" s="2">
        <v>3</v>
      </c>
      <c r="G79" s="2">
        <v>2</v>
      </c>
      <c r="H79" s="2">
        <v>5</v>
      </c>
      <c r="I79" s="2">
        <v>8</v>
      </c>
      <c r="J79" s="2" t="str">
        <f>IF('Pack Pro-Player'!$J$24="Español",V79,(IF('Pack Pro-Player'!$J$24="Deutsch",W79,(IF('Pack Pro-Player'!$J$24="Français",X79,U79)))))</f>
        <v>Atrapar</v>
      </c>
      <c r="K79" s="1">
        <v>90000</v>
      </c>
      <c r="L79" s="1">
        <f t="shared" si="1"/>
        <v>90</v>
      </c>
      <c r="M79" s="2">
        <v>4</v>
      </c>
      <c r="N79" s="2">
        <v>0</v>
      </c>
      <c r="O79" s="1" t="s">
        <v>170</v>
      </c>
      <c r="P79" s="1" t="s">
        <v>170</v>
      </c>
      <c r="Q79" s="1" t="s">
        <v>169</v>
      </c>
      <c r="R79" s="1">
        <v>0</v>
      </c>
      <c r="S79" s="1">
        <v>0</v>
      </c>
      <c r="T79" s="15" t="str">
        <f t="shared" si="7"/>
        <v>PM</v>
      </c>
      <c r="U79" s="15" t="s">
        <v>422</v>
      </c>
      <c r="V79" s="15" t="s">
        <v>423</v>
      </c>
      <c r="W79" s="15" t="s">
        <v>424</v>
      </c>
      <c r="X79" s="15" t="s">
        <v>425</v>
      </c>
      <c r="Y79" s="15"/>
    </row>
    <row r="80" spans="1:25" ht="12.75" customHeight="1" x14ac:dyDescent="0.2">
      <c r="A80" s="23" t="s">
        <v>72</v>
      </c>
      <c r="B80" s="2" t="str">
        <f>A80&amp;COUNTIF($A$2:$A80,A80)</f>
        <v>High Elf5</v>
      </c>
      <c r="C80" s="2" t="s">
        <v>243</v>
      </c>
      <c r="D80" s="2" t="str">
        <f t="shared" si="0"/>
        <v>High ElfBlitzer</v>
      </c>
      <c r="E80" s="2">
        <v>7</v>
      </c>
      <c r="F80" s="2">
        <v>3</v>
      </c>
      <c r="G80" s="2">
        <v>2</v>
      </c>
      <c r="H80" s="2">
        <v>4</v>
      </c>
      <c r="I80" s="2">
        <v>9</v>
      </c>
      <c r="J80" s="2" t="str">
        <f>IF('Pack Pro-Player'!$J$24="Español",V80,(IF('Pack Pro-Player'!$J$24="Deutsch",W80,(IF('Pack Pro-Player'!$J$24="Français",X80,U80)))))</f>
        <v>Placar</v>
      </c>
      <c r="K80" s="1">
        <v>100000</v>
      </c>
      <c r="L80" s="1">
        <f t="shared" si="1"/>
        <v>100</v>
      </c>
      <c r="M80" s="2">
        <v>2</v>
      </c>
      <c r="N80" s="2">
        <v>0</v>
      </c>
      <c r="O80" s="1" t="s">
        <v>170</v>
      </c>
      <c r="P80" s="1" t="s">
        <v>170</v>
      </c>
      <c r="Q80" s="1" t="s">
        <v>169</v>
      </c>
      <c r="R80" s="1" t="s">
        <v>169</v>
      </c>
      <c r="S80" s="1">
        <v>0</v>
      </c>
      <c r="T80" s="15" t="str">
        <f t="shared" si="7"/>
        <v>M</v>
      </c>
      <c r="U80" s="15" t="s">
        <v>330</v>
      </c>
      <c r="V80" s="15" t="s">
        <v>331</v>
      </c>
      <c r="W80" s="15" t="s">
        <v>330</v>
      </c>
      <c r="X80" s="15" t="s">
        <v>332</v>
      </c>
      <c r="Y80" s="15"/>
    </row>
    <row r="81" spans="1:25" ht="12.75" customHeight="1" x14ac:dyDescent="0.2">
      <c r="A81" s="23" t="s">
        <v>77</v>
      </c>
      <c r="B81" s="2" t="str">
        <f>A81&amp;COUNTIF($A$2:$A81,A81)</f>
        <v>Human1</v>
      </c>
      <c r="C81" s="2" t="str">
        <f>""</f>
        <v/>
      </c>
      <c r="D81" s="2" t="str">
        <f t="shared" si="0"/>
        <v>Human</v>
      </c>
      <c r="E81" s="2">
        <v>0</v>
      </c>
      <c r="F81" s="2">
        <v>0</v>
      </c>
      <c r="G81" s="2">
        <v>0</v>
      </c>
      <c r="H81" s="2">
        <v>0</v>
      </c>
      <c r="I81" s="2">
        <v>0</v>
      </c>
      <c r="J81" s="2">
        <f>IF('Pack Pro-Player'!$J$24="Español",V81,(IF('Pack Pro-Player'!$J$24="Deutsch",W81,(IF('Pack Pro-Player'!$J$24="Français",X81,U81)))))</f>
        <v>0</v>
      </c>
      <c r="K81" s="1">
        <v>0</v>
      </c>
      <c r="L81" s="1">
        <f t="shared" si="1"/>
        <v>0</v>
      </c>
      <c r="M81" s="1">
        <v>0</v>
      </c>
      <c r="N81" s="1">
        <v>0</v>
      </c>
      <c r="O81" s="1"/>
      <c r="P81" s="1"/>
      <c r="Q81" s="1"/>
      <c r="R81" s="1"/>
      <c r="S81" s="1"/>
      <c r="T81" s="15" t="str">
        <f t="shared" si="7"/>
        <v/>
      </c>
      <c r="U81" s="15">
        <v>0</v>
      </c>
      <c r="V81" s="15">
        <v>0</v>
      </c>
      <c r="W81" s="15">
        <v>0</v>
      </c>
      <c r="X81" s="15">
        <v>0</v>
      </c>
      <c r="Y81" s="15">
        <v>0</v>
      </c>
    </row>
    <row r="82" spans="1:25" ht="12.75" customHeight="1" x14ac:dyDescent="0.2">
      <c r="A82" s="23" t="s">
        <v>77</v>
      </c>
      <c r="B82" s="2" t="str">
        <f>A82&amp;COUNTIF($A$2:$A82,A82)</f>
        <v>Human2</v>
      </c>
      <c r="C82" s="2" t="s">
        <v>319</v>
      </c>
      <c r="D82" s="2" t="str">
        <f t="shared" si="0"/>
        <v>HumanLineman</v>
      </c>
      <c r="E82" s="2">
        <v>6</v>
      </c>
      <c r="F82" s="2">
        <v>3</v>
      </c>
      <c r="G82" s="2">
        <v>3</v>
      </c>
      <c r="H82" s="2">
        <v>4</v>
      </c>
      <c r="I82" s="2">
        <v>9</v>
      </c>
      <c r="J82" s="2" t="str">
        <f>IF('Pack Pro-Player'!$J$24="Español",V82,(IF('Pack Pro-Player'!$J$24="Deutsch",W82,(IF('Pack Pro-Player'!$J$24="Français",X82,U82)))))</f>
        <v/>
      </c>
      <c r="K82" s="1">
        <v>50000</v>
      </c>
      <c r="L82" s="1">
        <f t="shared" si="1"/>
        <v>50</v>
      </c>
      <c r="M82" s="2">
        <v>16</v>
      </c>
      <c r="N82" s="2">
        <v>0</v>
      </c>
      <c r="O82" s="1" t="s">
        <v>170</v>
      </c>
      <c r="P82" s="1" t="s">
        <v>169</v>
      </c>
      <c r="Q82" s="1" t="s">
        <v>169</v>
      </c>
      <c r="R82" s="1">
        <v>0</v>
      </c>
      <c r="S82" s="1">
        <v>0</v>
      </c>
      <c r="T82" s="15" t="str">
        <f t="shared" si="7"/>
        <v>PM</v>
      </c>
      <c r="U82" s="15" t="str">
        <f t="shared" ref="U82:Y82" si="9">""</f>
        <v/>
      </c>
      <c r="V82" s="15" t="str">
        <f t="shared" si="9"/>
        <v/>
      </c>
      <c r="W82" s="15" t="str">
        <f t="shared" si="9"/>
        <v/>
      </c>
      <c r="X82" s="15" t="str">
        <f t="shared" si="9"/>
        <v/>
      </c>
      <c r="Y82" s="15" t="str">
        <f t="shared" si="9"/>
        <v/>
      </c>
    </row>
    <row r="83" spans="1:25" ht="12.75" customHeight="1" x14ac:dyDescent="0.2">
      <c r="A83" s="23" t="s">
        <v>77</v>
      </c>
      <c r="B83" s="2" t="str">
        <f>A83&amp;COUNTIF($A$2:$A83,A83)</f>
        <v>Human3</v>
      </c>
      <c r="C83" s="2" t="s">
        <v>242</v>
      </c>
      <c r="D83" s="2" t="str">
        <f t="shared" si="0"/>
        <v>HumanCatcher</v>
      </c>
      <c r="E83" s="2">
        <v>8</v>
      </c>
      <c r="F83" s="2">
        <v>2</v>
      </c>
      <c r="G83" s="2">
        <v>3</v>
      </c>
      <c r="H83" s="2">
        <v>5</v>
      </c>
      <c r="I83" s="2">
        <v>8</v>
      </c>
      <c r="J83" s="2" t="str">
        <f>IF('Pack Pro-Player'!$J$24="Español",V83,(IF('Pack Pro-Player'!$J$24="Deutsch",W83,(IF('Pack Pro-Player'!$J$24="Français",X83,U83)))))</f>
        <v>Atrapar, Esquivar</v>
      </c>
      <c r="K83" s="1">
        <v>65000</v>
      </c>
      <c r="L83" s="1">
        <f t="shared" si="1"/>
        <v>65</v>
      </c>
      <c r="M83" s="2">
        <v>4</v>
      </c>
      <c r="N83" s="2">
        <v>0</v>
      </c>
      <c r="O83" s="1" t="s">
        <v>170</v>
      </c>
      <c r="P83" s="1" t="s">
        <v>170</v>
      </c>
      <c r="Q83" s="1" t="s">
        <v>169</v>
      </c>
      <c r="R83" s="1" t="s">
        <v>169</v>
      </c>
      <c r="S83" s="1">
        <v>0</v>
      </c>
      <c r="T83" s="15" t="str">
        <f t="shared" si="7"/>
        <v>M</v>
      </c>
      <c r="U83" s="15" t="s">
        <v>426</v>
      </c>
      <c r="V83" s="15" t="s">
        <v>427</v>
      </c>
      <c r="W83" s="15" t="s">
        <v>428</v>
      </c>
      <c r="X83" s="15" t="s">
        <v>429</v>
      </c>
      <c r="Y83" s="15"/>
    </row>
    <row r="84" spans="1:25" ht="12.75" customHeight="1" x14ac:dyDescent="0.2">
      <c r="A84" s="23" t="s">
        <v>77</v>
      </c>
      <c r="B84" s="2" t="str">
        <f>A84&amp;COUNTIF($A$2:$A84,A84)</f>
        <v>Human4</v>
      </c>
      <c r="C84" s="2" t="s">
        <v>241</v>
      </c>
      <c r="D84" s="2" t="str">
        <f t="shared" si="0"/>
        <v>HumanThrower</v>
      </c>
      <c r="E84" s="2">
        <v>6</v>
      </c>
      <c r="F84" s="2">
        <v>3</v>
      </c>
      <c r="G84" s="2">
        <v>3</v>
      </c>
      <c r="H84" s="2">
        <v>2</v>
      </c>
      <c r="I84" s="2">
        <v>9</v>
      </c>
      <c r="J84" s="2" t="str">
        <f>IF('Pack Pro-Player'!$J$24="Español",V84,(IF('Pack Pro-Player'!$J$24="Deutsch",W84,(IF('Pack Pro-Player'!$J$24="Français",X84,U84)))))</f>
        <v>Pasar, Manos seguras</v>
      </c>
      <c r="K84" s="1">
        <v>80000</v>
      </c>
      <c r="L84" s="1">
        <f t="shared" si="1"/>
        <v>80</v>
      </c>
      <c r="M84" s="2">
        <v>2</v>
      </c>
      <c r="N84" s="2">
        <v>0</v>
      </c>
      <c r="O84" s="1" t="s">
        <v>170</v>
      </c>
      <c r="P84" s="1" t="s">
        <v>169</v>
      </c>
      <c r="Q84" s="1" t="s">
        <v>169</v>
      </c>
      <c r="R84" s="1" t="s">
        <v>170</v>
      </c>
      <c r="S84" s="1">
        <v>0</v>
      </c>
      <c r="T84" s="15" t="str">
        <f t="shared" si="7"/>
        <v>M</v>
      </c>
      <c r="U84" s="15" t="s">
        <v>430</v>
      </c>
      <c r="V84" s="15" t="s">
        <v>431</v>
      </c>
      <c r="W84" s="15" t="s">
        <v>432</v>
      </c>
      <c r="X84" s="15" t="s">
        <v>433</v>
      </c>
      <c r="Y84" s="15"/>
    </row>
    <row r="85" spans="1:25" ht="12.75" customHeight="1" x14ac:dyDescent="0.2">
      <c r="A85" s="23" t="s">
        <v>77</v>
      </c>
      <c r="B85" s="2" t="str">
        <f>A85&amp;COUNTIF($A$2:$A85,A85)</f>
        <v>Human5</v>
      </c>
      <c r="C85" s="2" t="s">
        <v>243</v>
      </c>
      <c r="D85" s="2" t="str">
        <f t="shared" si="0"/>
        <v>HumanBlitzer</v>
      </c>
      <c r="E85" s="2">
        <v>7</v>
      </c>
      <c r="F85" s="2">
        <v>3</v>
      </c>
      <c r="G85" s="2">
        <v>3</v>
      </c>
      <c r="H85" s="2">
        <v>4</v>
      </c>
      <c r="I85" s="2">
        <v>9</v>
      </c>
      <c r="J85" s="2" t="str">
        <f>IF('Pack Pro-Player'!$J$24="Español",V85,(IF('Pack Pro-Player'!$J$24="Deutsch",W85,(IF('Pack Pro-Player'!$J$24="Français",X85,U85)))))</f>
        <v>Placar</v>
      </c>
      <c r="K85" s="1">
        <v>85000</v>
      </c>
      <c r="L85" s="1">
        <f t="shared" si="1"/>
        <v>85</v>
      </c>
      <c r="M85" s="2">
        <v>4</v>
      </c>
      <c r="N85" s="2">
        <v>0</v>
      </c>
      <c r="O85" s="1" t="s">
        <v>170</v>
      </c>
      <c r="P85" s="1" t="s">
        <v>169</v>
      </c>
      <c r="Q85" s="1" t="s">
        <v>170</v>
      </c>
      <c r="R85" s="1" t="s">
        <v>169</v>
      </c>
      <c r="S85" s="1">
        <v>0</v>
      </c>
      <c r="T85" s="15" t="str">
        <f t="shared" si="7"/>
        <v>M</v>
      </c>
      <c r="U85" s="15" t="s">
        <v>330</v>
      </c>
      <c r="V85" s="15" t="s">
        <v>331</v>
      </c>
      <c r="W85" s="15" t="s">
        <v>330</v>
      </c>
      <c r="X85" s="15" t="s">
        <v>332</v>
      </c>
      <c r="Y85" s="15"/>
    </row>
    <row r="86" spans="1:25" ht="12.75" customHeight="1" x14ac:dyDescent="0.2">
      <c r="A86" s="23" t="s">
        <v>77</v>
      </c>
      <c r="B86" s="2" t="str">
        <f>A86&amp;COUNTIF($A$2:$A86,A86)</f>
        <v>Human6</v>
      </c>
      <c r="C86" s="2" t="s">
        <v>403</v>
      </c>
      <c r="D86" s="2" t="str">
        <f t="shared" si="0"/>
        <v>HumanHalfling Hopeful</v>
      </c>
      <c r="E86" s="2">
        <v>5</v>
      </c>
      <c r="F86" s="2">
        <v>2</v>
      </c>
      <c r="G86" s="2">
        <v>3</v>
      </c>
      <c r="H86" s="2">
        <v>4</v>
      </c>
      <c r="I86" s="13">
        <v>7</v>
      </c>
      <c r="J86" s="2" t="str">
        <f>IF('Pack Pro-Player'!$J$24="Español",V86,(IF('Pack Pro-Player'!$J$24="Deutsch",W86,(IF('Pack Pro-Player'!$J$24="Français",X86,U86)))))</f>
        <v>Esquivar, Humanoide bala, Escurridizo</v>
      </c>
      <c r="K86" s="1">
        <v>30000</v>
      </c>
      <c r="L86" s="1">
        <f t="shared" si="1"/>
        <v>30</v>
      </c>
      <c r="M86" s="2">
        <v>3</v>
      </c>
      <c r="N86" s="2">
        <v>0</v>
      </c>
      <c r="O86" s="1" t="s">
        <v>169</v>
      </c>
      <c r="P86" s="1" t="s">
        <v>170</v>
      </c>
      <c r="Q86" s="1" t="s">
        <v>169</v>
      </c>
      <c r="R86" s="1">
        <v>0</v>
      </c>
      <c r="S86" s="1">
        <v>0</v>
      </c>
      <c r="T86" s="15" t="str">
        <f t="shared" si="7"/>
        <v>PM</v>
      </c>
      <c r="U86" s="15" t="s">
        <v>368</v>
      </c>
      <c r="V86" s="15" t="s">
        <v>369</v>
      </c>
      <c r="W86" s="15" t="s">
        <v>370</v>
      </c>
      <c r="X86" s="15" t="s">
        <v>371</v>
      </c>
      <c r="Y86" s="15"/>
    </row>
    <row r="87" spans="1:25" ht="12.75" customHeight="1" x14ac:dyDescent="0.2">
      <c r="A87" s="23" t="s">
        <v>77</v>
      </c>
      <c r="B87" s="2" t="str">
        <f>A87&amp;COUNTIF($A$2:$A87,A87)</f>
        <v>Human7</v>
      </c>
      <c r="C87" s="2" t="s">
        <v>110</v>
      </c>
      <c r="D87" s="2" t="str">
        <f t="shared" si="0"/>
        <v>HumanOgre</v>
      </c>
      <c r="E87" s="2">
        <v>5</v>
      </c>
      <c r="F87" s="2">
        <v>5</v>
      </c>
      <c r="G87" s="2">
        <v>4</v>
      </c>
      <c r="H87" s="2">
        <v>5</v>
      </c>
      <c r="I87" s="2">
        <v>10</v>
      </c>
      <c r="J87" s="2" t="str">
        <f>IF('Pack Pro-Player'!$J$24="Español",V87,(IF('Pack Pro-Player'!$J$24="Deutsch",W87,(IF('Pack Pro-Player'!$J$24="Français",X87,U87)))))</f>
        <v>Estúpido, Solitario (4+), Golpe mortífero (+1), Cabeza dura, Lanzar Compañero</v>
      </c>
      <c r="K87" s="1">
        <v>140000</v>
      </c>
      <c r="L87" s="1">
        <f t="shared" si="1"/>
        <v>140</v>
      </c>
      <c r="M87" s="2">
        <v>1</v>
      </c>
      <c r="N87" s="2">
        <v>1</v>
      </c>
      <c r="O87" s="1" t="s">
        <v>169</v>
      </c>
      <c r="P87" s="1" t="s">
        <v>169</v>
      </c>
      <c r="Q87" s="1" t="s">
        <v>170</v>
      </c>
      <c r="R87" s="1">
        <v>0</v>
      </c>
      <c r="S87" s="1">
        <v>0</v>
      </c>
      <c r="T87" s="15" t="str">
        <f t="shared" si="7"/>
        <v>PM</v>
      </c>
      <c r="U87" s="15" t="s">
        <v>270</v>
      </c>
      <c r="V87" s="15" t="s">
        <v>271</v>
      </c>
      <c r="W87" s="15" t="s">
        <v>272</v>
      </c>
      <c r="X87" s="15" t="s">
        <v>273</v>
      </c>
      <c r="Y87" s="15"/>
    </row>
    <row r="88" spans="1:25" ht="12.75" customHeight="1" x14ac:dyDescent="0.2">
      <c r="A88" s="23" t="s">
        <v>82</v>
      </c>
      <c r="B88" s="2" t="str">
        <f>A88&amp;COUNTIF($A$2:$A88,A88)</f>
        <v>Imperial Nobility1</v>
      </c>
      <c r="C88" s="2" t="str">
        <f>""</f>
        <v/>
      </c>
      <c r="D88" s="2" t="str">
        <f t="shared" si="0"/>
        <v>Imperial Nobility</v>
      </c>
      <c r="E88" s="2">
        <v>0</v>
      </c>
      <c r="F88" s="2">
        <v>0</v>
      </c>
      <c r="G88" s="2">
        <v>0</v>
      </c>
      <c r="H88" s="2">
        <v>0</v>
      </c>
      <c r="I88" s="2">
        <v>0</v>
      </c>
      <c r="J88" s="2">
        <f>IF('Pack Pro-Player'!$J$24="Español",V88,(IF('Pack Pro-Player'!$J$24="Deutsch",W88,(IF('Pack Pro-Player'!$J$24="Français",X88,U88)))))</f>
        <v>0</v>
      </c>
      <c r="K88" s="1">
        <v>0</v>
      </c>
      <c r="L88" s="1">
        <f t="shared" si="1"/>
        <v>0</v>
      </c>
      <c r="M88" s="1">
        <v>0</v>
      </c>
      <c r="N88" s="1">
        <v>0</v>
      </c>
      <c r="O88" s="1"/>
      <c r="P88" s="1"/>
      <c r="Q88" s="1"/>
      <c r="R88" s="1"/>
      <c r="S88" s="1"/>
      <c r="T88" s="15" t="str">
        <f t="shared" si="7"/>
        <v/>
      </c>
      <c r="U88" s="15">
        <v>0</v>
      </c>
      <c r="V88" s="15">
        <v>0</v>
      </c>
      <c r="W88" s="15">
        <v>0</v>
      </c>
      <c r="X88" s="15">
        <v>0</v>
      </c>
      <c r="Y88" s="15">
        <v>0</v>
      </c>
    </row>
    <row r="89" spans="1:25" ht="12.75" customHeight="1" x14ac:dyDescent="0.2">
      <c r="A89" s="23" t="s">
        <v>82</v>
      </c>
      <c r="B89" s="2" t="str">
        <f>A89&amp;COUNTIF($A$2:$A89,A89)</f>
        <v>Imperial Nobility2</v>
      </c>
      <c r="C89" s="2" t="s">
        <v>319</v>
      </c>
      <c r="D89" s="2" t="str">
        <f t="shared" si="0"/>
        <v>Imperial NobilityLineman</v>
      </c>
      <c r="E89" s="2">
        <v>6</v>
      </c>
      <c r="F89" s="2">
        <v>3</v>
      </c>
      <c r="G89" s="2">
        <v>4</v>
      </c>
      <c r="H89" s="2">
        <v>4</v>
      </c>
      <c r="I89" s="2">
        <v>8</v>
      </c>
      <c r="J89" s="2" t="str">
        <f>IF('Pack Pro-Player'!$J$24="Español",V89,(IF('Pack Pro-Player'!$J$24="Deutsch",W89,(IF('Pack Pro-Player'!$J$24="Français",X89,U89)))))</f>
        <v>Zafarse</v>
      </c>
      <c r="K89" s="1">
        <v>45000</v>
      </c>
      <c r="L89" s="1">
        <f t="shared" si="1"/>
        <v>45</v>
      </c>
      <c r="M89" s="2">
        <v>16</v>
      </c>
      <c r="N89" s="2">
        <v>0</v>
      </c>
      <c r="O89" s="1" t="s">
        <v>170</v>
      </c>
      <c r="P89" s="1" t="s">
        <v>169</v>
      </c>
      <c r="Q89" s="1" t="s">
        <v>169</v>
      </c>
      <c r="R89" s="1">
        <v>0</v>
      </c>
      <c r="S89" s="2">
        <v>0</v>
      </c>
      <c r="T89" s="15" t="str">
        <f t="shared" si="7"/>
        <v>PM</v>
      </c>
      <c r="U89" s="15" t="s">
        <v>434</v>
      </c>
      <c r="V89" s="15" t="s">
        <v>435</v>
      </c>
      <c r="W89" s="15" t="s">
        <v>436</v>
      </c>
      <c r="X89" s="15" t="s">
        <v>437</v>
      </c>
      <c r="Y89" s="15"/>
    </row>
    <row r="90" spans="1:25" ht="12.75" customHeight="1" x14ac:dyDescent="0.2">
      <c r="A90" s="23" t="s">
        <v>82</v>
      </c>
      <c r="B90" s="2" t="str">
        <f>A90&amp;COUNTIF($A$2:$A90,A90)</f>
        <v>Imperial Nobility3</v>
      </c>
      <c r="C90" s="2" t="s">
        <v>241</v>
      </c>
      <c r="D90" s="2" t="str">
        <f t="shared" si="0"/>
        <v>Imperial NobilityThrower</v>
      </c>
      <c r="E90" s="2">
        <v>6</v>
      </c>
      <c r="F90" s="2">
        <v>3</v>
      </c>
      <c r="G90" s="2">
        <v>3</v>
      </c>
      <c r="H90" s="2">
        <v>3</v>
      </c>
      <c r="I90" s="2">
        <v>9</v>
      </c>
      <c r="J90" s="2" t="str">
        <f>IF('Pack Pro-Player'!$J$24="Español",V90,(IF('Pack Pro-Player'!$J$24="Deutsch",W90,(IF('Pack Pro-Player'!$J$24="Français",X90,U90)))))</f>
        <v>Pasar, Pase a la carrera</v>
      </c>
      <c r="K90" s="1">
        <v>75000</v>
      </c>
      <c r="L90" s="1">
        <f t="shared" si="1"/>
        <v>75</v>
      </c>
      <c r="M90" s="2">
        <v>2</v>
      </c>
      <c r="N90" s="2">
        <v>0</v>
      </c>
      <c r="O90" s="1" t="s">
        <v>170</v>
      </c>
      <c r="P90" s="1" t="s">
        <v>169</v>
      </c>
      <c r="Q90" s="1" t="s">
        <v>169</v>
      </c>
      <c r="R90" s="1" t="s">
        <v>170</v>
      </c>
      <c r="S90" s="2">
        <v>0</v>
      </c>
      <c r="T90" s="15" t="str">
        <f t="shared" si="7"/>
        <v>M</v>
      </c>
      <c r="U90" s="15" t="s">
        <v>438</v>
      </c>
      <c r="V90" s="15" t="s">
        <v>439</v>
      </c>
      <c r="W90" s="15" t="s">
        <v>440</v>
      </c>
      <c r="X90" s="15" t="s">
        <v>441</v>
      </c>
      <c r="Y90" s="15"/>
    </row>
    <row r="91" spans="1:25" ht="12.75" customHeight="1" x14ac:dyDescent="0.2">
      <c r="A91" s="23" t="s">
        <v>82</v>
      </c>
      <c r="B91" s="2" t="str">
        <f>A91&amp;COUNTIF($A$2:$A91,A91)</f>
        <v>Imperial Nobility4</v>
      </c>
      <c r="C91" s="2" t="s">
        <v>243</v>
      </c>
      <c r="D91" s="2" t="str">
        <f t="shared" si="0"/>
        <v>Imperial NobilityBlitzer</v>
      </c>
      <c r="E91" s="2">
        <v>7</v>
      </c>
      <c r="F91" s="2">
        <v>3</v>
      </c>
      <c r="G91" s="2">
        <v>3</v>
      </c>
      <c r="H91" s="2">
        <v>4</v>
      </c>
      <c r="I91" s="2">
        <v>9</v>
      </c>
      <c r="J91" s="2" t="str">
        <f>IF('Pack Pro-Player'!$J$24="Español",V91,(IF('Pack Pro-Player'!$J$24="Deutsch",W91,(IF('Pack Pro-Player'!$J$24="Français",X91,U91)))))</f>
        <v>Placar, Atrapar</v>
      </c>
      <c r="K91" s="1">
        <v>105000</v>
      </c>
      <c r="L91" s="1">
        <f t="shared" si="1"/>
        <v>105</v>
      </c>
      <c r="M91" s="2">
        <v>2</v>
      </c>
      <c r="N91" s="2">
        <v>0</v>
      </c>
      <c r="O91" s="1" t="s">
        <v>170</v>
      </c>
      <c r="P91" s="1" t="s">
        <v>170</v>
      </c>
      <c r="Q91" s="1" t="s">
        <v>169</v>
      </c>
      <c r="R91" s="1" t="s">
        <v>169</v>
      </c>
      <c r="S91" s="2">
        <v>0</v>
      </c>
      <c r="T91" s="15" t="str">
        <f t="shared" si="7"/>
        <v>M</v>
      </c>
      <c r="U91" s="15" t="s">
        <v>442</v>
      </c>
      <c r="V91" s="15" t="s">
        <v>443</v>
      </c>
      <c r="W91" s="15" t="s">
        <v>444</v>
      </c>
      <c r="X91" s="15" t="s">
        <v>445</v>
      </c>
      <c r="Y91" s="15"/>
    </row>
    <row r="92" spans="1:25" ht="12.75" customHeight="1" x14ac:dyDescent="0.2">
      <c r="A92" s="23" t="s">
        <v>82</v>
      </c>
      <c r="B92" s="2" t="str">
        <f>A92&amp;COUNTIF($A$2:$A92,A92)</f>
        <v>Imperial Nobility5</v>
      </c>
      <c r="C92" s="2" t="s">
        <v>446</v>
      </c>
      <c r="D92" s="2" t="str">
        <f t="shared" si="0"/>
        <v>Imperial NobilityBodyguard</v>
      </c>
      <c r="E92" s="2">
        <v>6</v>
      </c>
      <c r="F92" s="2">
        <v>3</v>
      </c>
      <c r="G92" s="2">
        <v>3</v>
      </c>
      <c r="H92" s="2">
        <v>5</v>
      </c>
      <c r="I92" s="2">
        <v>9</v>
      </c>
      <c r="J92" s="2" t="str">
        <f>IF('Pack Pro-Player'!$J$24="Español",V92,(IF('Pack Pro-Player'!$J$24="Deutsch",W92,(IF('Pack Pro-Player'!$J$24="Français",X92,U92)))))</f>
        <v>Mantenerse firme, Forcejear</v>
      </c>
      <c r="K92" s="1">
        <v>90000</v>
      </c>
      <c r="L92" s="1">
        <f t="shared" si="1"/>
        <v>90</v>
      </c>
      <c r="M92" s="2">
        <v>4</v>
      </c>
      <c r="N92" s="2">
        <v>0</v>
      </c>
      <c r="O92" s="1" t="s">
        <v>170</v>
      </c>
      <c r="P92" s="1" t="s">
        <v>169</v>
      </c>
      <c r="Q92" s="1" t="s">
        <v>170</v>
      </c>
      <c r="R92" s="1">
        <v>0</v>
      </c>
      <c r="S92" s="2">
        <v>0</v>
      </c>
      <c r="T92" s="15" t="str">
        <f t="shared" si="7"/>
        <v>PM</v>
      </c>
      <c r="U92" s="15" t="s">
        <v>447</v>
      </c>
      <c r="V92" s="15" t="s">
        <v>448</v>
      </c>
      <c r="W92" s="15" t="s">
        <v>449</v>
      </c>
      <c r="X92" s="15" t="s">
        <v>450</v>
      </c>
      <c r="Y92" s="15"/>
    </row>
    <row r="93" spans="1:25" ht="12.75" customHeight="1" x14ac:dyDescent="0.2">
      <c r="A93" s="23" t="s">
        <v>82</v>
      </c>
      <c r="B93" s="2" t="str">
        <f>A93&amp;COUNTIF($A$2:$A93,A93)</f>
        <v>Imperial Nobility6</v>
      </c>
      <c r="C93" s="2" t="s">
        <v>110</v>
      </c>
      <c r="D93" s="2" t="str">
        <f t="shared" si="0"/>
        <v>Imperial NobilityOgre</v>
      </c>
      <c r="E93" s="2">
        <v>5</v>
      </c>
      <c r="F93" s="2">
        <v>5</v>
      </c>
      <c r="G93" s="2">
        <v>4</v>
      </c>
      <c r="H93" s="2">
        <v>5</v>
      </c>
      <c r="I93" s="2">
        <v>10</v>
      </c>
      <c r="J93" s="2" t="str">
        <f>IF('Pack Pro-Player'!$J$24="Español",V93,(IF('Pack Pro-Player'!$J$24="Deutsch",W93,(IF('Pack Pro-Player'!$J$24="Français",X93,U93)))))</f>
        <v>Estúpido, Solitario (4+), Golpe mortífero (+1), Cabeza dura, Lanzar Compañero</v>
      </c>
      <c r="K93" s="1">
        <v>140000</v>
      </c>
      <c r="L93" s="1">
        <f t="shared" si="1"/>
        <v>140</v>
      </c>
      <c r="M93" s="2">
        <v>1</v>
      </c>
      <c r="N93" s="2">
        <v>1</v>
      </c>
      <c r="O93" s="1" t="s">
        <v>169</v>
      </c>
      <c r="P93" s="1" t="s">
        <v>169</v>
      </c>
      <c r="Q93" s="1" t="s">
        <v>170</v>
      </c>
      <c r="R93" s="1">
        <v>0</v>
      </c>
      <c r="S93" s="2">
        <v>0</v>
      </c>
      <c r="T93" s="15" t="str">
        <f t="shared" si="7"/>
        <v>PM</v>
      </c>
      <c r="U93" s="15" t="s">
        <v>270</v>
      </c>
      <c r="V93" s="15" t="s">
        <v>271</v>
      </c>
      <c r="W93" s="15" t="s">
        <v>272</v>
      </c>
      <c r="X93" s="15" t="s">
        <v>273</v>
      </c>
      <c r="Y93" s="15"/>
    </row>
    <row r="94" spans="1:25" ht="12.75" customHeight="1" x14ac:dyDescent="0.2">
      <c r="A94" s="23" t="s">
        <v>87</v>
      </c>
      <c r="B94" s="9" t="str">
        <f>A94&amp;COUNTIF($A$2:$A94,A94)</f>
        <v>Khorne1</v>
      </c>
      <c r="C94" s="9"/>
      <c r="D94" s="9" t="str">
        <f t="shared" si="0"/>
        <v>Khorne</v>
      </c>
      <c r="E94" s="9">
        <v>0</v>
      </c>
      <c r="F94" s="9">
        <v>0</v>
      </c>
      <c r="G94" s="9">
        <v>0</v>
      </c>
      <c r="H94" s="9">
        <v>0</v>
      </c>
      <c r="I94" s="9">
        <v>0</v>
      </c>
      <c r="J94" s="2">
        <f>IF('Pack Pro-Player'!$J$24="Español",V94,(IF('Pack Pro-Player'!$J$24="Deutsch",W94,(IF('Pack Pro-Player'!$J$24="Français",X94,U94)))))</f>
        <v>0</v>
      </c>
      <c r="K94" s="16">
        <v>0</v>
      </c>
      <c r="L94" s="1">
        <f t="shared" ref="L94:L150" si="10">K94/1000</f>
        <v>0</v>
      </c>
      <c r="M94" s="16">
        <v>0</v>
      </c>
      <c r="N94" s="16">
        <v>0</v>
      </c>
      <c r="O94" s="17"/>
      <c r="P94" s="17"/>
      <c r="Q94" s="17"/>
      <c r="R94" s="17"/>
      <c r="S94" s="17"/>
      <c r="T94" s="15" t="str">
        <f t="shared" si="7"/>
        <v/>
      </c>
      <c r="U94" s="15"/>
      <c r="V94" s="15"/>
      <c r="W94" s="15"/>
      <c r="X94" s="15"/>
      <c r="Y94" s="8"/>
    </row>
    <row r="95" spans="1:25" ht="12.75" customHeight="1" x14ac:dyDescent="0.2">
      <c r="A95" s="23" t="s">
        <v>87</v>
      </c>
      <c r="B95" s="9" t="str">
        <f>A95&amp;COUNTIF($A$2:$A95,A95)</f>
        <v>Khorne2</v>
      </c>
      <c r="C95" s="9" t="s">
        <v>451</v>
      </c>
      <c r="D95" s="9" t="str">
        <f t="shared" si="0"/>
        <v>KhorneBloodborn Marauder Lineman</v>
      </c>
      <c r="E95" s="9">
        <v>6</v>
      </c>
      <c r="F95" s="9">
        <v>3</v>
      </c>
      <c r="G95" s="9">
        <v>3</v>
      </c>
      <c r="H95" s="9">
        <v>4</v>
      </c>
      <c r="I95" s="9">
        <v>8</v>
      </c>
      <c r="J95" s="2" t="str">
        <f>IF('Pack Pro-Player'!$J$24="Español",V95,(IF('Pack Pro-Player'!$J$24="Deutsch",W95,(IF('Pack Pro-Player'!$J$24="Français",X95,U95)))))</f>
        <v>Furia</v>
      </c>
      <c r="K95" s="16">
        <v>50000</v>
      </c>
      <c r="L95" s="1">
        <f t="shared" si="10"/>
        <v>50</v>
      </c>
      <c r="M95" s="16">
        <v>16</v>
      </c>
      <c r="N95" s="16">
        <v>0</v>
      </c>
      <c r="O95" s="16" t="s">
        <v>170</v>
      </c>
      <c r="P95" s="16" t="s">
        <v>169</v>
      </c>
      <c r="Q95" s="16" t="s">
        <v>169</v>
      </c>
      <c r="R95" s="16">
        <v>0</v>
      </c>
      <c r="S95" s="16" t="s">
        <v>170</v>
      </c>
      <c r="T95" s="15" t="str">
        <f t="shared" si="7"/>
        <v>P</v>
      </c>
      <c r="U95" s="15" t="s">
        <v>315</v>
      </c>
      <c r="V95" s="15" t="s">
        <v>316</v>
      </c>
      <c r="W95" s="15" t="s">
        <v>317</v>
      </c>
      <c r="X95" s="15" t="s">
        <v>318</v>
      </c>
      <c r="Y95" s="8"/>
    </row>
    <row r="96" spans="1:25" ht="12.75" customHeight="1" x14ac:dyDescent="0.2">
      <c r="A96" s="23" t="s">
        <v>87</v>
      </c>
      <c r="B96" s="9" t="str">
        <f>A96&amp;COUNTIF($A$2:$A96,A96)</f>
        <v>Khorne3</v>
      </c>
      <c r="C96" s="9" t="s">
        <v>452</v>
      </c>
      <c r="D96" s="9" t="str">
        <f t="shared" si="0"/>
        <v>KhorneKhorngors</v>
      </c>
      <c r="E96" s="9">
        <v>6</v>
      </c>
      <c r="F96" s="9">
        <v>3</v>
      </c>
      <c r="G96" s="9">
        <v>3</v>
      </c>
      <c r="H96" s="9">
        <v>4</v>
      </c>
      <c r="I96" s="9">
        <v>9</v>
      </c>
      <c r="J96" s="2" t="str">
        <f>IF('Pack Pro-Player'!$J$24="Español",V96,(IF('Pack Pro-Player'!$J$24="Deutsch",W96,(IF('Pack Pro-Player'!$J$24="Français",X96,U96)))))</f>
        <v>Cuernos, Imparable</v>
      </c>
      <c r="K96" s="16">
        <v>70000</v>
      </c>
      <c r="L96" s="1">
        <f t="shared" si="10"/>
        <v>70</v>
      </c>
      <c r="M96" s="16">
        <v>4</v>
      </c>
      <c r="N96" s="16">
        <v>0</v>
      </c>
      <c r="O96" s="16" t="s">
        <v>170</v>
      </c>
      <c r="P96" s="16" t="s">
        <v>169</v>
      </c>
      <c r="Q96" s="16" t="s">
        <v>170</v>
      </c>
      <c r="R96" s="16" t="s">
        <v>169</v>
      </c>
      <c r="S96" s="16" t="s">
        <v>170</v>
      </c>
      <c r="T96" s="15" t="str">
        <f t="shared" si="7"/>
        <v>FULL</v>
      </c>
      <c r="U96" s="15" t="s">
        <v>453</v>
      </c>
      <c r="V96" s="15" t="s">
        <v>454</v>
      </c>
      <c r="W96" s="15" t="s">
        <v>455</v>
      </c>
      <c r="X96" s="15" t="s">
        <v>456</v>
      </c>
      <c r="Y96" s="8"/>
    </row>
    <row r="97" spans="1:25" ht="12.75" customHeight="1" x14ac:dyDescent="0.2">
      <c r="A97" s="23" t="s">
        <v>87</v>
      </c>
      <c r="B97" s="9" t="str">
        <f>A97&amp;COUNTIF($A$2:$A97,A97)</f>
        <v>Khorne4</v>
      </c>
      <c r="C97" s="9" t="s">
        <v>457</v>
      </c>
      <c r="D97" s="9" t="str">
        <f t="shared" si="0"/>
        <v>KhorneBloodseekers</v>
      </c>
      <c r="E97" s="9">
        <v>5</v>
      </c>
      <c r="F97" s="9">
        <v>4</v>
      </c>
      <c r="G97" s="9">
        <v>4</v>
      </c>
      <c r="H97" s="9">
        <v>6</v>
      </c>
      <c r="I97" s="9">
        <v>10</v>
      </c>
      <c r="J97" s="2" t="str">
        <f>IF('Pack Pro-Player'!$J$24="Español",V97,(IF('Pack Pro-Player'!$J$24="Deutsch",W97,(IF('Pack Pro-Player'!$J$24="Français",X97,U97)))))</f>
        <v>Furia</v>
      </c>
      <c r="K97" s="16">
        <v>110000</v>
      </c>
      <c r="L97" s="1">
        <f t="shared" si="10"/>
        <v>110</v>
      </c>
      <c r="M97" s="16">
        <v>4</v>
      </c>
      <c r="N97" s="16">
        <v>0</v>
      </c>
      <c r="O97" s="16" t="s">
        <v>170</v>
      </c>
      <c r="P97" s="16" t="s">
        <v>169</v>
      </c>
      <c r="Q97" s="16" t="s">
        <v>170</v>
      </c>
      <c r="R97" s="16">
        <v>0</v>
      </c>
      <c r="S97" s="16" t="s">
        <v>170</v>
      </c>
      <c r="T97" s="15" t="str">
        <f t="shared" si="7"/>
        <v>P</v>
      </c>
      <c r="U97" s="15" t="s">
        <v>315</v>
      </c>
      <c r="V97" s="15" t="s">
        <v>316</v>
      </c>
      <c r="W97" s="15" t="s">
        <v>317</v>
      </c>
      <c r="X97" s="15" t="s">
        <v>318</v>
      </c>
      <c r="Y97" s="8"/>
    </row>
    <row r="98" spans="1:25" ht="12.75" customHeight="1" x14ac:dyDescent="0.2">
      <c r="A98" s="23" t="s">
        <v>87</v>
      </c>
      <c r="B98" s="9" t="str">
        <f>A98&amp;COUNTIF($A$2:$A98,A98)</f>
        <v>Khorne5</v>
      </c>
      <c r="C98" s="9" t="s">
        <v>458</v>
      </c>
      <c r="D98" s="9" t="str">
        <f t="shared" si="0"/>
        <v>KhorneBloodspawn</v>
      </c>
      <c r="E98" s="9">
        <v>5</v>
      </c>
      <c r="F98" s="9">
        <v>5</v>
      </c>
      <c r="G98" s="9">
        <v>4</v>
      </c>
      <c r="H98" s="9">
        <v>0</v>
      </c>
      <c r="I98" s="9">
        <v>9</v>
      </c>
      <c r="J98" s="2" t="str">
        <f>IF('Pack Pro-Player'!$J$24="Español",V98,(IF('Pack Pro-Player'!$J$24="Deutsch",W98,(IF('Pack Pro-Player'!$J$24="Français",X98,U98)))))</f>
        <v>Garras, Furia, Solitario (4+), Golpe Mortífero (+1), Ira descontrolada</v>
      </c>
      <c r="K98" s="16">
        <v>160000</v>
      </c>
      <c r="L98" s="1">
        <f t="shared" si="10"/>
        <v>160</v>
      </c>
      <c r="M98" s="16">
        <v>1</v>
      </c>
      <c r="N98" s="16">
        <v>1</v>
      </c>
      <c r="O98" s="16" t="s">
        <v>169</v>
      </c>
      <c r="P98" s="16" t="s">
        <v>169</v>
      </c>
      <c r="Q98" s="16" t="s">
        <v>170</v>
      </c>
      <c r="R98" s="16">
        <v>0</v>
      </c>
      <c r="S98" s="16" t="s">
        <v>170</v>
      </c>
      <c r="T98" s="15" t="str">
        <f t="shared" si="7"/>
        <v>P</v>
      </c>
      <c r="U98" s="15" t="s">
        <v>459</v>
      </c>
      <c r="V98" s="15" t="s">
        <v>460</v>
      </c>
      <c r="W98" s="15" t="s">
        <v>461</v>
      </c>
      <c r="X98" s="15" t="s">
        <v>462</v>
      </c>
      <c r="Y98" s="8"/>
    </row>
    <row r="99" spans="1:25" ht="12.75" customHeight="1" x14ac:dyDescent="0.2">
      <c r="A99" s="23" t="s">
        <v>92</v>
      </c>
      <c r="B99" s="2" t="str">
        <f>A99&amp;COUNTIF($A$2:$A99,A99)</f>
        <v>Lizardman1</v>
      </c>
      <c r="C99" s="2" t="str">
        <f>""</f>
        <v/>
      </c>
      <c r="D99" s="2" t="str">
        <f t="shared" si="0"/>
        <v>Lizardman</v>
      </c>
      <c r="E99" s="2">
        <v>0</v>
      </c>
      <c r="F99" s="2">
        <v>0</v>
      </c>
      <c r="G99" s="2">
        <v>0</v>
      </c>
      <c r="H99" s="2">
        <v>0</v>
      </c>
      <c r="I99" s="2">
        <v>0</v>
      </c>
      <c r="J99" s="2">
        <f>IF('Pack Pro-Player'!$J$24="Español",V99,(IF('Pack Pro-Player'!$J$24="Deutsch",W99,(IF('Pack Pro-Player'!$J$24="Français",X99,U99)))))</f>
        <v>0</v>
      </c>
      <c r="K99" s="1">
        <v>0</v>
      </c>
      <c r="L99" s="1">
        <f t="shared" si="10"/>
        <v>0</v>
      </c>
      <c r="M99" s="1">
        <v>0</v>
      </c>
      <c r="N99" s="1">
        <v>0</v>
      </c>
      <c r="O99" s="1"/>
      <c r="P99" s="1"/>
      <c r="Q99" s="1"/>
      <c r="R99" s="1"/>
      <c r="S99" s="1"/>
      <c r="T99" s="15" t="str">
        <f t="shared" si="7"/>
        <v/>
      </c>
      <c r="U99" s="15">
        <v>0</v>
      </c>
      <c r="V99" s="15">
        <v>0</v>
      </c>
      <c r="W99" s="15">
        <v>0</v>
      </c>
      <c r="X99" s="15">
        <v>0</v>
      </c>
      <c r="Y99" s="15">
        <v>0</v>
      </c>
    </row>
    <row r="100" spans="1:25" ht="12.75" customHeight="1" x14ac:dyDescent="0.2">
      <c r="A100" s="23" t="s">
        <v>92</v>
      </c>
      <c r="B100" s="2" t="str">
        <f>A100&amp;COUNTIF($A$2:$A100,A100)</f>
        <v>Lizardman2</v>
      </c>
      <c r="C100" s="2" t="s">
        <v>463</v>
      </c>
      <c r="D100" s="2" t="str">
        <f t="shared" si="0"/>
        <v>LizardmanSkink</v>
      </c>
      <c r="E100" s="2">
        <v>8</v>
      </c>
      <c r="F100" s="2">
        <v>2</v>
      </c>
      <c r="G100" s="2">
        <v>3</v>
      </c>
      <c r="H100" s="2">
        <v>4</v>
      </c>
      <c r="I100" s="2">
        <v>8</v>
      </c>
      <c r="J100" s="2" t="str">
        <f>IF('Pack Pro-Player'!$J$24="Español",V100,(IF('Pack Pro-Player'!$J$24="Deutsch",W100,(IF('Pack Pro-Player'!$J$24="Français",X100,U100)))))</f>
        <v>Esquivar, Escurridizo</v>
      </c>
      <c r="K100" s="1">
        <v>60000</v>
      </c>
      <c r="L100" s="1">
        <f t="shared" si="10"/>
        <v>60</v>
      </c>
      <c r="M100" s="1">
        <v>16</v>
      </c>
      <c r="N100" s="1">
        <v>0</v>
      </c>
      <c r="O100" s="1" t="s">
        <v>169</v>
      </c>
      <c r="P100" s="1" t="s">
        <v>170</v>
      </c>
      <c r="Q100" s="1" t="s">
        <v>169</v>
      </c>
      <c r="R100" s="1" t="s">
        <v>169</v>
      </c>
      <c r="S100" s="1">
        <v>0</v>
      </c>
      <c r="T100" s="15" t="str">
        <f t="shared" si="7"/>
        <v>M</v>
      </c>
      <c r="U100" s="15" t="s">
        <v>464</v>
      </c>
      <c r="V100" s="15" t="s">
        <v>465</v>
      </c>
      <c r="W100" s="15" t="s">
        <v>466</v>
      </c>
      <c r="X100" s="15" t="s">
        <v>467</v>
      </c>
      <c r="Y100" s="15"/>
    </row>
    <row r="101" spans="1:25" ht="12.75" customHeight="1" x14ac:dyDescent="0.2">
      <c r="A101" s="23" t="s">
        <v>92</v>
      </c>
      <c r="B101" s="2" t="str">
        <f>A101&amp;COUNTIF($A$2:$A101,A101)</f>
        <v>Lizardman3</v>
      </c>
      <c r="C101" s="2" t="s">
        <v>468</v>
      </c>
      <c r="D101" s="2" t="str">
        <f t="shared" si="0"/>
        <v>LizardmanChameleon Skink</v>
      </c>
      <c r="E101" s="2">
        <v>7</v>
      </c>
      <c r="F101" s="2">
        <v>2</v>
      </c>
      <c r="G101" s="2">
        <v>3</v>
      </c>
      <c r="H101" s="2">
        <v>3</v>
      </c>
      <c r="I101" s="2">
        <v>8</v>
      </c>
      <c r="J101" s="2" t="str">
        <f>IF('Pack Pro-Player'!$J$24="Español",V101,(IF('Pack Pro-Player'!$J$24="Deutsch",W101,(IF('Pack Pro-Player'!$J$24="Français",X101,U101)))))</f>
        <v>Esquivar, Atento al balón, Perseguir, Escurridizo</v>
      </c>
      <c r="K101" s="1">
        <v>70000</v>
      </c>
      <c r="L101" s="1">
        <f t="shared" si="10"/>
        <v>70</v>
      </c>
      <c r="M101" s="2">
        <v>2</v>
      </c>
      <c r="N101" s="2">
        <v>0</v>
      </c>
      <c r="O101" s="1" t="s">
        <v>169</v>
      </c>
      <c r="P101" s="1" t="s">
        <v>170</v>
      </c>
      <c r="Q101" s="1" t="s">
        <v>169</v>
      </c>
      <c r="R101" s="1" t="s">
        <v>169</v>
      </c>
      <c r="S101" s="1">
        <v>0</v>
      </c>
      <c r="T101" s="15" t="str">
        <f t="shared" si="7"/>
        <v>M</v>
      </c>
      <c r="U101" s="15" t="s">
        <v>469</v>
      </c>
      <c r="V101" s="15" t="s">
        <v>470</v>
      </c>
      <c r="W101" s="15" t="s">
        <v>471</v>
      </c>
      <c r="X101" s="15" t="s">
        <v>472</v>
      </c>
      <c r="Y101" s="15"/>
    </row>
    <row r="102" spans="1:25" ht="12.75" customHeight="1" x14ac:dyDescent="0.2">
      <c r="A102" s="23" t="s">
        <v>92</v>
      </c>
      <c r="B102" s="2" t="str">
        <f>A102&amp;COUNTIF($A$2:$A102,A102)</f>
        <v>Lizardman4</v>
      </c>
      <c r="C102" s="2" t="s">
        <v>473</v>
      </c>
      <c r="D102" s="2" t="str">
        <f t="shared" si="0"/>
        <v>LizardmanSaurus</v>
      </c>
      <c r="E102" s="2">
        <v>6</v>
      </c>
      <c r="F102" s="2">
        <v>4</v>
      </c>
      <c r="G102" s="2">
        <v>5</v>
      </c>
      <c r="H102" s="2">
        <v>6</v>
      </c>
      <c r="I102" s="2">
        <v>10</v>
      </c>
      <c r="J102" s="2" t="str">
        <f>IF('Pack Pro-Player'!$J$24="Español",V102,(IF('Pack Pro-Player'!$J$24="Deutsch",W102,(IF('Pack Pro-Player'!$J$24="Français",X102,U102)))))</f>
        <v/>
      </c>
      <c r="K102" s="1">
        <v>85000</v>
      </c>
      <c r="L102" s="1">
        <f t="shared" si="10"/>
        <v>85</v>
      </c>
      <c r="M102" s="2">
        <v>6</v>
      </c>
      <c r="N102" s="2">
        <v>0</v>
      </c>
      <c r="O102" s="1" t="s">
        <v>170</v>
      </c>
      <c r="P102" s="1" t="s">
        <v>169</v>
      </c>
      <c r="Q102" s="1" t="s">
        <v>170</v>
      </c>
      <c r="R102" s="1">
        <v>0</v>
      </c>
      <c r="S102" s="1">
        <v>0</v>
      </c>
      <c r="T102" s="15" t="str">
        <f t="shared" si="7"/>
        <v>PM</v>
      </c>
      <c r="U102" s="15" t="str">
        <f t="shared" ref="U102:Y102" si="11">""</f>
        <v/>
      </c>
      <c r="V102" s="15" t="str">
        <f t="shared" si="11"/>
        <v/>
      </c>
      <c r="W102" s="15" t="str">
        <f t="shared" si="11"/>
        <v/>
      </c>
      <c r="X102" s="15" t="str">
        <f t="shared" si="11"/>
        <v/>
      </c>
      <c r="Y102" s="15" t="str">
        <f t="shared" si="11"/>
        <v/>
      </c>
    </row>
    <row r="103" spans="1:25" ht="12.75" customHeight="1" x14ac:dyDescent="0.2">
      <c r="A103" s="23" t="s">
        <v>92</v>
      </c>
      <c r="B103" s="2" t="str">
        <f>A103&amp;COUNTIF($A$2:$A103,A103)</f>
        <v>Lizardman5</v>
      </c>
      <c r="C103" s="2" t="s">
        <v>474</v>
      </c>
      <c r="D103" s="2" t="str">
        <f t="shared" si="0"/>
        <v>LizardmanKroxigor</v>
      </c>
      <c r="E103" s="2">
        <v>6</v>
      </c>
      <c r="F103" s="2">
        <v>5</v>
      </c>
      <c r="G103" s="2">
        <v>5</v>
      </c>
      <c r="H103" s="2">
        <v>0</v>
      </c>
      <c r="I103" s="2">
        <v>10</v>
      </c>
      <c r="J103" s="2" t="str">
        <f>IF('Pack Pro-Player'!$J$24="Español",V103,(IF('Pack Pro-Player'!$J$24="Deutsch",W103,(IF('Pack Pro-Player'!$J$24="Français",X103,U103)))))</f>
        <v>Estúpido, Solitario (4+), Golpe mortífero (+1), Cola prensil, Cabeza dura</v>
      </c>
      <c r="K103" s="1">
        <v>140000</v>
      </c>
      <c r="L103" s="1">
        <f t="shared" si="10"/>
        <v>140</v>
      </c>
      <c r="M103" s="2">
        <v>1</v>
      </c>
      <c r="N103" s="2">
        <v>1</v>
      </c>
      <c r="O103" s="1" t="s">
        <v>169</v>
      </c>
      <c r="P103" s="1" t="s">
        <v>169</v>
      </c>
      <c r="Q103" s="1" t="s">
        <v>170</v>
      </c>
      <c r="R103" s="12">
        <v>0</v>
      </c>
      <c r="S103" s="1">
        <v>0</v>
      </c>
      <c r="T103" s="15" t="str">
        <f t="shared" si="7"/>
        <v>PM</v>
      </c>
      <c r="U103" s="15" t="s">
        <v>475</v>
      </c>
      <c r="V103" s="15" t="s">
        <v>476</v>
      </c>
      <c r="W103" s="15" t="s">
        <v>477</v>
      </c>
      <c r="X103" s="15" t="s">
        <v>478</v>
      </c>
      <c r="Y103" s="15"/>
    </row>
    <row r="104" spans="1:25" ht="12.75" customHeight="1" x14ac:dyDescent="0.2">
      <c r="A104" s="23" t="s">
        <v>96</v>
      </c>
      <c r="B104" s="2" t="str">
        <f>A104&amp;COUNTIF($A$2:$A104,A104)</f>
        <v>Necromantic1</v>
      </c>
      <c r="C104" s="2" t="str">
        <f>""</f>
        <v/>
      </c>
      <c r="D104" s="2" t="str">
        <f t="shared" si="0"/>
        <v>Necromantic</v>
      </c>
      <c r="E104" s="2">
        <v>0</v>
      </c>
      <c r="F104" s="2">
        <v>0</v>
      </c>
      <c r="G104" s="2">
        <v>0</v>
      </c>
      <c r="H104" s="2">
        <v>0</v>
      </c>
      <c r="I104" s="2">
        <v>0</v>
      </c>
      <c r="J104" s="2">
        <f>IF('Pack Pro-Player'!$J$24="Español",V104,(IF('Pack Pro-Player'!$J$24="Deutsch",W104,(IF('Pack Pro-Player'!$J$24="Français",X104,U104)))))</f>
        <v>0</v>
      </c>
      <c r="K104" s="1">
        <v>0</v>
      </c>
      <c r="L104" s="1">
        <f t="shared" si="10"/>
        <v>0</v>
      </c>
      <c r="M104" s="1">
        <v>0</v>
      </c>
      <c r="N104" s="1">
        <v>0</v>
      </c>
      <c r="O104" s="1"/>
      <c r="P104" s="1"/>
      <c r="Q104" s="1"/>
      <c r="R104" s="1"/>
      <c r="S104" s="1"/>
      <c r="T104" s="15" t="str">
        <f t="shared" si="7"/>
        <v/>
      </c>
      <c r="U104" s="15">
        <v>0</v>
      </c>
      <c r="V104" s="15">
        <v>0</v>
      </c>
      <c r="W104" s="15">
        <v>0</v>
      </c>
      <c r="X104" s="15">
        <v>0</v>
      </c>
      <c r="Y104" s="15">
        <v>0</v>
      </c>
    </row>
    <row r="105" spans="1:25" ht="12.75" customHeight="1" x14ac:dyDescent="0.2">
      <c r="A105" s="23" t="s">
        <v>96</v>
      </c>
      <c r="B105" s="2" t="str">
        <f>A105&amp;COUNTIF($A$2:$A105,A105)</f>
        <v>Necromantic2</v>
      </c>
      <c r="C105" s="2" t="s">
        <v>479</v>
      </c>
      <c r="D105" s="2" t="str">
        <f t="shared" si="0"/>
        <v>NecromanticZombie</v>
      </c>
      <c r="E105" s="2">
        <v>4</v>
      </c>
      <c r="F105" s="2">
        <v>3</v>
      </c>
      <c r="G105" s="2">
        <v>4</v>
      </c>
      <c r="H105" s="2">
        <v>0</v>
      </c>
      <c r="I105" s="2">
        <v>9</v>
      </c>
      <c r="J105" s="2" t="str">
        <f>IF('Pack Pro-Player'!$J$24="Español",V105,(IF('Pack Pro-Player'!$J$24="Deutsch",W105,(IF('Pack Pro-Player'!$J$24="Français",X105,U105)))))</f>
        <v>Regeneración</v>
      </c>
      <c r="K105" s="1">
        <v>40000</v>
      </c>
      <c r="L105" s="1">
        <f t="shared" si="10"/>
        <v>40</v>
      </c>
      <c r="M105" s="1">
        <v>16</v>
      </c>
      <c r="N105" s="1">
        <v>0</v>
      </c>
      <c r="O105" s="1" t="s">
        <v>170</v>
      </c>
      <c r="P105" s="1" t="s">
        <v>169</v>
      </c>
      <c r="Q105" s="1" t="s">
        <v>169</v>
      </c>
      <c r="R105" s="12">
        <v>0</v>
      </c>
      <c r="S105" s="1">
        <v>0</v>
      </c>
      <c r="T105" s="15" t="str">
        <f t="shared" si="7"/>
        <v>PM</v>
      </c>
      <c r="U105" s="15" t="s">
        <v>480</v>
      </c>
      <c r="V105" s="15" t="s">
        <v>481</v>
      </c>
      <c r="W105" s="15" t="s">
        <v>480</v>
      </c>
      <c r="X105" s="15" t="s">
        <v>482</v>
      </c>
      <c r="Y105" s="15"/>
    </row>
    <row r="106" spans="1:25" ht="12.75" customHeight="1" x14ac:dyDescent="0.2">
      <c r="A106" s="23" t="s">
        <v>96</v>
      </c>
      <c r="B106" s="2" t="str">
        <f>A106&amp;COUNTIF($A$2:$A106,A106)</f>
        <v>Necromantic3</v>
      </c>
      <c r="C106" s="2" t="s">
        <v>483</v>
      </c>
      <c r="D106" s="2" t="str">
        <f t="shared" si="0"/>
        <v>NecromanticGhoul</v>
      </c>
      <c r="E106" s="2">
        <v>7</v>
      </c>
      <c r="F106" s="2">
        <v>3</v>
      </c>
      <c r="G106" s="2">
        <v>3</v>
      </c>
      <c r="H106" s="2">
        <v>4</v>
      </c>
      <c r="I106" s="2">
        <v>8</v>
      </c>
      <c r="J106" s="2" t="str">
        <f>IF('Pack Pro-Player'!$J$24="Español",V106,(IF('Pack Pro-Player'!$J$24="Deutsch",W106,(IF('Pack Pro-Player'!$J$24="Français",X106,U106)))))</f>
        <v>Esquivar</v>
      </c>
      <c r="K106" s="1">
        <v>75000</v>
      </c>
      <c r="L106" s="1">
        <f t="shared" si="10"/>
        <v>75</v>
      </c>
      <c r="M106" s="1">
        <v>2</v>
      </c>
      <c r="N106" s="1">
        <v>0</v>
      </c>
      <c r="O106" s="1" t="s">
        <v>170</v>
      </c>
      <c r="P106" s="1" t="s">
        <v>170</v>
      </c>
      <c r="Q106" s="1" t="s">
        <v>169</v>
      </c>
      <c r="R106" s="1" t="s">
        <v>169</v>
      </c>
      <c r="S106" s="1">
        <v>0</v>
      </c>
      <c r="T106" s="15" t="str">
        <f t="shared" si="7"/>
        <v>M</v>
      </c>
      <c r="U106" s="15" t="s">
        <v>237</v>
      </c>
      <c r="V106" s="15" t="s">
        <v>238</v>
      </c>
      <c r="W106" s="15" t="s">
        <v>239</v>
      </c>
      <c r="X106" s="15" t="s">
        <v>240</v>
      </c>
      <c r="Y106" s="15"/>
    </row>
    <row r="107" spans="1:25" ht="12.75" customHeight="1" x14ac:dyDescent="0.2">
      <c r="A107" s="23" t="s">
        <v>96</v>
      </c>
      <c r="B107" s="2" t="str">
        <f>A107&amp;COUNTIF($A$2:$A107,A107)</f>
        <v>Necromantic4</v>
      </c>
      <c r="C107" s="2" t="s">
        <v>484</v>
      </c>
      <c r="D107" s="2" t="str">
        <f t="shared" si="0"/>
        <v>NecromanticWraiths</v>
      </c>
      <c r="E107" s="2">
        <v>6</v>
      </c>
      <c r="F107" s="2">
        <v>3</v>
      </c>
      <c r="G107" s="2">
        <v>3</v>
      </c>
      <c r="H107" s="2">
        <v>0</v>
      </c>
      <c r="I107" s="2">
        <v>9</v>
      </c>
      <c r="J107" s="2" t="str">
        <f>IF('Pack Pro-Player'!$J$24="Español",V107,(IF('Pack Pro-Player'!$J$24="Deutsch",W107,(IF('Pack Pro-Player'!$J$24="Français",X107,U107)))))</f>
        <v>Placar, Apariencia asquerosa, Sin manos, Regeneración, Echarse a un lado</v>
      </c>
      <c r="K107" s="1">
        <v>95000</v>
      </c>
      <c r="L107" s="1">
        <f t="shared" si="10"/>
        <v>95</v>
      </c>
      <c r="M107" s="1">
        <v>2</v>
      </c>
      <c r="N107" s="1">
        <v>0</v>
      </c>
      <c r="O107" s="1" t="s">
        <v>170</v>
      </c>
      <c r="P107" s="1" t="s">
        <v>169</v>
      </c>
      <c r="Q107" s="1" t="s">
        <v>170</v>
      </c>
      <c r="R107" s="12">
        <v>0</v>
      </c>
      <c r="S107" s="1">
        <v>0</v>
      </c>
      <c r="T107" s="15" t="str">
        <f t="shared" si="7"/>
        <v>PM</v>
      </c>
      <c r="U107" s="15" t="s">
        <v>485</v>
      </c>
      <c r="V107" s="15" t="s">
        <v>486</v>
      </c>
      <c r="W107" s="15" t="s">
        <v>487</v>
      </c>
      <c r="X107" s="15" t="s">
        <v>488</v>
      </c>
      <c r="Y107" s="15"/>
    </row>
    <row r="108" spans="1:25" ht="12.75" customHeight="1" x14ac:dyDescent="0.2">
      <c r="A108" s="23" t="s">
        <v>96</v>
      </c>
      <c r="B108" s="2" t="str">
        <f>A108&amp;COUNTIF($A$2:$A108,A108)</f>
        <v>Necromantic5</v>
      </c>
      <c r="C108" s="2" t="s">
        <v>489</v>
      </c>
      <c r="D108" s="2" t="str">
        <f t="shared" si="0"/>
        <v>NecromanticFlesh Golem</v>
      </c>
      <c r="E108" s="2">
        <v>4</v>
      </c>
      <c r="F108" s="2">
        <v>4</v>
      </c>
      <c r="G108" s="2">
        <v>4</v>
      </c>
      <c r="H108" s="2">
        <v>0</v>
      </c>
      <c r="I108" s="2">
        <v>10</v>
      </c>
      <c r="J108" s="2" t="str">
        <f>IF('Pack Pro-Player'!$J$24="Español",V108,(IF('Pack Pro-Player'!$J$24="Deutsch",W108,(IF('Pack Pro-Player'!$J$24="Français",X108,U108)))))</f>
        <v>Regeneración, Mantenerse firme, Cabeza dura</v>
      </c>
      <c r="K108" s="1">
        <v>115000</v>
      </c>
      <c r="L108" s="1">
        <f t="shared" si="10"/>
        <v>115</v>
      </c>
      <c r="M108" s="1">
        <v>2</v>
      </c>
      <c r="N108" s="1">
        <v>0</v>
      </c>
      <c r="O108" s="1" t="s">
        <v>170</v>
      </c>
      <c r="P108" s="1" t="s">
        <v>169</v>
      </c>
      <c r="Q108" s="1" t="s">
        <v>170</v>
      </c>
      <c r="R108" s="12">
        <v>0</v>
      </c>
      <c r="S108" s="1">
        <v>0</v>
      </c>
      <c r="T108" s="15" t="str">
        <f t="shared" si="7"/>
        <v>PM</v>
      </c>
      <c r="U108" s="15" t="s">
        <v>490</v>
      </c>
      <c r="V108" s="15" t="s">
        <v>491</v>
      </c>
      <c r="W108" s="15" t="s">
        <v>492</v>
      </c>
      <c r="X108" s="15" t="s">
        <v>493</v>
      </c>
      <c r="Y108" s="15"/>
    </row>
    <row r="109" spans="1:25" ht="12.75" customHeight="1" x14ac:dyDescent="0.2">
      <c r="A109" s="23" t="s">
        <v>96</v>
      </c>
      <c r="B109" s="2" t="str">
        <f>A109&amp;COUNTIF($A$2:$A109,A109)</f>
        <v>Necromantic6</v>
      </c>
      <c r="C109" s="2" t="s">
        <v>494</v>
      </c>
      <c r="D109" s="2" t="str">
        <f t="shared" si="0"/>
        <v>NecromanticWerewolf</v>
      </c>
      <c r="E109" s="2">
        <v>8</v>
      </c>
      <c r="F109" s="2">
        <v>3</v>
      </c>
      <c r="G109" s="2">
        <v>3</v>
      </c>
      <c r="H109" s="2">
        <v>4</v>
      </c>
      <c r="I109" s="2">
        <v>9</v>
      </c>
      <c r="J109" s="2" t="str">
        <f>IF('Pack Pro-Player'!$J$24="Español",V109,(IF('Pack Pro-Player'!$J$24="Deutsch",W109,(IF('Pack Pro-Player'!$J$24="Français",X109,U109)))))</f>
        <v>Garras, Furia, Regeneración</v>
      </c>
      <c r="K109" s="1">
        <v>125000</v>
      </c>
      <c r="L109" s="1">
        <f t="shared" si="10"/>
        <v>125</v>
      </c>
      <c r="M109" s="2">
        <v>2</v>
      </c>
      <c r="N109" s="2">
        <v>0</v>
      </c>
      <c r="O109" s="1" t="s">
        <v>170</v>
      </c>
      <c r="P109" s="1" t="s">
        <v>170</v>
      </c>
      <c r="Q109" s="1" t="s">
        <v>169</v>
      </c>
      <c r="R109" s="1" t="s">
        <v>169</v>
      </c>
      <c r="S109" s="1">
        <v>0</v>
      </c>
      <c r="T109" s="15" t="str">
        <f t="shared" si="7"/>
        <v>M</v>
      </c>
      <c r="U109" s="15" t="s">
        <v>495</v>
      </c>
      <c r="V109" s="2" t="s">
        <v>496</v>
      </c>
      <c r="W109" s="15" t="s">
        <v>497</v>
      </c>
      <c r="X109" s="15" t="s">
        <v>498</v>
      </c>
      <c r="Y109" s="15"/>
    </row>
    <row r="110" spans="1:25" ht="12.75" customHeight="1" x14ac:dyDescent="0.2">
      <c r="A110" s="23" t="s">
        <v>103</v>
      </c>
      <c r="B110" s="2" t="str">
        <f>A110&amp;COUNTIF($A$2:$A110,A110)</f>
        <v>Norse1</v>
      </c>
      <c r="C110" s="2"/>
      <c r="D110" s="2" t="str">
        <f t="shared" si="0"/>
        <v>Norse</v>
      </c>
      <c r="E110" s="2">
        <v>0</v>
      </c>
      <c r="F110" s="2">
        <v>0</v>
      </c>
      <c r="G110" s="2">
        <v>0</v>
      </c>
      <c r="H110" s="2">
        <v>0</v>
      </c>
      <c r="I110" s="2">
        <v>0</v>
      </c>
      <c r="J110" s="2">
        <f>IF('Pack Pro-Player'!$J$24="Español",V110,(IF('Pack Pro-Player'!$J$24="Deutsch",W110,(IF('Pack Pro-Player'!$J$24="Français",X110,U110)))))</f>
        <v>0</v>
      </c>
      <c r="K110" s="1">
        <v>0</v>
      </c>
      <c r="L110" s="1">
        <f t="shared" si="10"/>
        <v>0</v>
      </c>
      <c r="M110" s="1">
        <v>0</v>
      </c>
      <c r="N110" s="1">
        <v>0</v>
      </c>
      <c r="O110" s="1"/>
      <c r="P110" s="1"/>
      <c r="Q110" s="1"/>
      <c r="R110" s="1"/>
      <c r="S110" s="1"/>
      <c r="T110" s="15" t="str">
        <f t="shared" si="7"/>
        <v/>
      </c>
      <c r="U110" s="15">
        <v>0</v>
      </c>
      <c r="V110" s="15">
        <v>0</v>
      </c>
      <c r="W110" s="15">
        <v>0</v>
      </c>
      <c r="X110" s="15">
        <v>0</v>
      </c>
      <c r="Y110" s="15">
        <v>0</v>
      </c>
    </row>
    <row r="111" spans="1:25" ht="12.75" customHeight="1" x14ac:dyDescent="0.2">
      <c r="A111" s="23" t="s">
        <v>103</v>
      </c>
      <c r="B111" s="2" t="str">
        <f>A111&amp;COUNTIF($A$2:$A111,A111)</f>
        <v>Norse2</v>
      </c>
      <c r="C111" s="2" t="s">
        <v>1133</v>
      </c>
      <c r="D111" s="2" t="str">
        <f t="shared" si="0"/>
        <v>NorseRaider Lineman</v>
      </c>
      <c r="E111" s="2">
        <v>6</v>
      </c>
      <c r="F111" s="2">
        <v>3</v>
      </c>
      <c r="G111" s="2">
        <v>3</v>
      </c>
      <c r="H111" s="2">
        <v>4</v>
      </c>
      <c r="I111" s="2">
        <v>8</v>
      </c>
      <c r="J111" s="2" t="str">
        <f>IF('Pack Pro-Player'!$J$24="Español",V111,(IF('Pack Pro-Player'!$J$24="Deutsch",W111,(IF('Pack Pro-Player'!$J$24="Français",X111,U111)))))</f>
        <v>Placar, Borracho, Cabeza dura</v>
      </c>
      <c r="K111" s="1">
        <v>50000</v>
      </c>
      <c r="L111" s="1">
        <f t="shared" si="10"/>
        <v>50</v>
      </c>
      <c r="M111" s="1">
        <v>16</v>
      </c>
      <c r="N111" s="1">
        <f>IF(M111&lt;10,1,0)</f>
        <v>0</v>
      </c>
      <c r="O111" s="1" t="s">
        <v>170</v>
      </c>
      <c r="P111" s="1" t="s">
        <v>169</v>
      </c>
      <c r="Q111" s="1" t="s">
        <v>169</v>
      </c>
      <c r="R111" s="1" t="s">
        <v>169</v>
      </c>
      <c r="S111" s="1">
        <v>0</v>
      </c>
      <c r="T111" s="15" t="str">
        <f t="shared" si="7"/>
        <v>M</v>
      </c>
      <c r="U111" s="15" t="s">
        <v>1134</v>
      </c>
      <c r="V111" s="15" t="s">
        <v>1135</v>
      </c>
      <c r="W111" s="15" t="s">
        <v>1136</v>
      </c>
      <c r="X111" s="15" t="s">
        <v>1137</v>
      </c>
      <c r="Y111" s="15"/>
    </row>
    <row r="112" spans="1:25" ht="12.75" customHeight="1" x14ac:dyDescent="0.2">
      <c r="A112" s="23" t="s">
        <v>103</v>
      </c>
      <c r="B112" s="2" t="str">
        <f>A112&amp;COUNTIF($A$2:$A112,A112)</f>
        <v>Norse3</v>
      </c>
      <c r="C112" s="2" t="s">
        <v>1138</v>
      </c>
      <c r="D112" s="2" t="str">
        <f t="shared" si="0"/>
        <v>NorseBeer Boar</v>
      </c>
      <c r="E112" s="2">
        <v>5</v>
      </c>
      <c r="F112" s="2">
        <v>1</v>
      </c>
      <c r="G112" s="2">
        <v>3</v>
      </c>
      <c r="H112" s="2">
        <v>0</v>
      </c>
      <c r="I112" s="2">
        <v>6</v>
      </c>
      <c r="J112" s="2" t="str">
        <f>IF('Pack Pro-Player'!$J$24="Español",V112,(IF('Pack Pro-Player'!$J$24="Deutsch",W112,(IF('Pack Pro-Player'!$J$24="Français",X112,U112)))))</f>
        <v>Esquivar, Sin manos, Recógeme, Escurridizo, Canijo</v>
      </c>
      <c r="K112" s="1">
        <v>20000</v>
      </c>
      <c r="L112" s="1">
        <f t="shared" si="10"/>
        <v>20</v>
      </c>
      <c r="M112" s="1">
        <v>2</v>
      </c>
      <c r="N112" s="1">
        <v>0</v>
      </c>
      <c r="O112" s="1">
        <v>0</v>
      </c>
      <c r="P112" s="1" t="s">
        <v>169</v>
      </c>
      <c r="Q112" s="1">
        <v>0</v>
      </c>
      <c r="R112" s="1">
        <v>0</v>
      </c>
      <c r="S112" s="1">
        <v>0</v>
      </c>
      <c r="T112" s="15" t="str">
        <f t="shared" si="7"/>
        <v>GPSM</v>
      </c>
      <c r="U112" s="15" t="s">
        <v>1139</v>
      </c>
      <c r="V112" s="15" t="s">
        <v>1140</v>
      </c>
      <c r="W112" s="15" t="s">
        <v>1141</v>
      </c>
      <c r="X112" s="15" t="s">
        <v>1142</v>
      </c>
      <c r="Y112" s="15"/>
    </row>
    <row r="113" spans="1:25" ht="12.75" customHeight="1" x14ac:dyDescent="0.2">
      <c r="A113" s="23" t="s">
        <v>103</v>
      </c>
      <c r="B113" s="2" t="str">
        <f>A113&amp;COUNTIF($A$2:$A113,A113)</f>
        <v>Norse4</v>
      </c>
      <c r="C113" s="2" t="s">
        <v>499</v>
      </c>
      <c r="D113" s="2" t="str">
        <f t="shared" si="0"/>
        <v>NorseBerserker</v>
      </c>
      <c r="E113" s="2">
        <v>6</v>
      </c>
      <c r="F113" s="2">
        <v>3</v>
      </c>
      <c r="G113" s="2">
        <v>3</v>
      </c>
      <c r="H113" s="2">
        <v>5</v>
      </c>
      <c r="I113" s="2">
        <v>8</v>
      </c>
      <c r="J113" s="2" t="str">
        <f>IF('Pack Pro-Player'!$J$24="Español",V113,(IF('Pack Pro-Player'!$J$24="Deutsch",W113,(IF('Pack Pro-Player'!$J$24="Français",X113,U113)))))</f>
        <v>Placar, Furia, En pie de un salto</v>
      </c>
      <c r="K113" s="1">
        <v>90000</v>
      </c>
      <c r="L113" s="1">
        <f t="shared" si="10"/>
        <v>90</v>
      </c>
      <c r="M113" s="1">
        <v>2</v>
      </c>
      <c r="N113" s="1">
        <v>0</v>
      </c>
      <c r="O113" s="1" t="s">
        <v>170</v>
      </c>
      <c r="P113" s="1" t="s">
        <v>169</v>
      </c>
      <c r="Q113" s="1" t="s">
        <v>170</v>
      </c>
      <c r="R113" s="1" t="s">
        <v>169</v>
      </c>
      <c r="S113" s="1">
        <v>0</v>
      </c>
      <c r="T113" s="15" t="str">
        <f t="shared" si="7"/>
        <v>M</v>
      </c>
      <c r="U113" s="15" t="s">
        <v>500</v>
      </c>
      <c r="V113" s="15" t="s">
        <v>501</v>
      </c>
      <c r="W113" s="15" t="s">
        <v>502</v>
      </c>
      <c r="X113" s="15" t="s">
        <v>503</v>
      </c>
      <c r="Y113" s="15"/>
    </row>
    <row r="114" spans="1:25" ht="12.75" customHeight="1" x14ac:dyDescent="0.2">
      <c r="A114" s="23" t="s">
        <v>103</v>
      </c>
      <c r="B114" s="2" t="str">
        <f>A114&amp;COUNTIF($A$2:$A114,A114)</f>
        <v>Norse5</v>
      </c>
      <c r="C114" s="2" t="s">
        <v>1148</v>
      </c>
      <c r="D114" s="2" t="str">
        <f t="shared" si="0"/>
        <v>NorseValkyrie</v>
      </c>
      <c r="E114" s="2">
        <v>7</v>
      </c>
      <c r="F114" s="2">
        <v>3</v>
      </c>
      <c r="G114" s="2">
        <v>3</v>
      </c>
      <c r="H114" s="2">
        <v>3</v>
      </c>
      <c r="I114" s="2">
        <v>8</v>
      </c>
      <c r="J114" s="2" t="str">
        <f>IF('Pack Pro-Player'!$J$24="Español",V114,(IF('Pack Pro-Player'!$J$24="Deutsch",W114,(IF('Pack Pro-Player'!$J$24="Français",X114,U114)))))</f>
        <v>Atrapar, Agallas, Pasar, Robar balón</v>
      </c>
      <c r="K114" s="1">
        <v>95000</v>
      </c>
      <c r="L114" s="1">
        <f t="shared" si="10"/>
        <v>95</v>
      </c>
      <c r="M114" s="1">
        <v>2</v>
      </c>
      <c r="N114" s="1">
        <v>0</v>
      </c>
      <c r="O114" s="1" t="s">
        <v>170</v>
      </c>
      <c r="P114" s="1" t="s">
        <v>170</v>
      </c>
      <c r="Q114" s="1" t="s">
        <v>169</v>
      </c>
      <c r="R114" s="1" t="s">
        <v>170</v>
      </c>
      <c r="S114" s="1">
        <v>0</v>
      </c>
      <c r="T114" s="15" t="str">
        <f t="shared" si="7"/>
        <v>M</v>
      </c>
      <c r="U114" s="15" t="s">
        <v>1143</v>
      </c>
      <c r="V114" s="15" t="s">
        <v>1144</v>
      </c>
      <c r="W114" s="15" t="s">
        <v>1145</v>
      </c>
      <c r="X114" s="15" t="s">
        <v>1146</v>
      </c>
      <c r="Y114" s="15"/>
    </row>
    <row r="115" spans="1:25" ht="12.75" customHeight="1" x14ac:dyDescent="0.2">
      <c r="A115" s="23" t="s">
        <v>103</v>
      </c>
      <c r="B115" s="2" t="str">
        <f>A115&amp;COUNTIF($A$2:$A115,A115)</f>
        <v>Norse6</v>
      </c>
      <c r="C115" s="2" t="s">
        <v>504</v>
      </c>
      <c r="D115" s="2" t="str">
        <f t="shared" si="0"/>
        <v>NorseUlfwerener</v>
      </c>
      <c r="E115" s="2">
        <v>6</v>
      </c>
      <c r="F115" s="2">
        <v>4</v>
      </c>
      <c r="G115" s="2">
        <v>4</v>
      </c>
      <c r="H115" s="2">
        <v>0</v>
      </c>
      <c r="I115" s="2">
        <v>9</v>
      </c>
      <c r="J115" s="2" t="str">
        <f>IF('Pack Pro-Player'!$J$24="Español",V115,(IF('Pack Pro-Player'!$J$24="Deutsch",W115,(IF('Pack Pro-Player'!$J$24="Français",X115,U115)))))</f>
        <v>Furia</v>
      </c>
      <c r="K115" s="1">
        <v>105000</v>
      </c>
      <c r="L115" s="1">
        <f t="shared" si="10"/>
        <v>105</v>
      </c>
      <c r="M115" s="1">
        <v>2</v>
      </c>
      <c r="N115" s="1">
        <v>0</v>
      </c>
      <c r="O115" s="1" t="s">
        <v>170</v>
      </c>
      <c r="P115" s="1" t="s">
        <v>169</v>
      </c>
      <c r="Q115" s="1" t="s">
        <v>170</v>
      </c>
      <c r="R115" s="1">
        <v>0</v>
      </c>
      <c r="S115" s="1">
        <v>0</v>
      </c>
      <c r="T115" s="15" t="str">
        <f t="shared" si="7"/>
        <v>PM</v>
      </c>
      <c r="U115" s="15" t="s">
        <v>315</v>
      </c>
      <c r="V115" s="15" t="s">
        <v>316</v>
      </c>
      <c r="W115" s="15" t="s">
        <v>317</v>
      </c>
      <c r="X115" s="15" t="s">
        <v>318</v>
      </c>
      <c r="Y115" s="15"/>
    </row>
    <row r="116" spans="1:25" ht="12.75" customHeight="1" x14ac:dyDescent="0.2">
      <c r="A116" s="23" t="s">
        <v>103</v>
      </c>
      <c r="B116" s="2" t="str">
        <f>A116&amp;COUNTIF($A$2:$A116,A116)</f>
        <v>Norse7</v>
      </c>
      <c r="C116" s="2" t="s">
        <v>1147</v>
      </c>
      <c r="D116" s="2" t="str">
        <f t="shared" si="0"/>
        <v>NorseYhetee</v>
      </c>
      <c r="E116" s="2">
        <v>5</v>
      </c>
      <c r="F116" s="2">
        <v>5</v>
      </c>
      <c r="G116" s="2">
        <v>4</v>
      </c>
      <c r="H116" s="2">
        <v>0</v>
      </c>
      <c r="I116" s="2">
        <v>9</v>
      </c>
      <c r="J116" s="2" t="str">
        <f>IF('Pack Pro-Player'!$J$24="Español",V116,(IF('Pack Pro-Player'!$J$24="Deutsch",W116,(IF('Pack Pro-Player'!$J$24="Français",X116,U116)))))</f>
        <v>Garras, Presencia perturbadora, Furia, Solitario (4+), Ira descontrolada</v>
      </c>
      <c r="K116" s="1">
        <v>140000</v>
      </c>
      <c r="L116" s="1">
        <f t="shared" si="10"/>
        <v>140</v>
      </c>
      <c r="M116" s="1">
        <v>1</v>
      </c>
      <c r="N116" s="1">
        <f>IF(M116&lt;10,1,0)</f>
        <v>1</v>
      </c>
      <c r="O116" s="1" t="s">
        <v>169</v>
      </c>
      <c r="P116" s="1" t="s">
        <v>170</v>
      </c>
      <c r="Q116" s="1" t="s">
        <v>170</v>
      </c>
      <c r="R116" s="1">
        <v>0</v>
      </c>
      <c r="S116" s="1">
        <v>0</v>
      </c>
      <c r="T116" s="15" t="str">
        <f t="shared" si="7"/>
        <v>PM</v>
      </c>
      <c r="U116" s="15" t="s">
        <v>505</v>
      </c>
      <c r="V116" s="15" t="s">
        <v>506</v>
      </c>
      <c r="W116" s="15" t="s">
        <v>507</v>
      </c>
      <c r="X116" s="15" t="s">
        <v>508</v>
      </c>
      <c r="Y116" s="15"/>
    </row>
    <row r="117" spans="1:25" ht="12.75" customHeight="1" x14ac:dyDescent="0.2">
      <c r="A117" s="23" t="s">
        <v>105</v>
      </c>
      <c r="B117" s="2" t="str">
        <f>A117&amp;COUNTIF($A$2:$A117,A117)</f>
        <v>Nurgle1</v>
      </c>
      <c r="C117" s="2" t="str">
        <f>""</f>
        <v/>
      </c>
      <c r="D117" s="2" t="str">
        <f t="shared" si="0"/>
        <v>Nurgle</v>
      </c>
      <c r="E117" s="2">
        <v>0</v>
      </c>
      <c r="F117" s="2">
        <v>0</v>
      </c>
      <c r="G117" s="2">
        <v>0</v>
      </c>
      <c r="H117" s="2">
        <v>0</v>
      </c>
      <c r="I117" s="2">
        <v>0</v>
      </c>
      <c r="J117" s="2">
        <f>IF('Pack Pro-Player'!$J$24="Español",V117,(IF('Pack Pro-Player'!$J$24="Deutsch",W117,(IF('Pack Pro-Player'!$J$24="Français",X117,U117)))))</f>
        <v>0</v>
      </c>
      <c r="K117" s="1">
        <v>0</v>
      </c>
      <c r="L117" s="1">
        <f t="shared" si="10"/>
        <v>0</v>
      </c>
      <c r="M117" s="1">
        <v>0</v>
      </c>
      <c r="N117" s="1">
        <v>0</v>
      </c>
      <c r="O117" s="1"/>
      <c r="P117" s="1"/>
      <c r="Q117" s="1"/>
      <c r="R117" s="1"/>
      <c r="S117" s="1"/>
      <c r="T117" s="15" t="str">
        <f t="shared" si="7"/>
        <v/>
      </c>
      <c r="U117" s="15">
        <v>0</v>
      </c>
      <c r="V117" s="15">
        <v>0</v>
      </c>
      <c r="W117" s="15">
        <v>0</v>
      </c>
      <c r="X117" s="15">
        <v>0</v>
      </c>
      <c r="Y117" s="15">
        <v>0</v>
      </c>
    </row>
    <row r="118" spans="1:25" ht="12.75" customHeight="1" x14ac:dyDescent="0.2">
      <c r="A118" s="23" t="s">
        <v>105</v>
      </c>
      <c r="B118" s="2" t="str">
        <f>A118&amp;COUNTIF($A$2:$A118,A118)</f>
        <v>Nurgle2</v>
      </c>
      <c r="C118" s="2" t="s">
        <v>509</v>
      </c>
      <c r="D118" s="2" t="str">
        <f t="shared" si="0"/>
        <v>NurgleRotter</v>
      </c>
      <c r="E118" s="2">
        <v>5</v>
      </c>
      <c r="F118" s="2">
        <v>3</v>
      </c>
      <c r="G118" s="2">
        <v>4</v>
      </c>
      <c r="H118" s="2">
        <v>6</v>
      </c>
      <c r="I118" s="2">
        <v>9</v>
      </c>
      <c r="J118" s="2" t="str">
        <f>IF('Pack Pro-Player'!$J$24="Español",V118,(IF('Pack Pro-Player'!$J$24="Deutsch",W118,(IF('Pack Pro-Player'!$J$24="Français",X118,U118)))))</f>
        <v>Descomposición, Infectado</v>
      </c>
      <c r="K118" s="1">
        <v>35000</v>
      </c>
      <c r="L118" s="1">
        <f t="shared" si="10"/>
        <v>35</v>
      </c>
      <c r="M118" s="1">
        <v>16</v>
      </c>
      <c r="N118" s="1">
        <v>0</v>
      </c>
      <c r="O118" s="1" t="s">
        <v>170</v>
      </c>
      <c r="P118" s="1" t="s">
        <v>169</v>
      </c>
      <c r="Q118" s="1" t="s">
        <v>169</v>
      </c>
      <c r="R118" s="1">
        <v>0</v>
      </c>
      <c r="S118" s="1" t="s">
        <v>170</v>
      </c>
      <c r="T118" s="15" t="str">
        <f t="shared" si="7"/>
        <v>P</v>
      </c>
      <c r="U118" s="15" t="s">
        <v>510</v>
      </c>
      <c r="V118" s="15" t="s">
        <v>511</v>
      </c>
      <c r="W118" s="15" t="s">
        <v>512</v>
      </c>
      <c r="X118" s="15" t="s">
        <v>513</v>
      </c>
      <c r="Y118" s="15"/>
    </row>
    <row r="119" spans="1:25" ht="12.75" customHeight="1" x14ac:dyDescent="0.2">
      <c r="A119" s="23" t="s">
        <v>105</v>
      </c>
      <c r="B119" s="2" t="str">
        <f>A119&amp;COUNTIF($A$2:$A119,A119)</f>
        <v>Nurgle3</v>
      </c>
      <c r="C119" s="2" t="s">
        <v>514</v>
      </c>
      <c r="D119" s="2" t="str">
        <f t="shared" si="0"/>
        <v>NurglePestigor</v>
      </c>
      <c r="E119" s="2">
        <v>6</v>
      </c>
      <c r="F119" s="2">
        <v>3</v>
      </c>
      <c r="G119" s="2">
        <v>3</v>
      </c>
      <c r="H119" s="2">
        <v>4</v>
      </c>
      <c r="I119" s="2">
        <v>9</v>
      </c>
      <c r="J119" s="2" t="str">
        <f>IF('Pack Pro-Player'!$J$24="Español",V119,(IF('Pack Pro-Player'!$J$24="Deutsch",W119,(IF('Pack Pro-Player'!$J$24="Français",X119,U119)))))</f>
        <v>Cuernos, Infectado, Regeneración</v>
      </c>
      <c r="K119" s="1">
        <v>75000</v>
      </c>
      <c r="L119" s="1">
        <f t="shared" si="10"/>
        <v>75</v>
      </c>
      <c r="M119" s="2">
        <v>4</v>
      </c>
      <c r="N119" s="2">
        <v>0</v>
      </c>
      <c r="O119" s="1" t="s">
        <v>170</v>
      </c>
      <c r="P119" s="1" t="s">
        <v>169</v>
      </c>
      <c r="Q119" s="1" t="s">
        <v>170</v>
      </c>
      <c r="R119" s="1" t="s">
        <v>169</v>
      </c>
      <c r="S119" s="1" t="s">
        <v>170</v>
      </c>
      <c r="T119" s="15" t="str">
        <f t="shared" si="7"/>
        <v>FULL</v>
      </c>
      <c r="U119" s="15" t="s">
        <v>515</v>
      </c>
      <c r="V119" s="15" t="s">
        <v>516</v>
      </c>
      <c r="W119" s="15" t="s">
        <v>517</v>
      </c>
      <c r="X119" s="15" t="s">
        <v>518</v>
      </c>
      <c r="Y119" s="15"/>
    </row>
    <row r="120" spans="1:25" ht="12.75" customHeight="1" x14ac:dyDescent="0.2">
      <c r="A120" s="23" t="s">
        <v>105</v>
      </c>
      <c r="B120" s="2" t="str">
        <f>A120&amp;COUNTIF($A$2:$A120,A120)</f>
        <v>Nurgle4</v>
      </c>
      <c r="C120" s="2" t="s">
        <v>519</v>
      </c>
      <c r="D120" s="2" t="str">
        <f t="shared" si="0"/>
        <v>NurgleBloater</v>
      </c>
      <c r="E120" s="2">
        <v>4</v>
      </c>
      <c r="F120" s="2">
        <v>4</v>
      </c>
      <c r="G120" s="2">
        <v>4</v>
      </c>
      <c r="H120" s="2">
        <v>6</v>
      </c>
      <c r="I120" s="2">
        <v>10</v>
      </c>
      <c r="J120" s="2" t="str">
        <f>IF('Pack Pro-Player'!$J$24="Español",V120,(IF('Pack Pro-Player'!$J$24="Deutsch",W120,(IF('Pack Pro-Player'!$J$24="Français",X120,U120)))))</f>
        <v>Presencia perturbadora, Apariencia asquerosa, Infectado, Regeneración</v>
      </c>
      <c r="K120" s="1">
        <v>115000</v>
      </c>
      <c r="L120" s="1">
        <f t="shared" si="10"/>
        <v>115</v>
      </c>
      <c r="M120" s="2">
        <v>4</v>
      </c>
      <c r="N120" s="2">
        <v>0</v>
      </c>
      <c r="O120" s="1" t="s">
        <v>170</v>
      </c>
      <c r="P120" s="1" t="s">
        <v>169</v>
      </c>
      <c r="Q120" s="1" t="s">
        <v>170</v>
      </c>
      <c r="R120" s="1">
        <v>0</v>
      </c>
      <c r="S120" s="1" t="s">
        <v>170</v>
      </c>
      <c r="T120" s="15" t="str">
        <f t="shared" si="7"/>
        <v>P</v>
      </c>
      <c r="U120" s="15" t="s">
        <v>520</v>
      </c>
      <c r="V120" s="15" t="s">
        <v>521</v>
      </c>
      <c r="W120" s="15" t="s">
        <v>522</v>
      </c>
      <c r="X120" s="15" t="s">
        <v>523</v>
      </c>
      <c r="Y120" s="15"/>
    </row>
    <row r="121" spans="1:25" ht="12.75" customHeight="1" x14ac:dyDescent="0.2">
      <c r="A121" s="23" t="s">
        <v>105</v>
      </c>
      <c r="B121" s="2" t="str">
        <f>A121&amp;COUNTIF($A$2:$A121,A121)</f>
        <v>Nurgle5</v>
      </c>
      <c r="C121" s="2" t="s">
        <v>524</v>
      </c>
      <c r="D121" s="2" t="str">
        <f t="shared" si="0"/>
        <v>NurgleRotspawn</v>
      </c>
      <c r="E121" s="2">
        <v>4</v>
      </c>
      <c r="F121" s="2">
        <v>5</v>
      </c>
      <c r="G121" s="2">
        <v>5</v>
      </c>
      <c r="H121" s="2">
        <v>0</v>
      </c>
      <c r="I121" s="2">
        <v>10</v>
      </c>
      <c r="J121" s="2" t="str">
        <f>IF('Pack Pro-Player'!$J$24="Español",V121,(IF('Pack Pro-Player'!$J$24="Deutsch",W121,(IF('Pack Pro-Player'!$J$24="Français",X121,U121)))))</f>
        <v>Presencia perturbadora, Apariencia asquerosa, Solitario (4+), Golpe mortífero (+1), Infectado, Realmente estúpido, Regeneración, Tentáculos</v>
      </c>
      <c r="K121" s="1">
        <v>140000</v>
      </c>
      <c r="L121" s="1">
        <f t="shared" si="10"/>
        <v>140</v>
      </c>
      <c r="M121" s="2">
        <v>1</v>
      </c>
      <c r="N121" s="2">
        <v>1</v>
      </c>
      <c r="O121" s="1" t="s">
        <v>169</v>
      </c>
      <c r="P121" s="1" t="s">
        <v>169</v>
      </c>
      <c r="Q121" s="1" t="s">
        <v>170</v>
      </c>
      <c r="R121" s="12">
        <v>0</v>
      </c>
      <c r="S121" s="1" t="s">
        <v>169</v>
      </c>
      <c r="T121" s="15" t="str">
        <f t="shared" si="7"/>
        <v>P</v>
      </c>
      <c r="U121" s="15" t="s">
        <v>525</v>
      </c>
      <c r="V121" s="15" t="s">
        <v>1544</v>
      </c>
      <c r="W121" s="15" t="s">
        <v>526</v>
      </c>
      <c r="X121" s="15" t="s">
        <v>527</v>
      </c>
      <c r="Y121" s="15"/>
    </row>
    <row r="122" spans="1:25" ht="12.75" customHeight="1" x14ac:dyDescent="0.2">
      <c r="A122" s="23" t="s">
        <v>110</v>
      </c>
      <c r="B122" s="2" t="str">
        <f>A122&amp;COUNTIF($A$2:$A122,A122)</f>
        <v>Ogre1</v>
      </c>
      <c r="C122" s="2" t="str">
        <f>""</f>
        <v/>
      </c>
      <c r="D122" s="2" t="str">
        <f t="shared" si="0"/>
        <v>Ogre</v>
      </c>
      <c r="E122" s="2">
        <v>0</v>
      </c>
      <c r="F122" s="2">
        <v>0</v>
      </c>
      <c r="G122" s="2">
        <v>0</v>
      </c>
      <c r="H122" s="2">
        <v>0</v>
      </c>
      <c r="I122" s="2">
        <v>0</v>
      </c>
      <c r="J122" s="2">
        <f>IF('Pack Pro-Player'!$J$24="Español",V122,(IF('Pack Pro-Player'!$J$24="Deutsch",W122,(IF('Pack Pro-Player'!$J$24="Français",X122,U122)))))</f>
        <v>0</v>
      </c>
      <c r="K122" s="1">
        <v>0</v>
      </c>
      <c r="L122" s="1">
        <f t="shared" si="10"/>
        <v>0</v>
      </c>
      <c r="M122" s="1">
        <v>0</v>
      </c>
      <c r="N122" s="1">
        <v>0</v>
      </c>
      <c r="O122" s="1"/>
      <c r="P122" s="1"/>
      <c r="Q122" s="1"/>
      <c r="R122" s="1"/>
      <c r="S122" s="1"/>
      <c r="T122" s="15" t="str">
        <f t="shared" si="7"/>
        <v/>
      </c>
      <c r="U122" s="15">
        <v>0</v>
      </c>
      <c r="V122" s="15">
        <v>0</v>
      </c>
      <c r="W122" s="15">
        <v>0</v>
      </c>
      <c r="X122" s="15">
        <v>0</v>
      </c>
      <c r="Y122" s="15">
        <v>0</v>
      </c>
    </row>
    <row r="123" spans="1:25" ht="12.75" customHeight="1" x14ac:dyDescent="0.2">
      <c r="A123" s="23" t="s">
        <v>110</v>
      </c>
      <c r="B123" s="2" t="str">
        <f>A123&amp;COUNTIF($A$2:$A123,A123)</f>
        <v>Ogre2</v>
      </c>
      <c r="C123" s="2" t="s">
        <v>528</v>
      </c>
      <c r="D123" s="2" t="str">
        <f t="shared" si="0"/>
        <v>OgreGnoblar</v>
      </c>
      <c r="E123" s="2">
        <v>5</v>
      </c>
      <c r="F123" s="2">
        <v>1</v>
      </c>
      <c r="G123" s="2">
        <v>3</v>
      </c>
      <c r="H123" s="2">
        <v>5</v>
      </c>
      <c r="I123" s="2">
        <v>6</v>
      </c>
      <c r="J123" s="2" t="str">
        <f>IF('Pack Pro-Player'!$J$24="Español",V123,(IF('Pack Pro-Player'!$J$24="Deutsch",W123,(IF('Pack Pro-Player'!$J$24="Français",X123,U123)))))</f>
        <v>Esquivar, Humanoide bala, Echarse a un lado, Escurridizo, Canijo</v>
      </c>
      <c r="K123" s="1">
        <v>15000</v>
      </c>
      <c r="L123" s="1">
        <v>0</v>
      </c>
      <c r="M123" s="2">
        <v>16</v>
      </c>
      <c r="N123" s="2">
        <v>0</v>
      </c>
      <c r="O123" s="1" t="s">
        <v>169</v>
      </c>
      <c r="P123" s="1" t="s">
        <v>170</v>
      </c>
      <c r="Q123" s="1" t="s">
        <v>169</v>
      </c>
      <c r="R123" s="1">
        <v>0</v>
      </c>
      <c r="S123" s="1">
        <v>0</v>
      </c>
      <c r="T123" s="15" t="str">
        <f t="shared" si="7"/>
        <v>PM</v>
      </c>
      <c r="U123" s="15" t="s">
        <v>529</v>
      </c>
      <c r="V123" s="15" t="s">
        <v>530</v>
      </c>
      <c r="W123" s="15" t="s">
        <v>531</v>
      </c>
      <c r="X123" s="15" t="s">
        <v>532</v>
      </c>
      <c r="Y123" s="15"/>
    </row>
    <row r="124" spans="1:25" ht="12.75" customHeight="1" x14ac:dyDescent="0.2">
      <c r="A124" s="23" t="s">
        <v>110</v>
      </c>
      <c r="B124" s="2" t="str">
        <f>A124&amp;COUNTIF($A$2:$A124,A124)</f>
        <v>Ogre3</v>
      </c>
      <c r="C124" s="2" t="s">
        <v>533</v>
      </c>
      <c r="D124" s="2" t="str">
        <f t="shared" si="0"/>
        <v xml:space="preserve">OgreOgre </v>
      </c>
      <c r="E124" s="2">
        <v>5</v>
      </c>
      <c r="F124" s="2">
        <v>5</v>
      </c>
      <c r="G124" s="2">
        <v>4</v>
      </c>
      <c r="H124" s="2">
        <v>5</v>
      </c>
      <c r="I124" s="2">
        <v>10</v>
      </c>
      <c r="J124" s="2" t="str">
        <f>IF('Pack Pro-Player'!$J$24="Español",V124,(IF('Pack Pro-Player'!$J$24="Deutsch",W124,(IF('Pack Pro-Player'!$J$24="Français",X124,U124)))))</f>
        <v>Estúpido, Golpe mortífero (+1), Cabeza dura, Lanzar Compañero</v>
      </c>
      <c r="K124" s="1">
        <v>140000</v>
      </c>
      <c r="L124" s="1">
        <f t="shared" si="10"/>
        <v>140</v>
      </c>
      <c r="M124" s="2">
        <v>5</v>
      </c>
      <c r="N124" s="2">
        <v>1</v>
      </c>
      <c r="O124" s="1" t="s">
        <v>169</v>
      </c>
      <c r="P124" s="1" t="s">
        <v>169</v>
      </c>
      <c r="Q124" s="1" t="s">
        <v>170</v>
      </c>
      <c r="R124" s="1" t="s">
        <v>169</v>
      </c>
      <c r="S124" s="1">
        <v>0</v>
      </c>
      <c r="T124" s="15" t="str">
        <f t="shared" si="7"/>
        <v>M</v>
      </c>
      <c r="U124" s="15" t="s">
        <v>534</v>
      </c>
      <c r="V124" s="2" t="s">
        <v>535</v>
      </c>
      <c r="W124" s="15" t="s">
        <v>536</v>
      </c>
      <c r="X124" s="15" t="s">
        <v>537</v>
      </c>
      <c r="Y124" s="15"/>
    </row>
    <row r="125" spans="1:25" ht="12.75" customHeight="1" x14ac:dyDescent="0.2">
      <c r="A125" s="23" t="s">
        <v>110</v>
      </c>
      <c r="B125" s="2" t="str">
        <f>A125&amp;COUNTIF($A$2:$A125,A125)</f>
        <v>Ogre4</v>
      </c>
      <c r="C125" s="2" t="s">
        <v>538</v>
      </c>
      <c r="D125" s="2" t="str">
        <f t="shared" si="0"/>
        <v>OgreRunt Punter</v>
      </c>
      <c r="E125" s="2">
        <v>5</v>
      </c>
      <c r="F125" s="2">
        <v>5</v>
      </c>
      <c r="G125" s="2">
        <v>4</v>
      </c>
      <c r="H125" s="2">
        <v>4</v>
      </c>
      <c r="I125" s="2">
        <v>10</v>
      </c>
      <c r="J125" s="2" t="str">
        <f>IF('Pack Pro-Player'!$J$24="Español",V125,(IF('Pack Pro-Player'!$J$24="Deutsch",W125,(IF('Pack Pro-Player'!$J$24="Français",X125,U125)))))</f>
        <v>Estúpido, Patear compañero, Golpe mortífero (+1), Cabeza dura</v>
      </c>
      <c r="K125" s="1">
        <v>145000</v>
      </c>
      <c r="L125" s="1">
        <f t="shared" si="10"/>
        <v>145</v>
      </c>
      <c r="M125" s="2">
        <v>1</v>
      </c>
      <c r="N125" s="2">
        <v>1</v>
      </c>
      <c r="O125" s="1" t="s">
        <v>169</v>
      </c>
      <c r="P125" s="1" t="s">
        <v>169</v>
      </c>
      <c r="Q125" s="1" t="s">
        <v>170</v>
      </c>
      <c r="R125" s="1" t="s">
        <v>170</v>
      </c>
      <c r="S125" s="1">
        <v>0</v>
      </c>
      <c r="T125" s="15" t="str">
        <f t="shared" si="7"/>
        <v>M</v>
      </c>
      <c r="U125" s="15" t="s">
        <v>539</v>
      </c>
      <c r="V125" s="2" t="s">
        <v>540</v>
      </c>
      <c r="W125" s="15" t="s">
        <v>541</v>
      </c>
      <c r="X125" s="15" t="s">
        <v>542</v>
      </c>
      <c r="Y125" s="15"/>
    </row>
    <row r="126" spans="1:25" ht="12.75" customHeight="1" x14ac:dyDescent="0.2">
      <c r="A126" s="23" t="s">
        <v>118</v>
      </c>
      <c r="B126" s="2" t="str">
        <f>A126&amp;COUNTIF($A$2:$A126,A126)</f>
        <v>Old World Alliance1</v>
      </c>
      <c r="C126" s="2" t="str">
        <f>""</f>
        <v/>
      </c>
      <c r="D126" s="2" t="str">
        <f t="shared" si="0"/>
        <v>Old World Alliance</v>
      </c>
      <c r="E126" s="2">
        <v>0</v>
      </c>
      <c r="F126" s="2">
        <v>0</v>
      </c>
      <c r="G126" s="2">
        <v>0</v>
      </c>
      <c r="H126" s="2">
        <v>0</v>
      </c>
      <c r="I126" s="2">
        <v>0</v>
      </c>
      <c r="J126" s="2">
        <f>IF('Pack Pro-Player'!$J$24="Español",V126,(IF('Pack Pro-Player'!$J$24="Deutsch",W126,(IF('Pack Pro-Player'!$J$24="Français",X126,U126)))))</f>
        <v>0</v>
      </c>
      <c r="K126" s="1">
        <v>0</v>
      </c>
      <c r="L126" s="1">
        <f t="shared" si="10"/>
        <v>0</v>
      </c>
      <c r="M126" s="1">
        <v>0</v>
      </c>
      <c r="N126" s="1">
        <v>0</v>
      </c>
      <c r="O126" s="2"/>
      <c r="P126" s="2"/>
      <c r="Q126" s="2"/>
      <c r="R126" s="2"/>
      <c r="S126" s="2"/>
      <c r="T126" s="15" t="str">
        <f t="shared" si="7"/>
        <v/>
      </c>
      <c r="U126" s="15">
        <v>0</v>
      </c>
      <c r="V126" s="15">
        <v>0</v>
      </c>
      <c r="W126" s="15">
        <v>0</v>
      </c>
      <c r="X126" s="15">
        <v>0</v>
      </c>
      <c r="Y126" s="15">
        <v>0</v>
      </c>
    </row>
    <row r="127" spans="1:25" ht="12.75" customHeight="1" x14ac:dyDescent="0.2">
      <c r="A127" s="23" t="s">
        <v>118</v>
      </c>
      <c r="B127" s="2" t="str">
        <f>A127&amp;COUNTIF($A$2:$A127,A127)</f>
        <v>Old World Alliance2</v>
      </c>
      <c r="C127" s="2" t="s">
        <v>319</v>
      </c>
      <c r="D127" s="2" t="str">
        <f t="shared" si="0"/>
        <v>Old World AllianceLineman</v>
      </c>
      <c r="E127" s="2">
        <v>6</v>
      </c>
      <c r="F127" s="2">
        <v>3</v>
      </c>
      <c r="G127" s="2">
        <v>3</v>
      </c>
      <c r="H127" s="2">
        <v>4</v>
      </c>
      <c r="I127" s="2">
        <v>9</v>
      </c>
      <c r="J127" s="2" t="str">
        <f>IF('Pack Pro-Player'!$J$24="Español",V127,(IF('Pack Pro-Player'!$J$24="Deutsch",W127,(IF('Pack Pro-Player'!$J$24="Français",X127,U127)))))</f>
        <v/>
      </c>
      <c r="K127" s="1">
        <v>50000</v>
      </c>
      <c r="L127" s="1">
        <f t="shared" si="10"/>
        <v>50</v>
      </c>
      <c r="M127" s="2">
        <v>12</v>
      </c>
      <c r="N127" s="2">
        <v>0</v>
      </c>
      <c r="O127" s="1" t="s">
        <v>170</v>
      </c>
      <c r="P127" s="1" t="s">
        <v>169</v>
      </c>
      <c r="Q127" s="1" t="s">
        <v>169</v>
      </c>
      <c r="R127" s="1">
        <v>0</v>
      </c>
      <c r="S127" s="1">
        <v>0</v>
      </c>
      <c r="T127" s="15" t="str">
        <f t="shared" si="7"/>
        <v>PM</v>
      </c>
      <c r="U127" s="15" t="str">
        <f t="shared" ref="U127:Y127" si="12">""</f>
        <v/>
      </c>
      <c r="V127" s="15" t="str">
        <f t="shared" si="12"/>
        <v/>
      </c>
      <c r="W127" s="15" t="str">
        <f t="shared" si="12"/>
        <v/>
      </c>
      <c r="X127" s="15" t="str">
        <f t="shared" si="12"/>
        <v/>
      </c>
      <c r="Y127" s="15" t="str">
        <f t="shared" si="12"/>
        <v/>
      </c>
    </row>
    <row r="128" spans="1:25" ht="12.75" customHeight="1" x14ac:dyDescent="0.2">
      <c r="A128" s="23" t="s">
        <v>118</v>
      </c>
      <c r="B128" s="2" t="str">
        <f>A128&amp;COUNTIF($A$2:$A128,A128)</f>
        <v>Old World Alliance3</v>
      </c>
      <c r="C128" s="2" t="s">
        <v>242</v>
      </c>
      <c r="D128" s="2" t="str">
        <f t="shared" si="0"/>
        <v>Old World AllianceCatcher</v>
      </c>
      <c r="E128" s="2">
        <v>8</v>
      </c>
      <c r="F128" s="2">
        <v>2</v>
      </c>
      <c r="G128" s="2">
        <v>3</v>
      </c>
      <c r="H128" s="2">
        <v>5</v>
      </c>
      <c r="I128" s="2">
        <v>8</v>
      </c>
      <c r="J128" s="2" t="str">
        <f>IF('Pack Pro-Player'!$J$24="Español",V128,(IF('Pack Pro-Player'!$J$24="Deutsch",W128,(IF('Pack Pro-Player'!$J$24="Français",X128,U128)))))</f>
        <v>Animosidad (todos los Enanos y Halflings), Atrapar, Esquivar</v>
      </c>
      <c r="K128" s="1">
        <v>65000</v>
      </c>
      <c r="L128" s="1">
        <f t="shared" si="10"/>
        <v>65</v>
      </c>
      <c r="M128" s="2">
        <v>1</v>
      </c>
      <c r="N128" s="2">
        <v>0</v>
      </c>
      <c r="O128" s="1" t="s">
        <v>170</v>
      </c>
      <c r="P128" s="1" t="s">
        <v>170</v>
      </c>
      <c r="Q128" s="1" t="s">
        <v>169</v>
      </c>
      <c r="R128" s="1">
        <v>0</v>
      </c>
      <c r="S128" s="1">
        <v>0</v>
      </c>
      <c r="T128" s="15" t="str">
        <f t="shared" si="7"/>
        <v>PM</v>
      </c>
      <c r="U128" s="15" t="s">
        <v>543</v>
      </c>
      <c r="V128" s="2" t="s">
        <v>544</v>
      </c>
      <c r="W128" s="15" t="s">
        <v>545</v>
      </c>
      <c r="X128" s="15" t="s">
        <v>546</v>
      </c>
      <c r="Y128" s="15"/>
    </row>
    <row r="129" spans="1:25" ht="12.75" customHeight="1" x14ac:dyDescent="0.2">
      <c r="A129" s="23" t="s">
        <v>118</v>
      </c>
      <c r="B129" s="2" t="str">
        <f>A129&amp;COUNTIF($A$2:$A129,A129)</f>
        <v>Old World Alliance4</v>
      </c>
      <c r="C129" s="2" t="s">
        <v>241</v>
      </c>
      <c r="D129" s="2" t="str">
        <f t="shared" si="0"/>
        <v>Old World AllianceThrower</v>
      </c>
      <c r="E129" s="2">
        <v>6</v>
      </c>
      <c r="F129" s="2">
        <v>3</v>
      </c>
      <c r="G129" s="2">
        <v>3</v>
      </c>
      <c r="H129" s="2">
        <v>3</v>
      </c>
      <c r="I129" s="2">
        <v>9</v>
      </c>
      <c r="J129" s="2" t="str">
        <f>IF('Pack Pro-Player'!$J$24="Español",V129,(IF('Pack Pro-Player'!$J$24="Deutsch",W129,(IF('Pack Pro-Player'!$J$24="Français",X129,U129)))))</f>
        <v>Animosidad (todos los Enanos y Halflings), Pasar, Manos seguras</v>
      </c>
      <c r="K129" s="1">
        <v>80000</v>
      </c>
      <c r="L129" s="1">
        <f t="shared" si="10"/>
        <v>80</v>
      </c>
      <c r="M129" s="2">
        <v>1</v>
      </c>
      <c r="N129" s="2">
        <v>0</v>
      </c>
      <c r="O129" s="1" t="s">
        <v>170</v>
      </c>
      <c r="P129" s="1" t="s">
        <v>169</v>
      </c>
      <c r="Q129" s="1" t="s">
        <v>169</v>
      </c>
      <c r="R129" s="1" t="s">
        <v>170</v>
      </c>
      <c r="S129" s="1">
        <v>0</v>
      </c>
      <c r="T129" s="15" t="str">
        <f t="shared" si="7"/>
        <v>M</v>
      </c>
      <c r="U129" s="15" t="s">
        <v>547</v>
      </c>
      <c r="V129" s="2" t="s">
        <v>548</v>
      </c>
      <c r="W129" s="15" t="s">
        <v>549</v>
      </c>
      <c r="X129" s="15" t="s">
        <v>550</v>
      </c>
      <c r="Y129" s="15"/>
    </row>
    <row r="130" spans="1:25" ht="12.75" customHeight="1" x14ac:dyDescent="0.2">
      <c r="A130" s="23" t="s">
        <v>118</v>
      </c>
      <c r="B130" s="2" t="str">
        <f>A130&amp;COUNTIF($A$2:$A130,A130)</f>
        <v>Old World Alliance5</v>
      </c>
      <c r="C130" s="2" t="s">
        <v>243</v>
      </c>
      <c r="D130" s="2" t="str">
        <f t="shared" si="0"/>
        <v>Old World AllianceBlitzer</v>
      </c>
      <c r="E130" s="2">
        <v>7</v>
      </c>
      <c r="F130" s="2">
        <v>3</v>
      </c>
      <c r="G130" s="2">
        <v>3</v>
      </c>
      <c r="H130" s="2">
        <v>4</v>
      </c>
      <c r="I130" s="2">
        <v>9</v>
      </c>
      <c r="J130" s="2" t="str">
        <f>IF('Pack Pro-Player'!$J$24="Español",V130,(IF('Pack Pro-Player'!$J$24="Deutsch",W130,(IF('Pack Pro-Player'!$J$24="Français",X130,U130)))))</f>
        <v>Animosidad (todos los Enanos y Halflings), Placar</v>
      </c>
      <c r="K130" s="1">
        <v>90000</v>
      </c>
      <c r="L130" s="1">
        <f t="shared" si="10"/>
        <v>90</v>
      </c>
      <c r="M130" s="2">
        <v>1</v>
      </c>
      <c r="N130" s="2">
        <v>0</v>
      </c>
      <c r="O130" s="1" t="s">
        <v>170</v>
      </c>
      <c r="P130" s="1" t="s">
        <v>169</v>
      </c>
      <c r="Q130" s="1" t="s">
        <v>170</v>
      </c>
      <c r="R130" s="1">
        <v>0</v>
      </c>
      <c r="S130" s="1">
        <v>0</v>
      </c>
      <c r="T130" s="15" t="str">
        <f t="shared" si="7"/>
        <v>PM</v>
      </c>
      <c r="U130" s="15" t="s">
        <v>551</v>
      </c>
      <c r="V130" s="2" t="s">
        <v>552</v>
      </c>
      <c r="W130" s="15" t="s">
        <v>553</v>
      </c>
      <c r="X130" s="15" t="s">
        <v>554</v>
      </c>
      <c r="Y130" s="15"/>
    </row>
    <row r="131" spans="1:25" ht="12.75" customHeight="1" x14ac:dyDescent="0.2">
      <c r="A131" s="23" t="s">
        <v>118</v>
      </c>
      <c r="B131" s="2" t="str">
        <f>A131&amp;COUNTIF($A$2:$A131,A131)</f>
        <v>Old World Alliance6</v>
      </c>
      <c r="C131" s="2" t="s">
        <v>403</v>
      </c>
      <c r="D131" s="2" t="str">
        <f t="shared" si="0"/>
        <v>Old World AllianceHalfling Hopeful</v>
      </c>
      <c r="E131" s="2">
        <v>5</v>
      </c>
      <c r="F131" s="2">
        <v>2</v>
      </c>
      <c r="G131" s="2">
        <v>3</v>
      </c>
      <c r="H131" s="2">
        <v>4</v>
      </c>
      <c r="I131" s="2">
        <v>7</v>
      </c>
      <c r="J131" s="2" t="str">
        <f>IF('Pack Pro-Player'!$J$24="Español",V131,(IF('Pack Pro-Player'!$J$24="Deutsch",W131,(IF('Pack Pro-Player'!$J$24="Français",X131,U131)))))</f>
        <v>Animosidad (todos los Enanos y Humanos), Esquivar, Humanoide bala, Escurridizo</v>
      </c>
      <c r="K131" s="1">
        <v>30000</v>
      </c>
      <c r="L131" s="1">
        <f t="shared" si="10"/>
        <v>30</v>
      </c>
      <c r="M131" s="2">
        <v>2</v>
      </c>
      <c r="N131" s="2">
        <v>0</v>
      </c>
      <c r="O131" s="1" t="s">
        <v>169</v>
      </c>
      <c r="P131" s="1" t="s">
        <v>170</v>
      </c>
      <c r="Q131" s="1" t="s">
        <v>169</v>
      </c>
      <c r="R131" s="1">
        <v>0</v>
      </c>
      <c r="S131" s="1">
        <v>0</v>
      </c>
      <c r="T131" s="15" t="str">
        <f t="shared" ref="T131:T194" si="13">IF(K131=0,"",(IF(O131=0,"GPSM",(IF(AND(R131=0,S131=0),"PM",(IF(S131=0,"M",(IF(R131=0,"P","FULL")))))))))</f>
        <v>PM</v>
      </c>
      <c r="U131" s="15" t="s">
        <v>555</v>
      </c>
      <c r="V131" s="2" t="s">
        <v>556</v>
      </c>
      <c r="W131" s="15" t="s">
        <v>557</v>
      </c>
      <c r="X131" s="15" t="s">
        <v>558</v>
      </c>
      <c r="Y131" s="15"/>
    </row>
    <row r="132" spans="1:25" ht="12.75" customHeight="1" x14ac:dyDescent="0.2">
      <c r="A132" s="23" t="s">
        <v>118</v>
      </c>
      <c r="B132" s="2" t="str">
        <f>A132&amp;COUNTIF($A$2:$A132,A132)</f>
        <v>Old World Alliance7</v>
      </c>
      <c r="C132" s="2" t="s">
        <v>559</v>
      </c>
      <c r="D132" s="2" t="str">
        <f t="shared" si="0"/>
        <v>Old World AllianceDwarf Blocker</v>
      </c>
      <c r="E132" s="2">
        <v>4</v>
      </c>
      <c r="F132" s="2">
        <v>3</v>
      </c>
      <c r="G132" s="2">
        <v>4</v>
      </c>
      <c r="H132" s="2">
        <v>5</v>
      </c>
      <c r="I132" s="2">
        <v>10</v>
      </c>
      <c r="J132" s="2" t="str">
        <f>IF('Pack Pro-Player'!$J$24="Español",V132,(IF('Pack Pro-Player'!$J$24="Deutsch",W132,(IF('Pack Pro-Player'!$J$24="Français",X132,U132)))))</f>
        <v>Llave de brazo, Luchador, Solitario (3+), Cabeza dura</v>
      </c>
      <c r="K132" s="1">
        <v>75000</v>
      </c>
      <c r="L132" s="1">
        <f t="shared" si="10"/>
        <v>75</v>
      </c>
      <c r="M132" s="7">
        <v>2</v>
      </c>
      <c r="N132" s="7">
        <v>0</v>
      </c>
      <c r="O132" s="1" t="s">
        <v>170</v>
      </c>
      <c r="P132" s="1" t="s">
        <v>169</v>
      </c>
      <c r="Q132" s="1" t="s">
        <v>170</v>
      </c>
      <c r="R132" s="1">
        <v>0</v>
      </c>
      <c r="S132" s="1">
        <v>0</v>
      </c>
      <c r="T132" s="15" t="str">
        <f t="shared" si="13"/>
        <v>PM</v>
      </c>
      <c r="U132" s="15" t="s">
        <v>560</v>
      </c>
      <c r="V132" s="2" t="s">
        <v>561</v>
      </c>
      <c r="W132" s="15" t="s">
        <v>562</v>
      </c>
      <c r="X132" s="15" t="s">
        <v>563</v>
      </c>
      <c r="Y132" s="15"/>
    </row>
    <row r="133" spans="1:25" ht="12.75" customHeight="1" x14ac:dyDescent="0.2">
      <c r="A133" s="23" t="s">
        <v>118</v>
      </c>
      <c r="B133" s="2" t="str">
        <f>A133&amp;COUNTIF($A$2:$A133,A133)</f>
        <v>Old World Alliance8</v>
      </c>
      <c r="C133" s="2" t="s">
        <v>564</v>
      </c>
      <c r="D133" s="2" t="str">
        <f t="shared" si="0"/>
        <v>Old World AllianceDwarf Runner</v>
      </c>
      <c r="E133" s="2">
        <v>6</v>
      </c>
      <c r="F133" s="2">
        <v>3</v>
      </c>
      <c r="G133" s="2">
        <v>3</v>
      </c>
      <c r="H133" s="2">
        <v>4</v>
      </c>
      <c r="I133" s="2">
        <v>9</v>
      </c>
      <c r="J133" s="2" t="str">
        <f>IF('Pack Pro-Player'!$J$24="Español",V133,(IF('Pack Pro-Player'!$J$24="Deutsch",W133,(IF('Pack Pro-Player'!$J$24="Français",X133,U133)))))</f>
        <v>Solitario (3+), Manos seguras, Cabeza dura</v>
      </c>
      <c r="K133" s="1">
        <v>85000</v>
      </c>
      <c r="L133" s="1">
        <f t="shared" si="10"/>
        <v>85</v>
      </c>
      <c r="M133" s="1">
        <v>1</v>
      </c>
      <c r="N133" s="1">
        <v>0</v>
      </c>
      <c r="O133" s="1" t="s">
        <v>170</v>
      </c>
      <c r="P133" s="1" t="s">
        <v>169</v>
      </c>
      <c r="Q133" s="1" t="s">
        <v>169</v>
      </c>
      <c r="R133" s="1" t="s">
        <v>170</v>
      </c>
      <c r="S133" s="1">
        <v>0</v>
      </c>
      <c r="T133" s="15" t="str">
        <f t="shared" si="13"/>
        <v>M</v>
      </c>
      <c r="U133" s="15" t="s">
        <v>565</v>
      </c>
      <c r="V133" s="2" t="s">
        <v>566</v>
      </c>
      <c r="W133" s="15" t="s">
        <v>567</v>
      </c>
      <c r="X133" s="15" t="s">
        <v>568</v>
      </c>
      <c r="Y133" s="15"/>
    </row>
    <row r="134" spans="1:25" ht="12.75" customHeight="1" x14ac:dyDescent="0.2">
      <c r="A134" s="23" t="s">
        <v>118</v>
      </c>
      <c r="B134" s="2" t="str">
        <f>A134&amp;COUNTIF($A$2:$A134,A134)</f>
        <v>Old World Alliance9</v>
      </c>
      <c r="C134" s="2" t="s">
        <v>569</v>
      </c>
      <c r="D134" s="2" t="str">
        <f t="shared" si="0"/>
        <v>Old World AllianceDwarf Blitzer</v>
      </c>
      <c r="E134" s="2">
        <v>5</v>
      </c>
      <c r="F134" s="2">
        <v>3</v>
      </c>
      <c r="G134" s="2">
        <v>3</v>
      </c>
      <c r="H134" s="2">
        <v>4</v>
      </c>
      <c r="I134" s="2">
        <v>10</v>
      </c>
      <c r="J134" s="2" t="str">
        <f>IF('Pack Pro-Player'!$J$24="Español",V134,(IF('Pack Pro-Player'!$J$24="Deutsch",W134,(IF('Pack Pro-Player'!$J$24="Français",X134,U134)))))</f>
        <v>Placar, Solitario (3+), Cabeza dura</v>
      </c>
      <c r="K134" s="1">
        <v>80000</v>
      </c>
      <c r="L134" s="1">
        <f t="shared" si="10"/>
        <v>80</v>
      </c>
      <c r="M134" s="1">
        <v>1</v>
      </c>
      <c r="N134" s="1">
        <v>0</v>
      </c>
      <c r="O134" s="1" t="s">
        <v>170</v>
      </c>
      <c r="P134" s="1" t="s">
        <v>169</v>
      </c>
      <c r="Q134" s="1" t="s">
        <v>170</v>
      </c>
      <c r="R134" s="1">
        <v>0</v>
      </c>
      <c r="S134" s="1">
        <v>0</v>
      </c>
      <c r="T134" s="15" t="str">
        <f t="shared" si="13"/>
        <v>PM</v>
      </c>
      <c r="U134" s="15" t="s">
        <v>570</v>
      </c>
      <c r="V134" s="2" t="s">
        <v>571</v>
      </c>
      <c r="W134" s="15" t="s">
        <v>572</v>
      </c>
      <c r="X134" s="15" t="s">
        <v>573</v>
      </c>
      <c r="Y134" s="15"/>
    </row>
    <row r="135" spans="1:25" ht="12.75" customHeight="1" x14ac:dyDescent="0.2">
      <c r="A135" s="23" t="s">
        <v>118</v>
      </c>
      <c r="B135" s="2" t="str">
        <f>A135&amp;COUNTIF($A$2:$A135,A135)</f>
        <v>Old World Alliance10</v>
      </c>
      <c r="C135" s="2" t="s">
        <v>574</v>
      </c>
      <c r="D135" s="2" t="str">
        <f t="shared" si="0"/>
        <v>Old World AllianceDwarf Troll Slayer</v>
      </c>
      <c r="E135" s="2">
        <v>5</v>
      </c>
      <c r="F135" s="2">
        <v>3</v>
      </c>
      <c r="G135" s="2">
        <v>4</v>
      </c>
      <c r="H135" s="2">
        <v>0</v>
      </c>
      <c r="I135" s="2">
        <v>9</v>
      </c>
      <c r="J135" s="2" t="str">
        <f>IF('Pack Pro-Player'!$J$24="Español",V135,(IF('Pack Pro-Player'!$J$24="Deutsch",W135,(IF('Pack Pro-Player'!$J$24="Français",X135,U135)))))</f>
        <v>Placar, Furia, Agallas, Solitario (3+), Cabeza dura</v>
      </c>
      <c r="K135" s="1">
        <v>95000</v>
      </c>
      <c r="L135" s="1">
        <f t="shared" si="10"/>
        <v>95</v>
      </c>
      <c r="M135" s="1">
        <v>1</v>
      </c>
      <c r="N135" s="1">
        <v>0</v>
      </c>
      <c r="O135" s="1" t="s">
        <v>170</v>
      </c>
      <c r="P135" s="1" t="s">
        <v>169</v>
      </c>
      <c r="Q135" s="1" t="s">
        <v>170</v>
      </c>
      <c r="R135" s="12">
        <v>0</v>
      </c>
      <c r="S135" s="1">
        <v>0</v>
      </c>
      <c r="T135" s="15" t="str">
        <f t="shared" si="13"/>
        <v>PM</v>
      </c>
      <c r="U135" s="15" t="s">
        <v>575</v>
      </c>
      <c r="V135" s="15" t="s">
        <v>576</v>
      </c>
      <c r="W135" s="15" t="s">
        <v>577</v>
      </c>
      <c r="X135" s="15" t="s">
        <v>578</v>
      </c>
      <c r="Y135" s="15"/>
    </row>
    <row r="136" spans="1:25" ht="12.75" customHeight="1" x14ac:dyDescent="0.2">
      <c r="A136" s="23" t="s">
        <v>118</v>
      </c>
      <c r="B136" s="2" t="str">
        <f>A136&amp;COUNTIF($A$2:$A136,A136)</f>
        <v>Old World Alliance11</v>
      </c>
      <c r="C136" s="2" t="s">
        <v>110</v>
      </c>
      <c r="D136" s="2" t="str">
        <f t="shared" si="0"/>
        <v>Old World AllianceOgre</v>
      </c>
      <c r="E136" s="2">
        <v>5</v>
      </c>
      <c r="F136" s="2">
        <v>5</v>
      </c>
      <c r="G136" s="2">
        <v>4</v>
      </c>
      <c r="H136" s="2">
        <v>5</v>
      </c>
      <c r="I136" s="2">
        <v>10</v>
      </c>
      <c r="J136" s="2" t="str">
        <f>IF('Pack Pro-Player'!$J$24="Español",V136,(IF('Pack Pro-Player'!$J$24="Deutsch",W136,(IF('Pack Pro-Player'!$J$24="Français",X136,U136)))))</f>
        <v>Estúpido, Solitario (4+), Golpe mortífero (+1), Cabeza dura, Lanzar Compañero</v>
      </c>
      <c r="K136" s="1">
        <v>140000</v>
      </c>
      <c r="L136" s="1">
        <f t="shared" si="10"/>
        <v>140</v>
      </c>
      <c r="M136" s="2">
        <v>1</v>
      </c>
      <c r="N136" s="2">
        <v>1</v>
      </c>
      <c r="O136" s="1" t="s">
        <v>169</v>
      </c>
      <c r="P136" s="1" t="s">
        <v>169</v>
      </c>
      <c r="Q136" s="1" t="s">
        <v>170</v>
      </c>
      <c r="R136" s="1">
        <v>0</v>
      </c>
      <c r="S136" s="1">
        <v>0</v>
      </c>
      <c r="T136" s="15" t="str">
        <f t="shared" si="13"/>
        <v>PM</v>
      </c>
      <c r="U136" s="15" t="s">
        <v>270</v>
      </c>
      <c r="V136" s="15" t="s">
        <v>271</v>
      </c>
      <c r="W136" s="15" t="s">
        <v>272</v>
      </c>
      <c r="X136" s="15" t="s">
        <v>273</v>
      </c>
      <c r="Y136" s="15"/>
    </row>
    <row r="137" spans="1:25" ht="12.75" customHeight="1" x14ac:dyDescent="0.2">
      <c r="A137" s="23" t="s">
        <v>118</v>
      </c>
      <c r="B137" s="2" t="str">
        <f>A137&amp;COUNTIF($A$2:$A137,A137)</f>
        <v>Old World Alliance12</v>
      </c>
      <c r="C137" s="2" t="s">
        <v>414</v>
      </c>
      <c r="D137" s="2" t="str">
        <f t="shared" si="0"/>
        <v>Old World AllianceForest Treeman</v>
      </c>
      <c r="E137" s="2">
        <v>2</v>
      </c>
      <c r="F137" s="2">
        <v>6</v>
      </c>
      <c r="G137" s="2">
        <v>5</v>
      </c>
      <c r="H137" s="2">
        <v>5</v>
      </c>
      <c r="I137" s="2">
        <v>11</v>
      </c>
      <c r="J137" s="2" t="str">
        <f>IF('Pack Pro-Player'!$J$24="Español",V137,(IF('Pack Pro-Player'!$J$24="Deutsch",W137,(IF('Pack Pro-Player'!$J$24="Français",X137,U137)))))</f>
        <v>Golpe mortífero (+1), Solitario (4+), Mantenerse firme, Brazo fuerte, Echar raíces, Cabeza dura, Lanzar compañero, ¡Tronco va!</v>
      </c>
      <c r="K137" s="1">
        <v>120000</v>
      </c>
      <c r="L137" s="1">
        <f t="shared" si="10"/>
        <v>120</v>
      </c>
      <c r="M137" s="1">
        <v>1</v>
      </c>
      <c r="N137" s="1">
        <v>1</v>
      </c>
      <c r="O137" s="1" t="s">
        <v>169</v>
      </c>
      <c r="P137" s="1" t="s">
        <v>169</v>
      </c>
      <c r="Q137" s="1" t="s">
        <v>170</v>
      </c>
      <c r="R137" s="1" t="s">
        <v>169</v>
      </c>
      <c r="S137" s="1">
        <v>0</v>
      </c>
      <c r="T137" s="15" t="str">
        <f t="shared" si="13"/>
        <v>M</v>
      </c>
      <c r="U137" s="11" t="s">
        <v>579</v>
      </c>
      <c r="V137" s="11" t="s">
        <v>580</v>
      </c>
      <c r="W137" s="11" t="s">
        <v>581</v>
      </c>
      <c r="X137" s="18" t="s">
        <v>582</v>
      </c>
      <c r="Y137" s="15"/>
    </row>
    <row r="138" spans="1:25" ht="12.75" customHeight="1" x14ac:dyDescent="0.2">
      <c r="A138" s="23" t="s">
        <v>123</v>
      </c>
      <c r="B138" s="2" t="str">
        <f>A138&amp;COUNTIF($A$2:$A138,A138)</f>
        <v>Orc1</v>
      </c>
      <c r="C138" s="2" t="str">
        <f>""</f>
        <v/>
      </c>
      <c r="D138" s="2" t="str">
        <f t="shared" si="0"/>
        <v>Orc</v>
      </c>
      <c r="E138" s="2">
        <v>0</v>
      </c>
      <c r="F138" s="2">
        <v>0</v>
      </c>
      <c r="G138" s="2">
        <v>0</v>
      </c>
      <c r="H138" s="2">
        <v>0</v>
      </c>
      <c r="I138" s="2">
        <v>0</v>
      </c>
      <c r="J138" s="2">
        <f>IF('Pack Pro-Player'!$J$24="Español",V138,(IF('Pack Pro-Player'!$J$24="Deutsch",W138,(IF('Pack Pro-Player'!$J$24="Français",X138,U138)))))</f>
        <v>0</v>
      </c>
      <c r="K138" s="1">
        <v>0</v>
      </c>
      <c r="L138" s="1">
        <f t="shared" si="10"/>
        <v>0</v>
      </c>
      <c r="M138" s="1">
        <v>0</v>
      </c>
      <c r="N138" s="1">
        <v>0</v>
      </c>
      <c r="O138" s="1"/>
      <c r="P138" s="1"/>
      <c r="Q138" s="1"/>
      <c r="R138" s="1"/>
      <c r="S138" s="1"/>
      <c r="T138" s="15" t="str">
        <f t="shared" si="13"/>
        <v/>
      </c>
      <c r="U138" s="15">
        <v>0</v>
      </c>
      <c r="V138" s="15">
        <v>0</v>
      </c>
      <c r="W138" s="15">
        <v>0</v>
      </c>
      <c r="X138" s="15">
        <v>0</v>
      </c>
      <c r="Y138" s="15">
        <v>0</v>
      </c>
    </row>
    <row r="139" spans="1:25" ht="12.75" customHeight="1" x14ac:dyDescent="0.2">
      <c r="A139" s="23" t="s">
        <v>123</v>
      </c>
      <c r="B139" s="2" t="str">
        <f>A139&amp;COUNTIF($A$2:$A139,A139)</f>
        <v>Orc2</v>
      </c>
      <c r="C139" s="2" t="s">
        <v>319</v>
      </c>
      <c r="D139" s="2" t="str">
        <f t="shared" si="0"/>
        <v>OrcLineman</v>
      </c>
      <c r="E139" s="2">
        <v>5</v>
      </c>
      <c r="F139" s="2">
        <v>3</v>
      </c>
      <c r="G139" s="2">
        <v>3</v>
      </c>
      <c r="H139" s="2">
        <v>4</v>
      </c>
      <c r="I139" s="2">
        <v>10</v>
      </c>
      <c r="J139" s="2" t="str">
        <f>IF('Pack Pro-Player'!$J$24="Español",V139,(IF('Pack Pro-Player'!$J$24="Deutsch",W139,(IF('Pack Pro-Player'!$J$24="Français",X139,U139)))))</f>
        <v>Animosidad (Orc Linemen)</v>
      </c>
      <c r="K139" s="1">
        <v>50000</v>
      </c>
      <c r="L139" s="1">
        <f t="shared" si="10"/>
        <v>50</v>
      </c>
      <c r="M139" s="2">
        <v>16</v>
      </c>
      <c r="N139" s="2">
        <v>0</v>
      </c>
      <c r="O139" s="1" t="s">
        <v>170</v>
      </c>
      <c r="P139" s="1" t="s">
        <v>169</v>
      </c>
      <c r="Q139" s="1" t="s">
        <v>169</v>
      </c>
      <c r="R139" s="1">
        <v>0</v>
      </c>
      <c r="S139" s="1">
        <v>0</v>
      </c>
      <c r="T139" s="15" t="str">
        <f t="shared" si="13"/>
        <v>PM</v>
      </c>
      <c r="U139" s="15" t="s">
        <v>583</v>
      </c>
      <c r="V139" s="15" t="s">
        <v>584</v>
      </c>
      <c r="W139" s="15" t="s">
        <v>585</v>
      </c>
      <c r="X139" s="15" t="s">
        <v>586</v>
      </c>
      <c r="Y139" s="15"/>
    </row>
    <row r="140" spans="1:25" ht="12.75" customHeight="1" x14ac:dyDescent="0.2">
      <c r="A140" s="23" t="s">
        <v>123</v>
      </c>
      <c r="B140" s="2" t="str">
        <f>A140&amp;COUNTIF($A$2:$A140,A140)</f>
        <v>Orc3</v>
      </c>
      <c r="C140" s="2" t="s">
        <v>587</v>
      </c>
      <c r="D140" s="2" t="str">
        <f t="shared" si="0"/>
        <v xml:space="preserve">OrcGoblin </v>
      </c>
      <c r="E140" s="2">
        <v>6</v>
      </c>
      <c r="F140" s="2">
        <v>2</v>
      </c>
      <c r="G140" s="2">
        <v>3</v>
      </c>
      <c r="H140" s="2">
        <v>4</v>
      </c>
      <c r="I140" s="2">
        <v>8</v>
      </c>
      <c r="J140" s="2" t="str">
        <f>IF('Pack Pro-Player'!$J$24="Español",V140,(IF('Pack Pro-Player'!$J$24="Deutsch",W140,(IF('Pack Pro-Player'!$J$24="Français",X140,U140)))))</f>
        <v>Esquivar, Humanoide bala, Escurridizo</v>
      </c>
      <c r="K140" s="1">
        <v>40000</v>
      </c>
      <c r="L140" s="1">
        <f t="shared" si="10"/>
        <v>40</v>
      </c>
      <c r="M140" s="2">
        <v>4</v>
      </c>
      <c r="N140" s="2">
        <v>0</v>
      </c>
      <c r="O140" s="1" t="s">
        <v>169</v>
      </c>
      <c r="P140" s="1" t="s">
        <v>170</v>
      </c>
      <c r="Q140" s="1" t="s">
        <v>169</v>
      </c>
      <c r="R140" s="1">
        <v>0</v>
      </c>
      <c r="S140" s="1">
        <v>0</v>
      </c>
      <c r="T140" s="15" t="str">
        <f t="shared" si="13"/>
        <v>PM</v>
      </c>
      <c r="U140" s="15" t="s">
        <v>368</v>
      </c>
      <c r="V140" s="15" t="s">
        <v>369</v>
      </c>
      <c r="W140" s="15" t="s">
        <v>370</v>
      </c>
      <c r="X140" s="15" t="s">
        <v>371</v>
      </c>
      <c r="Y140" s="15"/>
    </row>
    <row r="141" spans="1:25" ht="12.75" customHeight="1" x14ac:dyDescent="0.2">
      <c r="A141" s="23" t="s">
        <v>123</v>
      </c>
      <c r="B141" s="2" t="str">
        <f>A141&amp;COUNTIF($A$2:$A141,A141)</f>
        <v>Orc4</v>
      </c>
      <c r="C141" s="2" t="s">
        <v>241</v>
      </c>
      <c r="D141" s="2" t="str">
        <f t="shared" si="0"/>
        <v>OrcThrower</v>
      </c>
      <c r="E141" s="2">
        <v>5</v>
      </c>
      <c r="F141" s="2">
        <v>3</v>
      </c>
      <c r="G141" s="2">
        <v>3</v>
      </c>
      <c r="H141" s="2">
        <v>3</v>
      </c>
      <c r="I141" s="2">
        <v>9</v>
      </c>
      <c r="J141" s="2" t="str">
        <f>IF('Pack Pro-Player'!$J$24="Español",V141,(IF('Pack Pro-Player'!$J$24="Deutsch",W141,(IF('Pack Pro-Player'!$J$24="Français",X141,U141)))))</f>
        <v>Animosidad (todo el equipo), Pasar, Manos seguras</v>
      </c>
      <c r="K141" s="1">
        <v>65000</v>
      </c>
      <c r="L141" s="1">
        <f t="shared" si="10"/>
        <v>65</v>
      </c>
      <c r="M141" s="2">
        <v>2</v>
      </c>
      <c r="N141" s="2">
        <v>0</v>
      </c>
      <c r="O141" s="1" t="s">
        <v>170</v>
      </c>
      <c r="P141" s="1" t="s">
        <v>169</v>
      </c>
      <c r="Q141" s="1" t="s">
        <v>170</v>
      </c>
      <c r="R141" s="1" t="s">
        <v>170</v>
      </c>
      <c r="S141" s="1">
        <v>0</v>
      </c>
      <c r="T141" s="15" t="str">
        <f t="shared" si="13"/>
        <v>M</v>
      </c>
      <c r="U141" s="15" t="s">
        <v>1131</v>
      </c>
      <c r="V141" s="15" t="s">
        <v>588</v>
      </c>
      <c r="W141" s="15" t="s">
        <v>589</v>
      </c>
      <c r="X141" s="15" t="s">
        <v>590</v>
      </c>
      <c r="Y141" s="15"/>
    </row>
    <row r="142" spans="1:25" ht="12.75" customHeight="1" x14ac:dyDescent="0.2">
      <c r="A142" s="23" t="s">
        <v>123</v>
      </c>
      <c r="B142" s="2" t="str">
        <f>A142&amp;COUNTIF($A$2:$A142,A142)</f>
        <v>Orc5</v>
      </c>
      <c r="C142" s="2" t="s">
        <v>591</v>
      </c>
      <c r="D142" s="2" t="str">
        <f t="shared" si="0"/>
        <v>OrcBig Un</v>
      </c>
      <c r="E142" s="2">
        <v>5</v>
      </c>
      <c r="F142" s="2">
        <v>4</v>
      </c>
      <c r="G142" s="2">
        <v>4</v>
      </c>
      <c r="H142" s="2">
        <v>0</v>
      </c>
      <c r="I142" s="2">
        <v>10</v>
      </c>
      <c r="J142" s="2" t="str">
        <f>IF('Pack Pro-Player'!$J$24="Español",V142,(IF('Pack Pro-Player'!$J$24="Deutsch",W142,(IF('Pack Pro-Player'!$J$24="Français",X142,U142)))))</f>
        <v>Animosidad (Big Un Blockers)</v>
      </c>
      <c r="K142" s="1">
        <v>90000</v>
      </c>
      <c r="L142" s="1">
        <f t="shared" si="10"/>
        <v>90</v>
      </c>
      <c r="M142" s="2">
        <v>4</v>
      </c>
      <c r="N142" s="2">
        <v>0</v>
      </c>
      <c r="O142" s="1" t="s">
        <v>170</v>
      </c>
      <c r="P142" s="1" t="s">
        <v>169</v>
      </c>
      <c r="Q142" s="1" t="s">
        <v>170</v>
      </c>
      <c r="R142" s="12">
        <v>0</v>
      </c>
      <c r="S142" s="1">
        <v>0</v>
      </c>
      <c r="T142" s="15" t="str">
        <f t="shared" si="13"/>
        <v>PM</v>
      </c>
      <c r="U142" s="15" t="s">
        <v>592</v>
      </c>
      <c r="V142" s="15" t="s">
        <v>593</v>
      </c>
      <c r="W142" s="15" t="s">
        <v>594</v>
      </c>
      <c r="X142" s="15" t="s">
        <v>595</v>
      </c>
      <c r="Y142" s="15"/>
    </row>
    <row r="143" spans="1:25" ht="12.75" customHeight="1" x14ac:dyDescent="0.2">
      <c r="A143" s="23" t="s">
        <v>123</v>
      </c>
      <c r="B143" s="2" t="str">
        <f>A143&amp;COUNTIF($A$2:$A143,A143)</f>
        <v>Orc6</v>
      </c>
      <c r="C143" s="2" t="s">
        <v>243</v>
      </c>
      <c r="D143" s="2" t="str">
        <f t="shared" si="0"/>
        <v>OrcBlitzer</v>
      </c>
      <c r="E143" s="2">
        <v>6</v>
      </c>
      <c r="F143" s="2">
        <v>3</v>
      </c>
      <c r="G143" s="2">
        <v>3</v>
      </c>
      <c r="H143" s="2">
        <v>4</v>
      </c>
      <c r="I143" s="2">
        <v>10</v>
      </c>
      <c r="J143" s="2" t="str">
        <f>IF('Pack Pro-Player'!$J$24="Español",V143,(IF('Pack Pro-Player'!$J$24="Deutsch",W143,(IF('Pack Pro-Player'!$J$24="Français",X143,U143)))))</f>
        <v>Animosidad (todo el equipo), Placar</v>
      </c>
      <c r="K143" s="1">
        <v>80000</v>
      </c>
      <c r="L143" s="1">
        <f t="shared" si="10"/>
        <v>80</v>
      </c>
      <c r="M143" s="2">
        <v>4</v>
      </c>
      <c r="N143" s="2">
        <v>0</v>
      </c>
      <c r="O143" s="1" t="s">
        <v>170</v>
      </c>
      <c r="P143" s="1" t="s">
        <v>169</v>
      </c>
      <c r="Q143" s="1" t="s">
        <v>170</v>
      </c>
      <c r="R143" s="1" t="s">
        <v>169</v>
      </c>
      <c r="S143" s="1">
        <v>0</v>
      </c>
      <c r="T143" s="15" t="str">
        <f t="shared" si="13"/>
        <v>M</v>
      </c>
      <c r="U143" s="15" t="s">
        <v>1132</v>
      </c>
      <c r="V143" s="2" t="s">
        <v>596</v>
      </c>
      <c r="W143" s="15" t="s">
        <v>597</v>
      </c>
      <c r="X143" s="15" t="s">
        <v>598</v>
      </c>
      <c r="Y143" s="15"/>
    </row>
    <row r="144" spans="1:25" ht="12.75" customHeight="1" x14ac:dyDescent="0.2">
      <c r="A144" s="23" t="s">
        <v>123</v>
      </c>
      <c r="B144" s="2" t="str">
        <f>A144&amp;COUNTIF($A$2:$A144,A144)</f>
        <v>Orc7</v>
      </c>
      <c r="C144" s="2" t="s">
        <v>599</v>
      </c>
      <c r="D144" s="2" t="str">
        <f t="shared" si="0"/>
        <v>OrcUntrained Troll</v>
      </c>
      <c r="E144" s="2">
        <v>4</v>
      </c>
      <c r="F144" s="2">
        <v>5</v>
      </c>
      <c r="G144" s="2">
        <v>5</v>
      </c>
      <c r="H144" s="2">
        <v>5</v>
      </c>
      <c r="I144" s="2">
        <v>10</v>
      </c>
      <c r="J144" s="2" t="str">
        <f>IF('Pack Pro-Player'!$J$24="Español",V144,(IF('Pack Pro-Player'!$J$24="Deutsch",W144,(IF('Pack Pro-Player'!$J$24="Français",X144,U144)))))</f>
        <v>Siempre hambriento, Solitario (4+), Golpe mortífero (+1), Proyectil de vómito, Realmente estúpido, Regeneración, Lanzar compañero</v>
      </c>
      <c r="K144" s="1">
        <v>115000</v>
      </c>
      <c r="L144" s="1">
        <f t="shared" si="10"/>
        <v>115</v>
      </c>
      <c r="M144" s="2">
        <v>1</v>
      </c>
      <c r="N144" s="2">
        <v>1</v>
      </c>
      <c r="O144" s="1" t="s">
        <v>169</v>
      </c>
      <c r="P144" s="1" t="s">
        <v>169</v>
      </c>
      <c r="Q144" s="1" t="s">
        <v>170</v>
      </c>
      <c r="R144" s="1" t="s">
        <v>169</v>
      </c>
      <c r="S144" s="1">
        <v>0</v>
      </c>
      <c r="T144" s="15" t="str">
        <f t="shared" si="13"/>
        <v>M</v>
      </c>
      <c r="U144" s="15" t="s">
        <v>265</v>
      </c>
      <c r="V144" s="2" t="s">
        <v>266</v>
      </c>
      <c r="W144" s="15" t="s">
        <v>267</v>
      </c>
      <c r="X144" s="15" t="s">
        <v>268</v>
      </c>
      <c r="Y144" s="15"/>
    </row>
    <row r="145" spans="1:25" ht="12.75" customHeight="1" x14ac:dyDescent="0.2">
      <c r="A145" s="23" t="s">
        <v>128</v>
      </c>
      <c r="B145" s="2" t="str">
        <f>A145&amp;COUNTIF($A$2:$A145,A145)</f>
        <v>Shambling Undead1</v>
      </c>
      <c r="C145" s="2" t="str">
        <f>""</f>
        <v/>
      </c>
      <c r="D145" s="2" t="str">
        <f t="shared" si="0"/>
        <v>Shambling Undead</v>
      </c>
      <c r="E145" s="2">
        <v>0</v>
      </c>
      <c r="F145" s="2">
        <v>0</v>
      </c>
      <c r="G145" s="2">
        <v>0</v>
      </c>
      <c r="H145" s="2">
        <v>0</v>
      </c>
      <c r="I145" s="2">
        <v>0</v>
      </c>
      <c r="J145" s="2">
        <f>IF('Pack Pro-Player'!$J$24="Español",V145,(IF('Pack Pro-Player'!$J$24="Deutsch",W145,(IF('Pack Pro-Player'!$J$24="Français",X145,U145)))))</f>
        <v>0</v>
      </c>
      <c r="K145" s="1">
        <v>0</v>
      </c>
      <c r="L145" s="1">
        <f t="shared" si="10"/>
        <v>0</v>
      </c>
      <c r="M145" s="1">
        <v>0</v>
      </c>
      <c r="N145" s="1">
        <v>0</v>
      </c>
      <c r="O145" s="1"/>
      <c r="P145" s="1"/>
      <c r="Q145" s="1"/>
      <c r="R145" s="1"/>
      <c r="S145" s="1"/>
      <c r="T145" s="15" t="str">
        <f t="shared" si="13"/>
        <v/>
      </c>
      <c r="U145" s="15">
        <v>0</v>
      </c>
      <c r="V145" s="15">
        <v>0</v>
      </c>
      <c r="W145" s="15">
        <v>0</v>
      </c>
      <c r="X145" s="15">
        <v>0</v>
      </c>
      <c r="Y145" s="15">
        <v>0</v>
      </c>
    </row>
    <row r="146" spans="1:25" ht="12.75" customHeight="1" x14ac:dyDescent="0.2">
      <c r="A146" s="23" t="s">
        <v>128</v>
      </c>
      <c r="B146" s="2" t="str">
        <f>A146&amp;COUNTIF($A$2:$A146,A146)</f>
        <v>Shambling Undead2</v>
      </c>
      <c r="C146" s="2" t="s">
        <v>600</v>
      </c>
      <c r="D146" s="2" t="str">
        <f t="shared" si="0"/>
        <v>Shambling UndeadSkeleton</v>
      </c>
      <c r="E146" s="2">
        <v>5</v>
      </c>
      <c r="F146" s="2">
        <v>3</v>
      </c>
      <c r="G146" s="2">
        <v>4</v>
      </c>
      <c r="H146" s="2">
        <v>6</v>
      </c>
      <c r="I146" s="2">
        <v>8</v>
      </c>
      <c r="J146" s="2" t="str">
        <f>IF('Pack Pro-Player'!$J$24="Español",V146,(IF('Pack Pro-Player'!$J$24="Deutsch",W146,(IF('Pack Pro-Player'!$J$24="Français",X146,U146)))))</f>
        <v>Regeneración, Cabeza dura</v>
      </c>
      <c r="K146" s="1">
        <v>40000</v>
      </c>
      <c r="L146" s="1">
        <f t="shared" si="10"/>
        <v>40</v>
      </c>
      <c r="M146" s="2">
        <v>16</v>
      </c>
      <c r="N146" s="2">
        <v>0</v>
      </c>
      <c r="O146" s="1" t="s">
        <v>170</v>
      </c>
      <c r="P146" s="1" t="s">
        <v>169</v>
      </c>
      <c r="Q146" s="1" t="s">
        <v>169</v>
      </c>
      <c r="R146" s="1">
        <v>0</v>
      </c>
      <c r="S146" s="1">
        <v>0</v>
      </c>
      <c r="T146" s="15" t="str">
        <f t="shared" si="13"/>
        <v>PM</v>
      </c>
      <c r="U146" s="15" t="s">
        <v>601</v>
      </c>
      <c r="V146" s="2" t="s">
        <v>602</v>
      </c>
      <c r="W146" s="15" t="s">
        <v>603</v>
      </c>
      <c r="X146" s="15" t="s">
        <v>604</v>
      </c>
      <c r="Y146" s="15"/>
    </row>
    <row r="147" spans="1:25" ht="12.75" customHeight="1" x14ac:dyDescent="0.2">
      <c r="A147" s="23" t="s">
        <v>128</v>
      </c>
      <c r="B147" s="2" t="str">
        <f>A147&amp;COUNTIF($A$2:$A147,A147)</f>
        <v>Shambling Undead3</v>
      </c>
      <c r="C147" s="2" t="s">
        <v>479</v>
      </c>
      <c r="D147" s="2" t="str">
        <f t="shared" si="0"/>
        <v>Shambling UndeadZombie</v>
      </c>
      <c r="E147" s="2">
        <v>4</v>
      </c>
      <c r="F147" s="2">
        <v>3</v>
      </c>
      <c r="G147" s="2">
        <v>4</v>
      </c>
      <c r="H147" s="2">
        <v>0</v>
      </c>
      <c r="I147" s="2">
        <v>9</v>
      </c>
      <c r="J147" s="2" t="str">
        <f>IF('Pack Pro-Player'!$J$24="Español",V147,(IF('Pack Pro-Player'!$J$24="Deutsch",W147,(IF('Pack Pro-Player'!$J$24="Français",X147,U147)))))</f>
        <v>Regeneración</v>
      </c>
      <c r="K147" s="1">
        <v>40000</v>
      </c>
      <c r="L147" s="1">
        <f t="shared" si="10"/>
        <v>40</v>
      </c>
      <c r="M147" s="2">
        <v>16</v>
      </c>
      <c r="N147" s="2">
        <v>0</v>
      </c>
      <c r="O147" s="1" t="s">
        <v>170</v>
      </c>
      <c r="P147" s="1" t="s">
        <v>169</v>
      </c>
      <c r="Q147" s="1" t="s">
        <v>169</v>
      </c>
      <c r="R147" s="12">
        <v>0</v>
      </c>
      <c r="S147" s="1">
        <v>0</v>
      </c>
      <c r="T147" s="15" t="str">
        <f t="shared" si="13"/>
        <v>PM</v>
      </c>
      <c r="U147" s="15" t="s">
        <v>480</v>
      </c>
      <c r="V147" s="2" t="s">
        <v>481</v>
      </c>
      <c r="W147" s="15" t="s">
        <v>480</v>
      </c>
      <c r="X147" s="15" t="s">
        <v>482</v>
      </c>
      <c r="Y147" s="15"/>
    </row>
    <row r="148" spans="1:25" ht="12.75" customHeight="1" x14ac:dyDescent="0.2">
      <c r="A148" s="23" t="s">
        <v>128</v>
      </c>
      <c r="B148" s="2" t="str">
        <f>A148&amp;COUNTIF($A$2:$A148,A148)</f>
        <v>Shambling Undead4</v>
      </c>
      <c r="C148" s="2" t="s">
        <v>483</v>
      </c>
      <c r="D148" s="2" t="str">
        <f t="shared" si="0"/>
        <v>Shambling UndeadGhoul</v>
      </c>
      <c r="E148" s="2">
        <v>7</v>
      </c>
      <c r="F148" s="2">
        <v>3</v>
      </c>
      <c r="G148" s="2">
        <v>3</v>
      </c>
      <c r="H148" s="2">
        <v>4</v>
      </c>
      <c r="I148" s="2">
        <v>8</v>
      </c>
      <c r="J148" s="2" t="str">
        <f>IF('Pack Pro-Player'!$J$24="Español",V148,(IF('Pack Pro-Player'!$J$24="Deutsch",W148,(IF('Pack Pro-Player'!$J$24="Français",X148,U148)))))</f>
        <v>Esquivar</v>
      </c>
      <c r="K148" s="1">
        <v>75000</v>
      </c>
      <c r="L148" s="1">
        <f t="shared" si="10"/>
        <v>75</v>
      </c>
      <c r="M148" s="2">
        <v>4</v>
      </c>
      <c r="N148" s="2">
        <v>0</v>
      </c>
      <c r="O148" s="1" t="s">
        <v>170</v>
      </c>
      <c r="P148" s="1" t="s">
        <v>170</v>
      </c>
      <c r="Q148" s="1" t="s">
        <v>169</v>
      </c>
      <c r="R148" s="1" t="s">
        <v>169</v>
      </c>
      <c r="S148" s="1">
        <v>0</v>
      </c>
      <c r="T148" s="15" t="str">
        <f t="shared" si="13"/>
        <v>M</v>
      </c>
      <c r="U148" s="15" t="s">
        <v>237</v>
      </c>
      <c r="V148" s="15" t="s">
        <v>238</v>
      </c>
      <c r="W148" s="15" t="s">
        <v>239</v>
      </c>
      <c r="X148" s="15" t="s">
        <v>240</v>
      </c>
      <c r="Y148" s="15"/>
    </row>
    <row r="149" spans="1:25" ht="12.75" customHeight="1" x14ac:dyDescent="0.2">
      <c r="A149" s="23" t="s">
        <v>128</v>
      </c>
      <c r="B149" s="2" t="str">
        <f>A149&amp;COUNTIF($A$2:$A149,A149)</f>
        <v>Shambling Undead5</v>
      </c>
      <c r="C149" s="2" t="s">
        <v>605</v>
      </c>
      <c r="D149" s="2" t="str">
        <f t="shared" si="0"/>
        <v>Shambling UndeadWight</v>
      </c>
      <c r="E149" s="2">
        <v>6</v>
      </c>
      <c r="F149" s="2">
        <v>3</v>
      </c>
      <c r="G149" s="2">
        <v>3</v>
      </c>
      <c r="H149" s="2">
        <v>5</v>
      </c>
      <c r="I149" s="2">
        <v>9</v>
      </c>
      <c r="J149" s="2" t="str">
        <f>IF('Pack Pro-Player'!$J$24="Español",V149,(IF('Pack Pro-Player'!$J$24="Deutsch",W149,(IF('Pack Pro-Player'!$J$24="Français",X149,U149)))))</f>
        <v>Placar, Regeneración</v>
      </c>
      <c r="K149" s="1">
        <v>90000</v>
      </c>
      <c r="L149" s="1">
        <f t="shared" si="10"/>
        <v>90</v>
      </c>
      <c r="M149" s="2">
        <v>2</v>
      </c>
      <c r="N149" s="2">
        <v>0</v>
      </c>
      <c r="O149" s="1" t="s">
        <v>170</v>
      </c>
      <c r="P149" s="1" t="s">
        <v>169</v>
      </c>
      <c r="Q149" s="1" t="s">
        <v>170</v>
      </c>
      <c r="R149" s="1" t="s">
        <v>169</v>
      </c>
      <c r="S149" s="1">
        <v>0</v>
      </c>
      <c r="T149" s="15" t="str">
        <f t="shared" si="13"/>
        <v>M</v>
      </c>
      <c r="U149" s="15" t="s">
        <v>606</v>
      </c>
      <c r="V149" s="15" t="s">
        <v>607</v>
      </c>
      <c r="W149" s="15" t="s">
        <v>606</v>
      </c>
      <c r="X149" s="15" t="s">
        <v>608</v>
      </c>
      <c r="Y149" s="15"/>
    </row>
    <row r="150" spans="1:25" ht="12.75" customHeight="1" x14ac:dyDescent="0.2">
      <c r="A150" s="23" t="s">
        <v>128</v>
      </c>
      <c r="B150" s="2" t="str">
        <f>A150&amp;COUNTIF($A$2:$A150,A150)</f>
        <v>Shambling Undead6</v>
      </c>
      <c r="C150" s="2" t="s">
        <v>609</v>
      </c>
      <c r="D150" s="2" t="str">
        <f t="shared" si="0"/>
        <v>Shambling UndeadMummy</v>
      </c>
      <c r="E150" s="2">
        <v>3</v>
      </c>
      <c r="F150" s="2">
        <v>5</v>
      </c>
      <c r="G150" s="2">
        <v>5</v>
      </c>
      <c r="H150" s="2">
        <v>0</v>
      </c>
      <c r="I150" s="2">
        <v>10</v>
      </c>
      <c r="J150" s="2" t="str">
        <f>IF('Pack Pro-Player'!$J$24="Español",V150,(IF('Pack Pro-Player'!$J$24="Deutsch",W150,(IF('Pack Pro-Player'!$J$24="Français",X150,U150)))))</f>
        <v>Golpe mortífero (+1), Regeneración</v>
      </c>
      <c r="K150" s="1">
        <v>125000</v>
      </c>
      <c r="L150" s="1">
        <f t="shared" si="10"/>
        <v>125</v>
      </c>
      <c r="M150" s="1">
        <v>2</v>
      </c>
      <c r="N150" s="1">
        <v>0</v>
      </c>
      <c r="O150" s="1" t="s">
        <v>169</v>
      </c>
      <c r="P150" s="1" t="s">
        <v>169</v>
      </c>
      <c r="Q150" s="1" t="s">
        <v>170</v>
      </c>
      <c r="R150" s="12">
        <v>0</v>
      </c>
      <c r="S150" s="1">
        <v>0</v>
      </c>
      <c r="T150" s="15" t="str">
        <f t="shared" si="13"/>
        <v>PM</v>
      </c>
      <c r="U150" s="15" t="s">
        <v>610</v>
      </c>
      <c r="V150" s="2" t="s">
        <v>611</v>
      </c>
      <c r="W150" s="15" t="s">
        <v>612</v>
      </c>
      <c r="X150" s="15" t="s">
        <v>613</v>
      </c>
      <c r="Y150" s="15"/>
    </row>
    <row r="151" spans="1:25" ht="12.75" customHeight="1" x14ac:dyDescent="0.2">
      <c r="A151" s="23" t="s">
        <v>134</v>
      </c>
      <c r="B151" s="2" t="str">
        <f>A151&amp;COUNTIF($A$2:$A151,A151)</f>
        <v>Slann1</v>
      </c>
      <c r="C151" s="2" t="str">
        <f>""</f>
        <v/>
      </c>
      <c r="D151" s="2" t="str">
        <f t="shared" si="0"/>
        <v>Slann</v>
      </c>
      <c r="E151" s="2">
        <v>0</v>
      </c>
      <c r="F151" s="2">
        <v>0</v>
      </c>
      <c r="G151" s="2">
        <v>0</v>
      </c>
      <c r="H151" s="2">
        <v>0</v>
      </c>
      <c r="I151" s="2">
        <v>0</v>
      </c>
      <c r="J151" s="2" t="str">
        <f>IF('Pack Pro-Player'!$J$24="Español",V151,(IF('Pack Pro-Player'!$J$24="Deutsch",W151,(IF('Pack Pro-Player'!$J$24="Français",X151,U151)))))</f>
        <v>Regeneración</v>
      </c>
      <c r="K151" s="1">
        <v>0</v>
      </c>
      <c r="L151" s="1">
        <f t="shared" ref="L151:L194" si="14">K151/1000</f>
        <v>0</v>
      </c>
      <c r="M151" s="1">
        <v>0</v>
      </c>
      <c r="N151" s="1">
        <v>0</v>
      </c>
      <c r="O151" s="1"/>
      <c r="P151" s="1"/>
      <c r="Q151" s="1"/>
      <c r="R151" s="12"/>
      <c r="S151" s="1"/>
      <c r="T151" s="15" t="str">
        <f t="shared" si="13"/>
        <v/>
      </c>
      <c r="U151" s="15" t="s">
        <v>480</v>
      </c>
      <c r="V151" s="2" t="s">
        <v>481</v>
      </c>
      <c r="W151" s="15" t="s">
        <v>480</v>
      </c>
      <c r="X151" s="15" t="s">
        <v>482</v>
      </c>
      <c r="Y151" s="15">
        <v>0</v>
      </c>
    </row>
    <row r="152" spans="1:25" ht="12.75" customHeight="1" x14ac:dyDescent="0.2">
      <c r="A152" s="23" t="s">
        <v>134</v>
      </c>
      <c r="B152" s="2" t="str">
        <f>A152&amp;COUNTIF($A$2:$A152,A152)</f>
        <v>Slann2</v>
      </c>
      <c r="C152" s="2" t="s">
        <v>319</v>
      </c>
      <c r="D152" s="2" t="str">
        <f t="shared" si="0"/>
        <v>SlannLineman</v>
      </c>
      <c r="E152" s="2">
        <v>6</v>
      </c>
      <c r="F152" s="2">
        <v>3</v>
      </c>
      <c r="G152" s="2">
        <v>3</v>
      </c>
      <c r="H152" s="2">
        <v>4</v>
      </c>
      <c r="I152" s="2">
        <v>9</v>
      </c>
      <c r="J152" s="2" t="str">
        <f>IF('Pack Pro-Player'!$J$24="Español",V152,(IF('Pack Pro-Player'!$J$24="Deutsch",W152,(IF('Pack Pro-Player'!$J$24="Français",X152,U152)))))</f>
        <v>Pogo saltarín, Piernas muy largas</v>
      </c>
      <c r="K152" s="1">
        <v>60000</v>
      </c>
      <c r="L152" s="1">
        <f t="shared" si="14"/>
        <v>60</v>
      </c>
      <c r="M152" s="2">
        <v>16</v>
      </c>
      <c r="N152" s="2">
        <v>0</v>
      </c>
      <c r="O152" s="1" t="s">
        <v>170</v>
      </c>
      <c r="P152" s="1" t="s">
        <v>169</v>
      </c>
      <c r="Q152" s="1" t="s">
        <v>169</v>
      </c>
      <c r="R152" s="1">
        <v>0</v>
      </c>
      <c r="S152" s="1">
        <v>0</v>
      </c>
      <c r="T152" s="15" t="str">
        <f t="shared" si="13"/>
        <v>PM</v>
      </c>
      <c r="U152" s="15" t="s">
        <v>614</v>
      </c>
      <c r="V152" s="2" t="s">
        <v>615</v>
      </c>
      <c r="W152" s="15" t="s">
        <v>616</v>
      </c>
      <c r="X152" s="15" t="s">
        <v>617</v>
      </c>
      <c r="Y152" s="15"/>
    </row>
    <row r="153" spans="1:25" ht="12.75" customHeight="1" x14ac:dyDescent="0.2">
      <c r="A153" s="23" t="s">
        <v>134</v>
      </c>
      <c r="B153" s="2" t="str">
        <f>A153&amp;COUNTIF($A$2:$A153,A153)</f>
        <v>Slann3</v>
      </c>
      <c r="C153" s="2" t="s">
        <v>242</v>
      </c>
      <c r="D153" s="2" t="str">
        <f t="shared" si="0"/>
        <v>SlannCatcher</v>
      </c>
      <c r="E153" s="2">
        <v>7</v>
      </c>
      <c r="F153" s="2">
        <v>2</v>
      </c>
      <c r="G153" s="2">
        <v>2</v>
      </c>
      <c r="H153" s="2">
        <v>4</v>
      </c>
      <c r="I153" s="2">
        <v>8</v>
      </c>
      <c r="J153" s="2" t="str">
        <f>IF('Pack Pro-Player'!$J$24="Español",V153,(IF('Pack Pro-Player'!$J$24="Deutsch",W153,(IF('Pack Pro-Player'!$J$24="Français",X153,U153)))))</f>
        <v>Recepción heroica, Pogo saltarín, Piernas muy largas</v>
      </c>
      <c r="K153" s="1">
        <v>80000</v>
      </c>
      <c r="L153" s="1">
        <f t="shared" si="14"/>
        <v>80</v>
      </c>
      <c r="M153" s="2">
        <v>4</v>
      </c>
      <c r="N153" s="2">
        <v>0</v>
      </c>
      <c r="O153" s="1" t="s">
        <v>170</v>
      </c>
      <c r="P153" s="1" t="s">
        <v>170</v>
      </c>
      <c r="Q153" s="1" t="s">
        <v>169</v>
      </c>
      <c r="R153" s="1" t="s">
        <v>169</v>
      </c>
      <c r="S153" s="1">
        <v>0</v>
      </c>
      <c r="T153" s="15" t="str">
        <f t="shared" si="13"/>
        <v>M</v>
      </c>
      <c r="U153" s="15" t="s">
        <v>618</v>
      </c>
      <c r="V153" s="15" t="s">
        <v>619</v>
      </c>
      <c r="W153" s="15" t="s">
        <v>620</v>
      </c>
      <c r="X153" s="15" t="s">
        <v>621</v>
      </c>
      <c r="Y153" s="15"/>
    </row>
    <row r="154" spans="1:25" ht="12.75" customHeight="1" x14ac:dyDescent="0.2">
      <c r="A154" s="23" t="s">
        <v>134</v>
      </c>
      <c r="B154" s="2" t="str">
        <f>A154&amp;COUNTIF($A$2:$A154,A154)</f>
        <v>Slann4</v>
      </c>
      <c r="C154" s="2" t="s">
        <v>243</v>
      </c>
      <c r="D154" s="2" t="str">
        <f t="shared" si="0"/>
        <v>SlannBlitzer</v>
      </c>
      <c r="E154" s="2">
        <v>7</v>
      </c>
      <c r="F154" s="2">
        <v>3</v>
      </c>
      <c r="G154" s="2">
        <v>3</v>
      </c>
      <c r="H154" s="2">
        <v>4</v>
      </c>
      <c r="I154" s="2">
        <v>9</v>
      </c>
      <c r="J154" s="2" t="str">
        <f>IF('Pack Pro-Player'!$J$24="Español",V154,(IF('Pack Pro-Player'!$J$24="Deutsch",W154,(IF('Pack Pro-Player'!$J$24="Français",X154,U154)))))</f>
        <v>Placaje heroico, En pie de un salto, Pogo saltarín, Piernas muy largas</v>
      </c>
      <c r="K154" s="1">
        <v>110000</v>
      </c>
      <c r="L154" s="1">
        <f t="shared" si="14"/>
        <v>110</v>
      </c>
      <c r="M154" s="2">
        <v>4</v>
      </c>
      <c r="N154" s="2">
        <v>0</v>
      </c>
      <c r="O154" s="1" t="s">
        <v>170</v>
      </c>
      <c r="P154" s="1" t="s">
        <v>170</v>
      </c>
      <c r="Q154" s="1" t="s">
        <v>170</v>
      </c>
      <c r="R154" s="1" t="s">
        <v>169</v>
      </c>
      <c r="S154" s="1">
        <v>0</v>
      </c>
      <c r="T154" s="15" t="str">
        <f t="shared" si="13"/>
        <v>M</v>
      </c>
      <c r="U154" s="15" t="s">
        <v>622</v>
      </c>
      <c r="V154" s="15" t="s">
        <v>623</v>
      </c>
      <c r="W154" s="15" t="s">
        <v>624</v>
      </c>
      <c r="X154" s="15" t="s">
        <v>625</v>
      </c>
      <c r="Y154" s="15"/>
    </row>
    <row r="155" spans="1:25" ht="12.75" customHeight="1" x14ac:dyDescent="0.2">
      <c r="A155" s="23" t="s">
        <v>134</v>
      </c>
      <c r="B155" s="2" t="str">
        <f>A155&amp;COUNTIF($A$2:$A155,A155)</f>
        <v>Slann5</v>
      </c>
      <c r="C155" s="2" t="s">
        <v>474</v>
      </c>
      <c r="D155" s="2" t="str">
        <f t="shared" si="0"/>
        <v>SlannKroxigor</v>
      </c>
      <c r="E155" s="2">
        <v>6</v>
      </c>
      <c r="F155" s="2">
        <v>5</v>
      </c>
      <c r="G155" s="2">
        <v>5</v>
      </c>
      <c r="H155" s="2">
        <v>0</v>
      </c>
      <c r="I155" s="2">
        <v>10</v>
      </c>
      <c r="J155" s="2" t="str">
        <f>IF('Pack Pro-Player'!$J$24="Español",V155,(IF('Pack Pro-Player'!$J$24="Deutsch",W155,(IF('Pack Pro-Player'!$J$24="Français",X155,U155)))))</f>
        <v>Estúpido, Solitario (4+), Golpe mortífero (+1), Cola prensil, Cabeza dura</v>
      </c>
      <c r="K155" s="1">
        <v>140000</v>
      </c>
      <c r="L155" s="1">
        <f t="shared" si="14"/>
        <v>140</v>
      </c>
      <c r="M155" s="2">
        <v>1</v>
      </c>
      <c r="N155" s="2">
        <v>1</v>
      </c>
      <c r="O155" s="1" t="s">
        <v>169</v>
      </c>
      <c r="P155" s="1" t="s">
        <v>169</v>
      </c>
      <c r="Q155" s="1" t="s">
        <v>170</v>
      </c>
      <c r="R155" s="12">
        <v>0</v>
      </c>
      <c r="S155" s="1">
        <v>0</v>
      </c>
      <c r="T155" s="15" t="str">
        <f t="shared" si="13"/>
        <v>PM</v>
      </c>
      <c r="U155" s="15" t="s">
        <v>626</v>
      </c>
      <c r="V155" s="15" t="s">
        <v>476</v>
      </c>
      <c r="W155" s="15" t="s">
        <v>627</v>
      </c>
      <c r="X155" s="15" t="s">
        <v>628</v>
      </c>
      <c r="Y155" s="15"/>
    </row>
    <row r="156" spans="1:25" ht="12.75" customHeight="1" x14ac:dyDescent="0.2">
      <c r="A156" s="23" t="s">
        <v>138</v>
      </c>
      <c r="B156" s="2" t="str">
        <f>A156&amp;COUNTIF($A$2:$A156,A156)</f>
        <v>Skaven1</v>
      </c>
      <c r="C156" s="2" t="str">
        <f>""</f>
        <v/>
      </c>
      <c r="D156" s="2" t="str">
        <f t="shared" si="0"/>
        <v>Skaven</v>
      </c>
      <c r="E156" s="2">
        <v>0</v>
      </c>
      <c r="F156" s="2">
        <v>0</v>
      </c>
      <c r="G156" s="2">
        <v>0</v>
      </c>
      <c r="H156" s="2">
        <v>0</v>
      </c>
      <c r="I156" s="2">
        <v>0</v>
      </c>
      <c r="J156" s="2">
        <f>IF('Pack Pro-Player'!$J$24="Español",V156,(IF('Pack Pro-Player'!$J$24="Deutsch",W156,(IF('Pack Pro-Player'!$J$24="Français",X156,U156)))))</f>
        <v>0</v>
      </c>
      <c r="K156" s="1">
        <v>0</v>
      </c>
      <c r="L156" s="1">
        <f t="shared" si="14"/>
        <v>0</v>
      </c>
      <c r="M156" s="1">
        <v>0</v>
      </c>
      <c r="N156" s="1">
        <v>0</v>
      </c>
      <c r="O156" s="1"/>
      <c r="P156" s="1"/>
      <c r="Q156" s="1"/>
      <c r="R156" s="1"/>
      <c r="S156" s="1"/>
      <c r="T156" s="15" t="str">
        <f t="shared" si="13"/>
        <v/>
      </c>
      <c r="U156" s="15">
        <v>0</v>
      </c>
      <c r="V156" s="15">
        <v>0</v>
      </c>
      <c r="W156" s="15">
        <v>0</v>
      </c>
      <c r="X156" s="15">
        <v>0</v>
      </c>
      <c r="Y156" s="15">
        <v>0</v>
      </c>
    </row>
    <row r="157" spans="1:25" ht="12.75" customHeight="1" x14ac:dyDescent="0.2">
      <c r="A157" s="23" t="s">
        <v>138</v>
      </c>
      <c r="B157" s="2" t="str">
        <f>A157&amp;COUNTIF($A$2:$A157,A157)</f>
        <v>Skaven2</v>
      </c>
      <c r="C157" s="2" t="s">
        <v>319</v>
      </c>
      <c r="D157" s="2" t="str">
        <f t="shared" si="0"/>
        <v>SkavenLineman</v>
      </c>
      <c r="E157" s="2">
        <v>7</v>
      </c>
      <c r="F157" s="2">
        <v>3</v>
      </c>
      <c r="G157" s="2">
        <v>3</v>
      </c>
      <c r="H157" s="2">
        <v>4</v>
      </c>
      <c r="I157" s="2">
        <v>8</v>
      </c>
      <c r="J157" s="2" t="str">
        <f>IF('Pack Pro-Player'!$J$24="Español",V157,(IF('Pack Pro-Player'!$J$24="Deutsch",W157,(IF('Pack Pro-Player'!$J$24="Français",X157,U157)))))</f>
        <v/>
      </c>
      <c r="K157" s="1">
        <v>50000</v>
      </c>
      <c r="L157" s="1">
        <f t="shared" si="14"/>
        <v>50</v>
      </c>
      <c r="M157" s="2">
        <v>16</v>
      </c>
      <c r="N157" s="2">
        <v>0</v>
      </c>
      <c r="O157" s="1" t="s">
        <v>170</v>
      </c>
      <c r="P157" s="1" t="s">
        <v>169</v>
      </c>
      <c r="Q157" s="1" t="s">
        <v>169</v>
      </c>
      <c r="R157" s="1">
        <v>0</v>
      </c>
      <c r="S157" s="1" t="s">
        <v>169</v>
      </c>
      <c r="T157" s="15" t="str">
        <f t="shared" si="13"/>
        <v>P</v>
      </c>
      <c r="U157" s="15" t="str">
        <f t="shared" ref="U157:Y157" si="15">""</f>
        <v/>
      </c>
      <c r="V157" s="15" t="str">
        <f t="shared" si="15"/>
        <v/>
      </c>
      <c r="W157" s="15" t="str">
        <f t="shared" si="15"/>
        <v/>
      </c>
      <c r="X157" s="15" t="str">
        <f t="shared" si="15"/>
        <v/>
      </c>
      <c r="Y157" s="15" t="str">
        <f t="shared" si="15"/>
        <v/>
      </c>
    </row>
    <row r="158" spans="1:25" ht="12.75" customHeight="1" x14ac:dyDescent="0.2">
      <c r="A158" s="23" t="s">
        <v>138</v>
      </c>
      <c r="B158" s="2" t="str">
        <f>A158&amp;COUNTIF($A$2:$A158,A158)</f>
        <v>Skaven3</v>
      </c>
      <c r="C158" s="2" t="s">
        <v>241</v>
      </c>
      <c r="D158" s="2" t="str">
        <f t="shared" si="0"/>
        <v>SkavenThrower</v>
      </c>
      <c r="E158" s="2">
        <v>7</v>
      </c>
      <c r="F158" s="2">
        <v>3</v>
      </c>
      <c r="G158" s="2">
        <v>3</v>
      </c>
      <c r="H158" s="2">
        <v>2</v>
      </c>
      <c r="I158" s="2">
        <v>8</v>
      </c>
      <c r="J158" s="2" t="str">
        <f>IF('Pack Pro-Player'!$J$24="Español",V158,(IF('Pack Pro-Player'!$J$24="Deutsch",W158,(IF('Pack Pro-Player'!$J$24="Français",X158,U158)))))</f>
        <v>Pasar, Manos seguras</v>
      </c>
      <c r="K158" s="1">
        <v>85000</v>
      </c>
      <c r="L158" s="1">
        <f t="shared" si="14"/>
        <v>85</v>
      </c>
      <c r="M158" s="2">
        <v>2</v>
      </c>
      <c r="N158" s="2">
        <v>0</v>
      </c>
      <c r="O158" s="1" t="s">
        <v>170</v>
      </c>
      <c r="P158" s="1" t="s">
        <v>169</v>
      </c>
      <c r="Q158" s="1" t="s">
        <v>169</v>
      </c>
      <c r="R158" s="1" t="s">
        <v>170</v>
      </c>
      <c r="S158" s="1" t="s">
        <v>169</v>
      </c>
      <c r="T158" s="15" t="str">
        <f t="shared" si="13"/>
        <v>FULL</v>
      </c>
      <c r="U158" s="15" t="s">
        <v>430</v>
      </c>
      <c r="V158" s="2" t="s">
        <v>431</v>
      </c>
      <c r="W158" s="15" t="s">
        <v>432</v>
      </c>
      <c r="X158" s="15" t="s">
        <v>433</v>
      </c>
      <c r="Y158" s="15"/>
    </row>
    <row r="159" spans="1:25" ht="12.75" customHeight="1" x14ac:dyDescent="0.2">
      <c r="A159" s="23" t="s">
        <v>138</v>
      </c>
      <c r="B159" s="2" t="str">
        <f>A159&amp;COUNTIF($A$2:$A159,A159)</f>
        <v>Skaven4</v>
      </c>
      <c r="C159" s="2" t="s">
        <v>629</v>
      </c>
      <c r="D159" s="2" t="str">
        <f t="shared" si="0"/>
        <v>SkavenGutter Runner</v>
      </c>
      <c r="E159" s="2">
        <v>9</v>
      </c>
      <c r="F159" s="2">
        <v>2</v>
      </c>
      <c r="G159" s="2">
        <v>2</v>
      </c>
      <c r="H159" s="2">
        <v>4</v>
      </c>
      <c r="I159" s="2">
        <v>8</v>
      </c>
      <c r="J159" s="2" t="str">
        <f>IF('Pack Pro-Player'!$J$24="Español",V159,(IF('Pack Pro-Player'!$J$24="Deutsch",W159,(IF('Pack Pro-Player'!$J$24="Français",X159,U159)))))</f>
        <v>Esquivar</v>
      </c>
      <c r="K159" s="1">
        <v>85000</v>
      </c>
      <c r="L159" s="1">
        <f t="shared" si="14"/>
        <v>85</v>
      </c>
      <c r="M159" s="2">
        <v>4</v>
      </c>
      <c r="N159" s="2">
        <v>0</v>
      </c>
      <c r="O159" s="1" t="s">
        <v>170</v>
      </c>
      <c r="P159" s="1" t="s">
        <v>170</v>
      </c>
      <c r="Q159" s="1" t="s">
        <v>169</v>
      </c>
      <c r="R159" s="1" t="s">
        <v>169</v>
      </c>
      <c r="S159" s="1" t="s">
        <v>169</v>
      </c>
      <c r="T159" s="15" t="str">
        <f t="shared" si="13"/>
        <v>FULL</v>
      </c>
      <c r="U159" s="15" t="s">
        <v>237</v>
      </c>
      <c r="V159" s="15" t="s">
        <v>238</v>
      </c>
      <c r="W159" s="15" t="s">
        <v>239</v>
      </c>
      <c r="X159" s="15" t="s">
        <v>240</v>
      </c>
      <c r="Y159" s="15"/>
    </row>
    <row r="160" spans="1:25" ht="12.75" customHeight="1" x14ac:dyDescent="0.2">
      <c r="A160" s="23" t="s">
        <v>138</v>
      </c>
      <c r="B160" s="2" t="str">
        <f>A160&amp;COUNTIF($A$2:$A160,A160)</f>
        <v>Skaven5</v>
      </c>
      <c r="C160" s="2" t="s">
        <v>243</v>
      </c>
      <c r="D160" s="2" t="str">
        <f t="shared" si="0"/>
        <v>SkavenBlitzer</v>
      </c>
      <c r="E160" s="2">
        <v>7</v>
      </c>
      <c r="F160" s="2">
        <v>3</v>
      </c>
      <c r="G160" s="2">
        <v>3</v>
      </c>
      <c r="H160" s="2">
        <v>5</v>
      </c>
      <c r="I160" s="2">
        <v>9</v>
      </c>
      <c r="J160" s="2" t="str">
        <f>IF('Pack Pro-Player'!$J$24="Español",V160,(IF('Pack Pro-Player'!$J$24="Deutsch",W160,(IF('Pack Pro-Player'!$J$24="Français",X160,U160)))))</f>
        <v>Placar</v>
      </c>
      <c r="K160" s="1">
        <v>90000</v>
      </c>
      <c r="L160" s="1">
        <f t="shared" si="14"/>
        <v>90</v>
      </c>
      <c r="M160" s="2">
        <v>2</v>
      </c>
      <c r="N160" s="2">
        <v>0</v>
      </c>
      <c r="O160" s="1" t="s">
        <v>170</v>
      </c>
      <c r="P160" s="1" t="s">
        <v>169</v>
      </c>
      <c r="Q160" s="1" t="s">
        <v>170</v>
      </c>
      <c r="R160" s="1" t="s">
        <v>169</v>
      </c>
      <c r="S160" s="1" t="s">
        <v>169</v>
      </c>
      <c r="T160" s="15" t="str">
        <f t="shared" si="13"/>
        <v>FULL</v>
      </c>
      <c r="U160" s="15" t="s">
        <v>330</v>
      </c>
      <c r="V160" s="2" t="s">
        <v>331</v>
      </c>
      <c r="W160" s="15" t="s">
        <v>330</v>
      </c>
      <c r="X160" s="15" t="s">
        <v>332</v>
      </c>
      <c r="Y160" s="15"/>
    </row>
    <row r="161" spans="1:25" ht="12.75" customHeight="1" x14ac:dyDescent="0.2">
      <c r="A161" s="23" t="s">
        <v>138</v>
      </c>
      <c r="B161" s="2" t="str">
        <f>A161&amp;COUNTIF($A$2:$A161,A161)</f>
        <v>Skaven6</v>
      </c>
      <c r="C161" s="2" t="s">
        <v>630</v>
      </c>
      <c r="D161" s="2" t="str">
        <f t="shared" si="0"/>
        <v>SkavenRat Ogre</v>
      </c>
      <c r="E161" s="2">
        <v>6</v>
      </c>
      <c r="F161" s="2">
        <v>5</v>
      </c>
      <c r="G161" s="2">
        <v>4</v>
      </c>
      <c r="H161" s="2">
        <v>0</v>
      </c>
      <c r="I161" s="2">
        <v>9</v>
      </c>
      <c r="J161" s="2" t="str">
        <f>IF('Pack Pro-Player'!$J$24="Español",V161,(IF('Pack Pro-Player'!$J$24="Deutsch",W161,(IF('Pack Pro-Player'!$J$24="Français",X161,U161)))))</f>
        <v>Ferocidad animal, Furia, Solitario (4+), Golpe mortífero (+1), Cola prensil</v>
      </c>
      <c r="K161" s="1">
        <v>150000</v>
      </c>
      <c r="L161" s="1">
        <f t="shared" si="14"/>
        <v>150</v>
      </c>
      <c r="M161" s="2">
        <v>1</v>
      </c>
      <c r="N161" s="2">
        <v>1</v>
      </c>
      <c r="O161" s="1" t="s">
        <v>169</v>
      </c>
      <c r="P161" s="1" t="s">
        <v>169</v>
      </c>
      <c r="Q161" s="1" t="s">
        <v>170</v>
      </c>
      <c r="R161" s="12">
        <v>0</v>
      </c>
      <c r="S161" s="1" t="s">
        <v>169</v>
      </c>
      <c r="T161" s="15" t="str">
        <f t="shared" si="13"/>
        <v>P</v>
      </c>
      <c r="U161" s="15" t="s">
        <v>311</v>
      </c>
      <c r="V161" s="2" t="s">
        <v>312</v>
      </c>
      <c r="W161" s="15" t="s">
        <v>313</v>
      </c>
      <c r="X161" s="15" t="s">
        <v>314</v>
      </c>
      <c r="Y161" s="15"/>
    </row>
    <row r="162" spans="1:25" ht="12.75" customHeight="1" x14ac:dyDescent="0.2">
      <c r="A162" s="23" t="s">
        <v>149</v>
      </c>
      <c r="B162" s="2" t="str">
        <f>A162&amp;COUNTIF($A$2:$A162,A162)</f>
        <v>Tomb King1</v>
      </c>
      <c r="C162" s="2" t="str">
        <f>""</f>
        <v/>
      </c>
      <c r="D162" s="2" t="str">
        <f t="shared" si="0"/>
        <v>Tomb King</v>
      </c>
      <c r="E162" s="2">
        <v>0</v>
      </c>
      <c r="F162" s="2">
        <v>0</v>
      </c>
      <c r="G162" s="2">
        <v>0</v>
      </c>
      <c r="H162" s="2">
        <v>0</v>
      </c>
      <c r="I162" s="2">
        <v>0</v>
      </c>
      <c r="J162" s="2">
        <f>IF('Pack Pro-Player'!$J$24="Español",V162,(IF('Pack Pro-Player'!$J$24="Deutsch",W162,(IF('Pack Pro-Player'!$J$24="Français",X162,U162)))))</f>
        <v>0</v>
      </c>
      <c r="K162" s="1">
        <v>0</v>
      </c>
      <c r="L162" s="1">
        <f t="shared" si="14"/>
        <v>0</v>
      </c>
      <c r="M162" s="1">
        <v>0</v>
      </c>
      <c r="N162" s="1">
        <v>0</v>
      </c>
      <c r="O162" s="1"/>
      <c r="P162" s="1"/>
      <c r="Q162" s="1"/>
      <c r="R162" s="1"/>
      <c r="S162" s="1"/>
      <c r="T162" s="15" t="str">
        <f t="shared" si="13"/>
        <v/>
      </c>
      <c r="U162" s="15">
        <v>0</v>
      </c>
      <c r="V162" s="15">
        <v>0</v>
      </c>
      <c r="W162" s="15">
        <v>0</v>
      </c>
      <c r="X162" s="15">
        <v>0</v>
      </c>
      <c r="Y162" s="15">
        <v>0</v>
      </c>
    </row>
    <row r="163" spans="1:25" ht="12.75" customHeight="1" x14ac:dyDescent="0.2">
      <c r="A163" s="23" t="s">
        <v>149</v>
      </c>
      <c r="B163" s="2" t="str">
        <f>A163&amp;COUNTIF($A$2:$A163,A163)</f>
        <v>Tomb King2</v>
      </c>
      <c r="C163" s="2" t="s">
        <v>600</v>
      </c>
      <c r="D163" s="2" t="str">
        <f t="shared" si="0"/>
        <v>Tomb KingSkeleton</v>
      </c>
      <c r="E163" s="2">
        <v>5</v>
      </c>
      <c r="F163" s="2">
        <v>3</v>
      </c>
      <c r="G163" s="2">
        <v>4</v>
      </c>
      <c r="H163" s="2">
        <v>6</v>
      </c>
      <c r="I163" s="2">
        <v>8</v>
      </c>
      <c r="J163" s="2" t="str">
        <f>IF('Pack Pro-Player'!$J$24="Español",V163,(IF('Pack Pro-Player'!$J$24="Deutsch",W163,(IF('Pack Pro-Player'!$J$24="Français",X163,U163)))))</f>
        <v>Regeneración, Cabeza dura</v>
      </c>
      <c r="K163" s="1">
        <v>40000</v>
      </c>
      <c r="L163" s="1">
        <f t="shared" si="14"/>
        <v>40</v>
      </c>
      <c r="M163" s="2">
        <v>16</v>
      </c>
      <c r="N163" s="2">
        <v>0</v>
      </c>
      <c r="O163" s="1" t="s">
        <v>170</v>
      </c>
      <c r="P163" s="1" t="s">
        <v>169</v>
      </c>
      <c r="Q163" s="1" t="s">
        <v>169</v>
      </c>
      <c r="R163" s="1">
        <v>0</v>
      </c>
      <c r="S163" s="1">
        <v>0</v>
      </c>
      <c r="T163" s="15" t="str">
        <f t="shared" si="13"/>
        <v>PM</v>
      </c>
      <c r="U163" s="15" t="s">
        <v>601</v>
      </c>
      <c r="V163" s="2" t="s">
        <v>602</v>
      </c>
      <c r="W163" s="15" t="s">
        <v>603</v>
      </c>
      <c r="X163" s="15" t="s">
        <v>604</v>
      </c>
      <c r="Y163" s="15"/>
    </row>
    <row r="164" spans="1:25" ht="12.75" customHeight="1" x14ac:dyDescent="0.2">
      <c r="A164" s="23" t="s">
        <v>149</v>
      </c>
      <c r="B164" s="2" t="str">
        <f>A164&amp;COUNTIF($A$2:$A164,A164)</f>
        <v>Tomb King3</v>
      </c>
      <c r="C164" s="2" t="s">
        <v>631</v>
      </c>
      <c r="D164" s="2" t="str">
        <f t="shared" si="0"/>
        <v>Tomb KingAnointed Throwers</v>
      </c>
      <c r="E164" s="2">
        <v>6</v>
      </c>
      <c r="F164" s="2">
        <v>3</v>
      </c>
      <c r="G164" s="2">
        <v>4</v>
      </c>
      <c r="H164" s="2">
        <v>3</v>
      </c>
      <c r="I164" s="2">
        <v>8</v>
      </c>
      <c r="J164" s="2" t="str">
        <f>IF('Pack Pro-Player'!$J$24="Español",V164,(IF('Pack Pro-Player'!$J$24="Deutsch",W164,(IF('Pack Pro-Player'!$J$24="Français",X164,U164)))))</f>
        <v>Pasar, Regeneración, Manos seguras, Cabeza dura</v>
      </c>
      <c r="K164" s="1">
        <v>70000</v>
      </c>
      <c r="L164" s="1">
        <f t="shared" si="14"/>
        <v>70</v>
      </c>
      <c r="M164" s="2">
        <v>2</v>
      </c>
      <c r="N164" s="2">
        <v>0</v>
      </c>
      <c r="O164" s="1" t="s">
        <v>170</v>
      </c>
      <c r="P164" s="1" t="s">
        <v>169</v>
      </c>
      <c r="Q164" s="1" t="s">
        <v>169</v>
      </c>
      <c r="R164" s="1" t="s">
        <v>170</v>
      </c>
      <c r="S164" s="1">
        <v>0</v>
      </c>
      <c r="T164" s="15" t="str">
        <f t="shared" si="13"/>
        <v>M</v>
      </c>
      <c r="U164" s="15" t="s">
        <v>632</v>
      </c>
      <c r="V164" s="15" t="s">
        <v>633</v>
      </c>
      <c r="W164" s="15" t="s">
        <v>634</v>
      </c>
      <c r="X164" s="15" t="s">
        <v>635</v>
      </c>
      <c r="Y164" s="15"/>
    </row>
    <row r="165" spans="1:25" ht="12.75" customHeight="1" x14ac:dyDescent="0.2">
      <c r="A165" s="23" t="s">
        <v>149</v>
      </c>
      <c r="B165" s="2" t="str">
        <f>A165&amp;COUNTIF($A$2:$A165,A165)</f>
        <v>Tomb King4</v>
      </c>
      <c r="C165" s="2" t="s">
        <v>636</v>
      </c>
      <c r="D165" s="2" t="str">
        <f t="shared" si="0"/>
        <v>Tomb KingAnointed Blitzers</v>
      </c>
      <c r="E165" s="2">
        <v>6</v>
      </c>
      <c r="F165" s="2">
        <v>3</v>
      </c>
      <c r="G165" s="2">
        <v>4</v>
      </c>
      <c r="H165" s="2">
        <v>6</v>
      </c>
      <c r="I165" s="2">
        <v>9</v>
      </c>
      <c r="J165" s="2" t="str">
        <f>IF('Pack Pro-Player'!$J$24="Español",V165,(IF('Pack Pro-Player'!$J$24="Deutsch",W165,(IF('Pack Pro-Player'!$J$24="Français",X165,U165)))))</f>
        <v>Placar, Regeneración, Cabeza dura</v>
      </c>
      <c r="K165" s="1">
        <v>90000</v>
      </c>
      <c r="L165" s="1">
        <f t="shared" si="14"/>
        <v>90</v>
      </c>
      <c r="M165" s="1">
        <v>2</v>
      </c>
      <c r="N165" s="1">
        <v>0</v>
      </c>
      <c r="O165" s="1" t="s">
        <v>170</v>
      </c>
      <c r="P165" s="1" t="s">
        <v>169</v>
      </c>
      <c r="Q165" s="1" t="s">
        <v>170</v>
      </c>
      <c r="R165" s="1" t="s">
        <v>169</v>
      </c>
      <c r="S165" s="1">
        <v>0</v>
      </c>
      <c r="T165" s="15" t="str">
        <f t="shared" si="13"/>
        <v>M</v>
      </c>
      <c r="U165" s="15" t="s">
        <v>637</v>
      </c>
      <c r="V165" s="2" t="s">
        <v>638</v>
      </c>
      <c r="W165" s="15" t="s">
        <v>639</v>
      </c>
      <c r="X165" s="15" t="s">
        <v>640</v>
      </c>
      <c r="Y165" s="15"/>
    </row>
    <row r="166" spans="1:25" ht="12.75" customHeight="1" x14ac:dyDescent="0.2">
      <c r="A166" s="23" t="s">
        <v>149</v>
      </c>
      <c r="B166" s="2" t="str">
        <f>A166&amp;COUNTIF($A$2:$A166,A166)</f>
        <v>Tomb King5</v>
      </c>
      <c r="C166" s="2" t="s">
        <v>641</v>
      </c>
      <c r="D166" s="2" t="str">
        <f t="shared" si="0"/>
        <v>Tomb KingTomb Guardian</v>
      </c>
      <c r="E166" s="2">
        <v>4</v>
      </c>
      <c r="F166" s="2">
        <v>5</v>
      </c>
      <c r="G166" s="2">
        <v>5</v>
      </c>
      <c r="H166" s="2">
        <v>0</v>
      </c>
      <c r="I166" s="2">
        <v>10</v>
      </c>
      <c r="J166" s="2" t="str">
        <f>IF('Pack Pro-Player'!$J$24="Español",V166,(IF('Pack Pro-Player'!$J$24="Deutsch",W166,(IF('Pack Pro-Player'!$J$24="Français",X166,U166)))))</f>
        <v>Descomposición, Regeneración</v>
      </c>
      <c r="K166" s="1">
        <v>100000</v>
      </c>
      <c r="L166" s="1">
        <f t="shared" si="14"/>
        <v>100</v>
      </c>
      <c r="M166" s="1">
        <v>4</v>
      </c>
      <c r="N166" s="1">
        <v>0</v>
      </c>
      <c r="O166" s="1" t="s">
        <v>169</v>
      </c>
      <c r="P166" s="1" t="s">
        <v>169</v>
      </c>
      <c r="Q166" s="1" t="s">
        <v>170</v>
      </c>
      <c r="R166" s="12">
        <v>0</v>
      </c>
      <c r="S166" s="1">
        <v>0</v>
      </c>
      <c r="T166" s="15" t="str">
        <f t="shared" si="13"/>
        <v>PM</v>
      </c>
      <c r="U166" s="15" t="s">
        <v>642</v>
      </c>
      <c r="V166" s="2" t="s">
        <v>643</v>
      </c>
      <c r="W166" s="15" t="s">
        <v>644</v>
      </c>
      <c r="X166" s="15" t="s">
        <v>645</v>
      </c>
      <c r="Y166" s="15"/>
    </row>
    <row r="167" spans="1:25" ht="12.75" customHeight="1" x14ac:dyDescent="0.2">
      <c r="A167" s="23" t="s">
        <v>144</v>
      </c>
      <c r="B167" s="2" t="str">
        <f>A167&amp;COUNTIF($A$2:$A167,A167)</f>
        <v>Snotling1</v>
      </c>
      <c r="C167" s="2" t="str">
        <f>""</f>
        <v/>
      </c>
      <c r="D167" s="2" t="str">
        <f t="shared" si="0"/>
        <v>Snotling</v>
      </c>
      <c r="E167" s="2">
        <v>0</v>
      </c>
      <c r="F167" s="2">
        <v>0</v>
      </c>
      <c r="G167" s="2">
        <v>0</v>
      </c>
      <c r="H167" s="2">
        <v>0</v>
      </c>
      <c r="I167" s="2">
        <v>0</v>
      </c>
      <c r="J167" s="2">
        <f>IF('Pack Pro-Player'!$J$24="Español",V167,(IF('Pack Pro-Player'!$J$24="Deutsch",W167,(IF('Pack Pro-Player'!$J$24="Français",X167,U167)))))</f>
        <v>0</v>
      </c>
      <c r="K167" s="1">
        <v>0</v>
      </c>
      <c r="L167" s="1">
        <f t="shared" si="14"/>
        <v>0</v>
      </c>
      <c r="M167" s="1">
        <v>0</v>
      </c>
      <c r="N167" s="1">
        <v>0</v>
      </c>
      <c r="O167" s="1"/>
      <c r="P167" s="1"/>
      <c r="Q167" s="1"/>
      <c r="R167" s="1"/>
      <c r="S167" s="1"/>
      <c r="T167" s="15" t="str">
        <f t="shared" si="13"/>
        <v/>
      </c>
      <c r="U167" s="15">
        <v>0</v>
      </c>
      <c r="V167" s="15">
        <v>0</v>
      </c>
      <c r="W167" s="15">
        <v>0</v>
      </c>
      <c r="X167" s="15">
        <v>0</v>
      </c>
      <c r="Y167" s="15">
        <v>0</v>
      </c>
    </row>
    <row r="168" spans="1:25" ht="12.75" customHeight="1" x14ac:dyDescent="0.2">
      <c r="A168" s="23" t="s">
        <v>144</v>
      </c>
      <c r="B168" s="2" t="str">
        <f>A168&amp;COUNTIF($A$2:$A168,A168)</f>
        <v>Snotling2</v>
      </c>
      <c r="C168" s="2" t="s">
        <v>144</v>
      </c>
      <c r="D168" s="2" t="str">
        <f t="shared" si="0"/>
        <v>SnotlingSnotling</v>
      </c>
      <c r="E168" s="2">
        <v>5</v>
      </c>
      <c r="F168" s="2">
        <v>1</v>
      </c>
      <c r="G168" s="2">
        <v>3</v>
      </c>
      <c r="H168" s="2">
        <v>5</v>
      </c>
      <c r="I168" s="2">
        <v>6</v>
      </c>
      <c r="J168" s="2" t="str">
        <f>IF('Pack Pro-Player'!$J$24="Español",V168,(IF('Pack Pro-Player'!$J$24="Deutsch",W168,(IF('Pack Pro-Player'!$J$24="Français",X168,U168)))))</f>
        <v>Esquivar, Humanoide bala, Echarse a un lado, Escurridizo, Colocarse, Canijo</v>
      </c>
      <c r="K168" s="1">
        <v>15000</v>
      </c>
      <c r="L168" s="1">
        <f t="shared" si="14"/>
        <v>15</v>
      </c>
      <c r="M168" s="1">
        <v>16</v>
      </c>
      <c r="N168" s="1">
        <v>0</v>
      </c>
      <c r="O168" s="1" t="s">
        <v>169</v>
      </c>
      <c r="P168" s="1" t="s">
        <v>170</v>
      </c>
      <c r="Q168" s="1" t="s">
        <v>169</v>
      </c>
      <c r="R168" s="1">
        <v>0</v>
      </c>
      <c r="S168" s="1">
        <v>0</v>
      </c>
      <c r="T168" s="15" t="str">
        <f t="shared" si="13"/>
        <v>PM</v>
      </c>
      <c r="U168" s="15" t="s">
        <v>646</v>
      </c>
      <c r="V168" s="2" t="s">
        <v>647</v>
      </c>
      <c r="W168" s="15" t="s">
        <v>648</v>
      </c>
      <c r="X168" s="15" t="s">
        <v>649</v>
      </c>
      <c r="Y168" s="15"/>
    </row>
    <row r="169" spans="1:25" ht="12.75" customHeight="1" x14ac:dyDescent="0.2">
      <c r="A169" s="23" t="s">
        <v>144</v>
      </c>
      <c r="B169" s="2" t="str">
        <f>A169&amp;COUNTIF($A$2:$A169,A169)</f>
        <v>Snotling3</v>
      </c>
      <c r="C169" s="2" t="s">
        <v>650</v>
      </c>
      <c r="D169" s="2" t="str">
        <f t="shared" si="0"/>
        <v>SnotlingFungus Flinga</v>
      </c>
      <c r="E169" s="2">
        <v>5</v>
      </c>
      <c r="F169" s="2">
        <v>1</v>
      </c>
      <c r="G169" s="2">
        <v>3</v>
      </c>
      <c r="H169" s="2">
        <v>4</v>
      </c>
      <c r="I169" s="2">
        <v>6</v>
      </c>
      <c r="J169" s="2" t="str">
        <f>IF('Pack Pro-Player'!$J$24="Español",V169,(IF('Pack Pro-Player'!$J$24="Deutsch",W169,(IF('Pack Pro-Player'!$J$24="Français",X169,U169)))))</f>
        <v>Bombardero, Esquivar, Humanoide bala, Arma secreta, Echarse a un lado, Escurridizo</v>
      </c>
      <c r="K169" s="1">
        <v>30000</v>
      </c>
      <c r="L169" s="1">
        <f t="shared" si="14"/>
        <v>30</v>
      </c>
      <c r="M169" s="1">
        <v>2</v>
      </c>
      <c r="N169" s="1">
        <v>0</v>
      </c>
      <c r="O169" s="1" t="s">
        <v>169</v>
      </c>
      <c r="P169" s="1" t="s">
        <v>170</v>
      </c>
      <c r="Q169" s="1" t="s">
        <v>169</v>
      </c>
      <c r="R169" s="1" t="s">
        <v>170</v>
      </c>
      <c r="S169" s="1">
        <v>0</v>
      </c>
      <c r="T169" s="15" t="str">
        <f t="shared" si="13"/>
        <v>M</v>
      </c>
      <c r="U169" s="15" t="s">
        <v>651</v>
      </c>
      <c r="V169" s="2" t="s">
        <v>652</v>
      </c>
      <c r="W169" s="15" t="s">
        <v>653</v>
      </c>
      <c r="X169" s="15" t="s">
        <v>654</v>
      </c>
      <c r="Y169" s="15"/>
    </row>
    <row r="170" spans="1:25" ht="12.75" customHeight="1" x14ac:dyDescent="0.2">
      <c r="A170" s="23" t="s">
        <v>144</v>
      </c>
      <c r="B170" s="2" t="str">
        <f>A170&amp;COUNTIF($A$2:$A170,A170)</f>
        <v>Snotling4</v>
      </c>
      <c r="C170" s="2" t="s">
        <v>655</v>
      </c>
      <c r="D170" s="2" t="str">
        <f t="shared" si="0"/>
        <v>SnotlingFun-hoppa</v>
      </c>
      <c r="E170" s="2">
        <v>6</v>
      </c>
      <c r="F170" s="2">
        <v>1</v>
      </c>
      <c r="G170" s="2">
        <v>3</v>
      </c>
      <c r="H170" s="2">
        <v>5</v>
      </c>
      <c r="I170" s="2">
        <v>6</v>
      </c>
      <c r="J170" s="2" t="str">
        <f>IF('Pack Pro-Player'!$J$24="Español",V170,(IF('Pack Pro-Player'!$J$24="Deutsch",W170,(IF('Pack Pro-Player'!$J$24="Français",X170,U170)))))</f>
        <v>Esquivar, Pogo saltarín, Humanoide bala, Echarse a un lado, Escurridizo</v>
      </c>
      <c r="K170" s="1">
        <v>20000</v>
      </c>
      <c r="L170" s="1">
        <f t="shared" si="14"/>
        <v>20</v>
      </c>
      <c r="M170" s="1">
        <v>2</v>
      </c>
      <c r="N170" s="1">
        <v>0</v>
      </c>
      <c r="O170" s="1" t="s">
        <v>169</v>
      </c>
      <c r="P170" s="1" t="s">
        <v>170</v>
      </c>
      <c r="Q170" s="1" t="s">
        <v>169</v>
      </c>
      <c r="R170" s="1">
        <v>0</v>
      </c>
      <c r="S170" s="1">
        <v>0</v>
      </c>
      <c r="T170" s="15" t="str">
        <f t="shared" si="13"/>
        <v>PM</v>
      </c>
      <c r="U170" s="15" t="s">
        <v>656</v>
      </c>
      <c r="V170" s="2" t="s">
        <v>657</v>
      </c>
      <c r="W170" s="15" t="s">
        <v>658</v>
      </c>
      <c r="X170" s="15" t="s">
        <v>659</v>
      </c>
      <c r="Y170" s="15"/>
    </row>
    <row r="171" spans="1:25" ht="12.75" customHeight="1" x14ac:dyDescent="0.2">
      <c r="A171" s="23" t="s">
        <v>144</v>
      </c>
      <c r="B171" s="2" t="str">
        <f>A171&amp;COUNTIF($A$2:$A171,A171)</f>
        <v>Snotling5</v>
      </c>
      <c r="C171" s="2" t="s">
        <v>660</v>
      </c>
      <c r="D171" s="2" t="str">
        <f t="shared" si="0"/>
        <v>SnotlingStilty Runna</v>
      </c>
      <c r="E171" s="2">
        <v>6</v>
      </c>
      <c r="F171" s="2">
        <v>1</v>
      </c>
      <c r="G171" s="2">
        <v>3</v>
      </c>
      <c r="H171" s="2">
        <v>5</v>
      </c>
      <c r="I171" s="2">
        <v>6</v>
      </c>
      <c r="J171" s="2" t="str">
        <f>IF('Pack Pro-Player'!$J$24="Español",V171,(IF('Pack Pro-Player'!$J$24="Deutsch",W171,(IF('Pack Pro-Player'!$J$24="Français",X171,U171)))))</f>
        <v>Esquivar, Humanoide bala, Echarse a un lado, Carrera, Escurridizo</v>
      </c>
      <c r="K171" s="1">
        <v>20000</v>
      </c>
      <c r="L171" s="1">
        <f t="shared" si="14"/>
        <v>20</v>
      </c>
      <c r="M171" s="1">
        <v>2</v>
      </c>
      <c r="N171" s="1">
        <v>0</v>
      </c>
      <c r="O171" s="1" t="s">
        <v>169</v>
      </c>
      <c r="P171" s="1" t="s">
        <v>170</v>
      </c>
      <c r="Q171" s="1" t="s">
        <v>169</v>
      </c>
      <c r="R171" s="1">
        <v>0</v>
      </c>
      <c r="S171" s="1">
        <v>0</v>
      </c>
      <c r="T171" s="15" t="str">
        <f t="shared" si="13"/>
        <v>PM</v>
      </c>
      <c r="U171" s="15" t="s">
        <v>661</v>
      </c>
      <c r="V171" s="15" t="s">
        <v>662</v>
      </c>
      <c r="W171" s="15" t="s">
        <v>663</v>
      </c>
      <c r="X171" s="15" t="s">
        <v>664</v>
      </c>
      <c r="Y171" s="15"/>
    </row>
    <row r="172" spans="1:25" ht="12.75" customHeight="1" x14ac:dyDescent="0.2">
      <c r="A172" s="23" t="s">
        <v>144</v>
      </c>
      <c r="B172" s="2" t="str">
        <f>A172&amp;COUNTIF($A$2:$A172,A172)</f>
        <v>Snotling6</v>
      </c>
      <c r="C172" s="2" t="s">
        <v>665</v>
      </c>
      <c r="D172" s="2" t="str">
        <f t="shared" si="0"/>
        <v>SnotlingPump Wagon</v>
      </c>
      <c r="E172" s="2">
        <v>4</v>
      </c>
      <c r="F172" s="2">
        <v>5</v>
      </c>
      <c r="G172" s="2">
        <v>5</v>
      </c>
      <c r="H172" s="2">
        <v>0</v>
      </c>
      <c r="I172" s="2">
        <v>9</v>
      </c>
      <c r="J172" s="2" t="str">
        <f>IF('Pack Pro-Player'!$J$24="Español",V172,(IF('Pack Pro-Player'!$J$24="Deutsch",W172,(IF('Pack Pro-Player'!$J$24="Français",X172,U172)))))</f>
        <v>Juego sucio (+1), Imparable, Golpe mortífero (+1), Realmente estúpido, Arma secreta, Mantenerse firme</v>
      </c>
      <c r="K172" s="1">
        <v>105000</v>
      </c>
      <c r="L172" s="1">
        <f t="shared" si="14"/>
        <v>105</v>
      </c>
      <c r="M172" s="1">
        <v>2</v>
      </c>
      <c r="N172" s="1">
        <v>1</v>
      </c>
      <c r="O172" s="1" t="s">
        <v>169</v>
      </c>
      <c r="P172" s="1" t="s">
        <v>169</v>
      </c>
      <c r="Q172" s="1" t="s">
        <v>170</v>
      </c>
      <c r="R172" s="12">
        <v>0</v>
      </c>
      <c r="S172" s="1">
        <v>0</v>
      </c>
      <c r="T172" s="15" t="str">
        <f t="shared" si="13"/>
        <v>PM</v>
      </c>
      <c r="U172" s="15" t="s">
        <v>666</v>
      </c>
      <c r="V172" s="2" t="s">
        <v>667</v>
      </c>
      <c r="W172" s="15" t="s">
        <v>668</v>
      </c>
      <c r="X172" s="15" t="s">
        <v>669</v>
      </c>
      <c r="Y172" s="15"/>
    </row>
    <row r="173" spans="1:25" ht="12.75" customHeight="1" x14ac:dyDescent="0.2">
      <c r="A173" s="23" t="s">
        <v>144</v>
      </c>
      <c r="B173" s="2" t="str">
        <f>A173&amp;COUNTIF($A$2:$A173,A173)</f>
        <v>Snotling7</v>
      </c>
      <c r="C173" s="2" t="s">
        <v>253</v>
      </c>
      <c r="D173" s="2" t="str">
        <f t="shared" si="0"/>
        <v>SnotlingTrained Troll</v>
      </c>
      <c r="E173" s="2">
        <v>4</v>
      </c>
      <c r="F173" s="2">
        <v>5</v>
      </c>
      <c r="G173" s="2">
        <v>5</v>
      </c>
      <c r="H173" s="2">
        <v>5</v>
      </c>
      <c r="I173" s="2">
        <v>10</v>
      </c>
      <c r="J173" s="2" t="str">
        <f>IF('Pack Pro-Player'!$J$24="Español",V173,(IF('Pack Pro-Player'!$J$24="Deutsch",W173,(IF('Pack Pro-Player'!$J$24="Français",X173,U173)))))</f>
        <v>Siempre hambriento, Solitario (3+), Golpe mortífero (+1), Proyectil de vómito, Realmente estúpido, Regeneración, Lanzar compañero</v>
      </c>
      <c r="K173" s="1">
        <v>115000</v>
      </c>
      <c r="L173" s="1">
        <f t="shared" si="14"/>
        <v>115</v>
      </c>
      <c r="M173" s="1">
        <v>2</v>
      </c>
      <c r="N173" s="1">
        <v>1</v>
      </c>
      <c r="O173" s="1" t="s">
        <v>169</v>
      </c>
      <c r="P173" s="1" t="s">
        <v>169</v>
      </c>
      <c r="Q173" s="1" t="s">
        <v>170</v>
      </c>
      <c r="R173" s="1" t="s">
        <v>169</v>
      </c>
      <c r="S173" s="1">
        <v>0</v>
      </c>
      <c r="T173" s="15" t="str">
        <f t="shared" si="13"/>
        <v>M</v>
      </c>
      <c r="U173" s="15" t="s">
        <v>254</v>
      </c>
      <c r="V173" s="2" t="s">
        <v>255</v>
      </c>
      <c r="W173" s="15" t="s">
        <v>256</v>
      </c>
      <c r="X173" s="15" t="s">
        <v>257</v>
      </c>
      <c r="Y173" s="15"/>
    </row>
    <row r="174" spans="1:25" ht="12.75" customHeight="1" x14ac:dyDescent="0.2">
      <c r="A174" s="23" t="s">
        <v>154</v>
      </c>
      <c r="B174" s="2" t="str">
        <f>A174&amp;COUNTIF($A$2:$A174,A174)</f>
        <v>Underworld Denizens1</v>
      </c>
      <c r="C174" s="2" t="str">
        <f>""</f>
        <v/>
      </c>
      <c r="D174" s="2" t="str">
        <f t="shared" si="0"/>
        <v>Underworld Denizens</v>
      </c>
      <c r="E174" s="2">
        <v>0</v>
      </c>
      <c r="F174" s="2">
        <v>0</v>
      </c>
      <c r="G174" s="2">
        <v>0</v>
      </c>
      <c r="H174" s="2">
        <v>0</v>
      </c>
      <c r="I174" s="2">
        <v>0</v>
      </c>
      <c r="J174" s="2">
        <f>IF('Pack Pro-Player'!$J$24="Español",V174,(IF('Pack Pro-Player'!$J$24="Deutsch",W174,(IF('Pack Pro-Player'!$J$24="Français",X174,U174)))))</f>
        <v>0</v>
      </c>
      <c r="K174" s="1">
        <v>0</v>
      </c>
      <c r="L174" s="1">
        <f t="shared" si="14"/>
        <v>0</v>
      </c>
      <c r="M174" s="1">
        <v>0</v>
      </c>
      <c r="N174" s="1">
        <v>0</v>
      </c>
      <c r="O174" s="1"/>
      <c r="P174" s="1"/>
      <c r="Q174" s="1"/>
      <c r="R174" s="1"/>
      <c r="S174" s="1"/>
      <c r="T174" s="15" t="str">
        <f t="shared" si="13"/>
        <v/>
      </c>
      <c r="U174" s="15">
        <v>0</v>
      </c>
      <c r="V174" s="15">
        <v>0</v>
      </c>
      <c r="W174" s="15">
        <v>0</v>
      </c>
      <c r="X174" s="15">
        <v>0</v>
      </c>
      <c r="Y174" s="15">
        <v>0</v>
      </c>
    </row>
    <row r="175" spans="1:25" ht="12.75" customHeight="1" x14ac:dyDescent="0.2">
      <c r="A175" s="23" t="s">
        <v>154</v>
      </c>
      <c r="B175" s="2" t="str">
        <f>A175&amp;COUNTIF($A$2:$A175,A175)</f>
        <v>Underworld Denizens2</v>
      </c>
      <c r="C175" s="2" t="s">
        <v>62</v>
      </c>
      <c r="D175" s="2" t="str">
        <f t="shared" si="0"/>
        <v>Underworld DenizensGoblin</v>
      </c>
      <c r="E175" s="2">
        <v>6</v>
      </c>
      <c r="F175" s="2">
        <v>2</v>
      </c>
      <c r="G175" s="2">
        <v>3</v>
      </c>
      <c r="H175" s="2">
        <v>4</v>
      </c>
      <c r="I175" s="2">
        <v>8</v>
      </c>
      <c r="J175" s="2" t="str">
        <f>IF('Pack Pro-Player'!$J$24="Español",V175,(IF('Pack Pro-Player'!$J$24="Deutsch",W175,(IF('Pack Pro-Player'!$J$24="Français",X175,U175)))))</f>
        <v>Esquivar, Humanoide bala, Escurridizo</v>
      </c>
      <c r="K175" s="1">
        <v>40000</v>
      </c>
      <c r="L175" s="1">
        <f t="shared" si="14"/>
        <v>40</v>
      </c>
      <c r="M175" s="2">
        <v>12</v>
      </c>
      <c r="N175" s="2">
        <v>0</v>
      </c>
      <c r="O175" s="1" t="s">
        <v>169</v>
      </c>
      <c r="P175" s="1" t="s">
        <v>170</v>
      </c>
      <c r="Q175" s="1" t="s">
        <v>169</v>
      </c>
      <c r="R175" s="1">
        <v>0</v>
      </c>
      <c r="S175" s="1" t="s">
        <v>170</v>
      </c>
      <c r="T175" s="15" t="str">
        <f t="shared" si="13"/>
        <v>P</v>
      </c>
      <c r="U175" s="15" t="s">
        <v>368</v>
      </c>
      <c r="V175" s="2" t="s">
        <v>369</v>
      </c>
      <c r="W175" s="15" t="s">
        <v>370</v>
      </c>
      <c r="X175" s="15" t="s">
        <v>371</v>
      </c>
      <c r="Y175" s="15"/>
    </row>
    <row r="176" spans="1:25" ht="12.75" customHeight="1" x14ac:dyDescent="0.2">
      <c r="A176" s="23" t="s">
        <v>154</v>
      </c>
      <c r="B176" s="2" t="str">
        <f>A176&amp;COUNTIF($A$2:$A176,A176)</f>
        <v>Underworld Denizens3</v>
      </c>
      <c r="C176" s="2" t="s">
        <v>144</v>
      </c>
      <c r="D176" s="2" t="str">
        <f t="shared" si="0"/>
        <v>Underworld DenizensSnotling</v>
      </c>
      <c r="E176" s="2">
        <v>5</v>
      </c>
      <c r="F176" s="2">
        <v>1</v>
      </c>
      <c r="G176" s="2">
        <v>3</v>
      </c>
      <c r="H176" s="2">
        <v>5</v>
      </c>
      <c r="I176" s="2">
        <v>6</v>
      </c>
      <c r="J176" s="2" t="str">
        <f>IF('Pack Pro-Player'!$J$24="Español",V176,(IF('Pack Pro-Player'!$J$24="Deutsch",W176,(IF('Pack Pro-Player'!$J$24="Français",X176,U176)))))</f>
        <v>Esquivar, Humanoide bala, Echarse a un lado, Escurridizo, Colocarse, Canijo</v>
      </c>
      <c r="K176" s="1">
        <v>15000</v>
      </c>
      <c r="L176" s="1">
        <f t="shared" si="14"/>
        <v>15</v>
      </c>
      <c r="M176" s="1">
        <v>6</v>
      </c>
      <c r="N176" s="1">
        <v>0</v>
      </c>
      <c r="O176" s="1" t="s">
        <v>169</v>
      </c>
      <c r="P176" s="1" t="s">
        <v>170</v>
      </c>
      <c r="Q176" s="1" t="s">
        <v>169</v>
      </c>
      <c r="R176" s="1">
        <v>0</v>
      </c>
      <c r="S176" s="1" t="s">
        <v>170</v>
      </c>
      <c r="T176" s="15" t="str">
        <f t="shared" si="13"/>
        <v>P</v>
      </c>
      <c r="U176" s="15" t="s">
        <v>646</v>
      </c>
      <c r="V176" s="15" t="s">
        <v>647</v>
      </c>
      <c r="W176" s="15" t="s">
        <v>648</v>
      </c>
      <c r="X176" s="15" t="s">
        <v>649</v>
      </c>
      <c r="Y176" s="15"/>
    </row>
    <row r="177" spans="1:25" ht="12.75" customHeight="1" x14ac:dyDescent="0.2">
      <c r="A177" s="23" t="s">
        <v>154</v>
      </c>
      <c r="B177" s="2" t="str">
        <f>A177&amp;COUNTIF($A$2:$A177,A177)</f>
        <v>Underworld Denizens4</v>
      </c>
      <c r="C177" s="2" t="s">
        <v>670</v>
      </c>
      <c r="D177" s="2" t="str">
        <f t="shared" si="0"/>
        <v>Underworld DenizensSkaven Clanrat</v>
      </c>
      <c r="E177" s="2">
        <v>7</v>
      </c>
      <c r="F177" s="2">
        <v>3</v>
      </c>
      <c r="G177" s="2">
        <v>3</v>
      </c>
      <c r="H177" s="2">
        <v>4</v>
      </c>
      <c r="I177" s="2">
        <v>8</v>
      </c>
      <c r="J177" s="2" t="str">
        <f>IF('Pack Pro-Player'!$J$24="Español",V177,(IF('Pack Pro-Player'!$J$24="Deutsch",W177,(IF('Pack Pro-Player'!$J$24="Français",X177,U177)))))</f>
        <v>Animosidad (Underworld Goblin Linemen)</v>
      </c>
      <c r="K177" s="1">
        <v>50000</v>
      </c>
      <c r="L177" s="1">
        <f t="shared" si="14"/>
        <v>50</v>
      </c>
      <c r="M177" s="2">
        <v>3</v>
      </c>
      <c r="N177" s="2">
        <v>0</v>
      </c>
      <c r="O177" s="1" t="s">
        <v>170</v>
      </c>
      <c r="P177" s="1" t="s">
        <v>169</v>
      </c>
      <c r="Q177" s="1" t="s">
        <v>169</v>
      </c>
      <c r="R177" s="1">
        <v>0</v>
      </c>
      <c r="S177" s="1" t="s">
        <v>170</v>
      </c>
      <c r="T177" s="15" t="str">
        <f t="shared" si="13"/>
        <v>P</v>
      </c>
      <c r="U177" s="15" t="s">
        <v>671</v>
      </c>
      <c r="V177" s="15" t="s">
        <v>672</v>
      </c>
      <c r="W177" s="15" t="s">
        <v>673</v>
      </c>
      <c r="X177" s="15" t="s">
        <v>674</v>
      </c>
      <c r="Y177" s="15"/>
    </row>
    <row r="178" spans="1:25" ht="12.75" customHeight="1" x14ac:dyDescent="0.2">
      <c r="A178" s="23" t="s">
        <v>154</v>
      </c>
      <c r="B178" s="2" t="str">
        <f>A178&amp;COUNTIF($A$2:$A178,A178)</f>
        <v>Underworld Denizens5</v>
      </c>
      <c r="C178" s="2" t="s">
        <v>675</v>
      </c>
      <c r="D178" s="2" t="str">
        <f t="shared" si="0"/>
        <v>Underworld DenizensSkaven Thrower</v>
      </c>
      <c r="E178" s="2">
        <v>7</v>
      </c>
      <c r="F178" s="2">
        <v>3</v>
      </c>
      <c r="G178" s="2">
        <v>3</v>
      </c>
      <c r="H178" s="2">
        <v>2</v>
      </c>
      <c r="I178" s="2">
        <v>8</v>
      </c>
      <c r="J178" s="2" t="str">
        <f>IF('Pack Pro-Player'!$J$24="Español",V178,(IF('Pack Pro-Player'!$J$24="Deutsch",W178,(IF('Pack Pro-Player'!$J$24="Français",X178,U178)))))</f>
        <v>Animosidad (Underworld Goblin Linemen), Pasar, Manos seguras</v>
      </c>
      <c r="K178" s="1">
        <v>85000</v>
      </c>
      <c r="L178" s="1">
        <f t="shared" si="14"/>
        <v>85</v>
      </c>
      <c r="M178" s="2">
        <v>1</v>
      </c>
      <c r="N178" s="2">
        <v>0</v>
      </c>
      <c r="O178" s="1" t="s">
        <v>170</v>
      </c>
      <c r="P178" s="1" t="s">
        <v>169</v>
      </c>
      <c r="Q178" s="1" t="s">
        <v>169</v>
      </c>
      <c r="R178" s="1" t="s">
        <v>170</v>
      </c>
      <c r="S178" s="1" t="s">
        <v>170</v>
      </c>
      <c r="T178" s="15" t="str">
        <f t="shared" si="13"/>
        <v>FULL</v>
      </c>
      <c r="U178" s="15" t="s">
        <v>676</v>
      </c>
      <c r="V178" s="2" t="s">
        <v>677</v>
      </c>
      <c r="W178" s="15" t="s">
        <v>678</v>
      </c>
      <c r="X178" s="15" t="s">
        <v>679</v>
      </c>
      <c r="Y178" s="15"/>
    </row>
    <row r="179" spans="1:25" ht="12.75" customHeight="1" x14ac:dyDescent="0.2">
      <c r="A179" s="23" t="s">
        <v>154</v>
      </c>
      <c r="B179" s="2" t="str">
        <f>A179&amp;COUNTIF($A$2:$A179,A179)</f>
        <v>Underworld Denizens6</v>
      </c>
      <c r="C179" s="2" t="s">
        <v>629</v>
      </c>
      <c r="D179" s="2" t="str">
        <f t="shared" si="0"/>
        <v>Underworld DenizensGutter Runner</v>
      </c>
      <c r="E179" s="2">
        <v>9</v>
      </c>
      <c r="F179" s="2">
        <v>2</v>
      </c>
      <c r="G179" s="2">
        <v>2</v>
      </c>
      <c r="H179" s="2">
        <v>4</v>
      </c>
      <c r="I179" s="2">
        <v>8</v>
      </c>
      <c r="J179" s="2" t="str">
        <f>IF('Pack Pro-Player'!$J$24="Español",V179,(IF('Pack Pro-Player'!$J$24="Deutsch",W179,(IF('Pack Pro-Player'!$J$24="Français",X179,U179)))))</f>
        <v>Animosidad (Underworld Goblin Linemen), Esquivar</v>
      </c>
      <c r="K179" s="1">
        <v>85000</v>
      </c>
      <c r="L179" s="1">
        <f t="shared" si="14"/>
        <v>85</v>
      </c>
      <c r="M179" s="2">
        <v>1</v>
      </c>
      <c r="N179" s="2">
        <v>0</v>
      </c>
      <c r="O179" s="1" t="s">
        <v>170</v>
      </c>
      <c r="P179" s="1" t="s">
        <v>170</v>
      </c>
      <c r="Q179" s="1" t="s">
        <v>169</v>
      </c>
      <c r="R179" s="1" t="s">
        <v>169</v>
      </c>
      <c r="S179" s="1" t="s">
        <v>170</v>
      </c>
      <c r="T179" s="15" t="str">
        <f t="shared" si="13"/>
        <v>FULL</v>
      </c>
      <c r="U179" s="15" t="s">
        <v>680</v>
      </c>
      <c r="V179" s="2" t="s">
        <v>681</v>
      </c>
      <c r="W179" s="15" t="s">
        <v>682</v>
      </c>
      <c r="X179" s="15" t="s">
        <v>683</v>
      </c>
      <c r="Y179" s="15"/>
    </row>
    <row r="180" spans="1:25" ht="12.75" customHeight="1" x14ac:dyDescent="0.2">
      <c r="A180" s="23" t="s">
        <v>154</v>
      </c>
      <c r="B180" s="2" t="str">
        <f>A180&amp;COUNTIF($A$2:$A180,A180)</f>
        <v>Underworld Denizens7</v>
      </c>
      <c r="C180" s="2" t="s">
        <v>684</v>
      </c>
      <c r="D180" s="2" t="str">
        <f t="shared" si="0"/>
        <v>Underworld DenizensSkaven Blitzer</v>
      </c>
      <c r="E180" s="2">
        <v>7</v>
      </c>
      <c r="F180" s="2">
        <v>3</v>
      </c>
      <c r="G180" s="2">
        <v>3</v>
      </c>
      <c r="H180" s="2">
        <v>5</v>
      </c>
      <c r="I180" s="2">
        <v>9</v>
      </c>
      <c r="J180" s="2" t="str">
        <f>IF('Pack Pro-Player'!$J$24="Español",V180,(IF('Pack Pro-Player'!$J$24="Deutsch",W180,(IF('Pack Pro-Player'!$J$24="Français",X180,U180)))))</f>
        <v>Animosidad (Underworld Goblin Linemen), Placar</v>
      </c>
      <c r="K180" s="1">
        <v>90000</v>
      </c>
      <c r="L180" s="1">
        <f t="shared" si="14"/>
        <v>90</v>
      </c>
      <c r="M180" s="2">
        <v>1</v>
      </c>
      <c r="N180" s="2">
        <v>0</v>
      </c>
      <c r="O180" s="1" t="s">
        <v>170</v>
      </c>
      <c r="P180" s="1" t="s">
        <v>169</v>
      </c>
      <c r="Q180" s="1" t="s">
        <v>170</v>
      </c>
      <c r="R180" s="1" t="s">
        <v>169</v>
      </c>
      <c r="S180" s="1" t="s">
        <v>170</v>
      </c>
      <c r="T180" s="15" t="str">
        <f t="shared" si="13"/>
        <v>FULL</v>
      </c>
      <c r="U180" s="15" t="s">
        <v>685</v>
      </c>
      <c r="V180" s="15" t="s">
        <v>686</v>
      </c>
      <c r="W180" s="15" t="s">
        <v>687</v>
      </c>
      <c r="X180" s="15" t="s">
        <v>688</v>
      </c>
      <c r="Y180" s="15"/>
    </row>
    <row r="181" spans="1:25" ht="12.75" customHeight="1" x14ac:dyDescent="0.2">
      <c r="A181" s="23" t="s">
        <v>154</v>
      </c>
      <c r="B181" s="2" t="str">
        <f>A181&amp;COUNTIF($A$2:$A181,A181)</f>
        <v>Underworld Denizens8</v>
      </c>
      <c r="C181" s="2" t="s">
        <v>689</v>
      </c>
      <c r="D181" s="2" t="str">
        <f t="shared" si="0"/>
        <v>Underworld DenizensUnderworld Troll</v>
      </c>
      <c r="E181" s="2">
        <v>4</v>
      </c>
      <c r="F181" s="2">
        <v>5</v>
      </c>
      <c r="G181" s="2">
        <v>5</v>
      </c>
      <c r="H181" s="2">
        <v>5</v>
      </c>
      <c r="I181" s="2">
        <v>10</v>
      </c>
      <c r="J181" s="2" t="str">
        <f>IF('Pack Pro-Player'!$J$24="Español",V181,(IF('Pack Pro-Player'!$J$24="Deutsch",W181,(IF('Pack Pro-Player'!$J$24="Français",X181,U181)))))</f>
        <v>Siempre hambriento, Solitario (4+), Golpe mortífero (+1), Proyectil de vómito, Realmente estúpido, Regeneración, Lanzar compañero</v>
      </c>
      <c r="K181" s="1">
        <v>115000</v>
      </c>
      <c r="L181" s="1">
        <f t="shared" si="14"/>
        <v>115</v>
      </c>
      <c r="M181" s="2">
        <v>1</v>
      </c>
      <c r="N181" s="2">
        <v>1</v>
      </c>
      <c r="O181" s="1" t="s">
        <v>169</v>
      </c>
      <c r="P181" s="1" t="s">
        <v>169</v>
      </c>
      <c r="Q181" s="1" t="s">
        <v>170</v>
      </c>
      <c r="R181" s="1" t="s">
        <v>169</v>
      </c>
      <c r="S181" s="1" t="s">
        <v>170</v>
      </c>
      <c r="T181" s="15" t="str">
        <f t="shared" si="13"/>
        <v>FULL</v>
      </c>
      <c r="U181" s="15" t="s">
        <v>265</v>
      </c>
      <c r="V181" s="2" t="s">
        <v>266</v>
      </c>
      <c r="W181" s="15" t="s">
        <v>267</v>
      </c>
      <c r="X181" s="15" t="s">
        <v>268</v>
      </c>
      <c r="Y181" s="15"/>
    </row>
    <row r="182" spans="1:25" ht="12.75" customHeight="1" x14ac:dyDescent="0.2">
      <c r="A182" s="23" t="s">
        <v>154</v>
      </c>
      <c r="B182" s="2" t="str">
        <f>A182&amp;COUNTIF($A$2:$A182,A182)</f>
        <v>Underworld Denizens9</v>
      </c>
      <c r="C182" s="2" t="s">
        <v>690</v>
      </c>
      <c r="D182" s="2" t="str">
        <f t="shared" si="0"/>
        <v>Underworld DenizensMutant Rat Ogre</v>
      </c>
      <c r="E182" s="2">
        <v>6</v>
      </c>
      <c r="F182" s="2">
        <v>5</v>
      </c>
      <c r="G182" s="2">
        <v>4</v>
      </c>
      <c r="H182" s="2">
        <v>0</v>
      </c>
      <c r="I182" s="2">
        <v>9</v>
      </c>
      <c r="J182" s="2" t="str">
        <f>IF('Pack Pro-Player'!$J$24="Español",V182,(IF('Pack Pro-Player'!$J$24="Deutsch",W182,(IF('Pack Pro-Player'!$J$24="Français",X182,U182)))))</f>
        <v>Ferocidad animal, Furia, Solitario (4+), Golpe mortífero (+1), Cola prensil</v>
      </c>
      <c r="K182" s="1">
        <v>150000</v>
      </c>
      <c r="L182" s="1">
        <f t="shared" si="14"/>
        <v>150</v>
      </c>
      <c r="M182" s="2">
        <v>1</v>
      </c>
      <c r="N182" s="2">
        <v>1</v>
      </c>
      <c r="O182" s="1" t="s">
        <v>169</v>
      </c>
      <c r="P182" s="1" t="s">
        <v>169</v>
      </c>
      <c r="Q182" s="1" t="s">
        <v>170</v>
      </c>
      <c r="R182" s="12">
        <v>0</v>
      </c>
      <c r="S182" s="1" t="s">
        <v>170</v>
      </c>
      <c r="T182" s="15" t="str">
        <f t="shared" si="13"/>
        <v>P</v>
      </c>
      <c r="U182" s="15" t="s">
        <v>311</v>
      </c>
      <c r="V182" s="2" t="s">
        <v>312</v>
      </c>
      <c r="W182" s="15" t="s">
        <v>313</v>
      </c>
      <c r="X182" s="15" t="s">
        <v>314</v>
      </c>
      <c r="Y182" s="15"/>
    </row>
    <row r="183" spans="1:25" ht="12.75" customHeight="1" x14ac:dyDescent="0.2">
      <c r="A183" s="23" t="s">
        <v>159</v>
      </c>
      <c r="B183" s="2" t="str">
        <f>A183&amp;COUNTIF($A$2:$A183,A183)</f>
        <v>Vampire1</v>
      </c>
      <c r="C183" s="2"/>
      <c r="D183" s="2" t="str">
        <f t="shared" si="0"/>
        <v>Vampire</v>
      </c>
      <c r="E183" s="2">
        <v>0</v>
      </c>
      <c r="F183" s="2">
        <v>0</v>
      </c>
      <c r="G183" s="2">
        <v>0</v>
      </c>
      <c r="H183" s="2">
        <v>0</v>
      </c>
      <c r="I183" s="2">
        <v>0</v>
      </c>
      <c r="J183" s="2">
        <f>IF('Pack Pro-Player'!$J$24="Español",V183,(IF('Pack Pro-Player'!$J$24="Deutsch",W183,(IF('Pack Pro-Player'!$J$24="Français",X183,U183)))))</f>
        <v>0</v>
      </c>
      <c r="K183" s="1">
        <v>0</v>
      </c>
      <c r="L183" s="1">
        <f t="shared" si="14"/>
        <v>0</v>
      </c>
      <c r="M183" s="2">
        <v>0</v>
      </c>
      <c r="N183" s="2">
        <v>0</v>
      </c>
      <c r="O183" s="1"/>
      <c r="P183" s="1"/>
      <c r="Q183" s="1"/>
      <c r="R183" s="1"/>
      <c r="S183" s="1"/>
      <c r="T183" s="15" t="str">
        <f t="shared" si="13"/>
        <v/>
      </c>
      <c r="U183" s="15"/>
      <c r="V183" s="15"/>
      <c r="W183" s="15"/>
      <c r="X183" s="15"/>
      <c r="Y183" s="15"/>
    </row>
    <row r="184" spans="1:25" ht="12.75" customHeight="1" x14ac:dyDescent="0.2">
      <c r="A184" s="23" t="s">
        <v>159</v>
      </c>
      <c r="B184" s="2" t="str">
        <f>A184&amp;COUNTIF($A$2:$A184,A184)</f>
        <v>Vampire2</v>
      </c>
      <c r="C184" s="2" t="s">
        <v>691</v>
      </c>
      <c r="D184" s="2" t="str">
        <f t="shared" si="0"/>
        <v>VampireThrall</v>
      </c>
      <c r="E184" s="2">
        <v>6</v>
      </c>
      <c r="F184" s="2">
        <v>3</v>
      </c>
      <c r="G184" s="2">
        <v>3</v>
      </c>
      <c r="H184" s="2">
        <v>4</v>
      </c>
      <c r="I184" s="2">
        <v>8</v>
      </c>
      <c r="J184" s="2" t="str">
        <f>IF('Pack Pro-Player'!$J$24="Español",V184,(IF('Pack Pro-Player'!$J$24="Deutsch",W184,(IF('Pack Pro-Player'!$J$24="Français",X184,U184)))))</f>
        <v/>
      </c>
      <c r="K184" s="1">
        <v>40000</v>
      </c>
      <c r="L184" s="1">
        <f t="shared" si="14"/>
        <v>40</v>
      </c>
      <c r="M184" s="2">
        <v>16</v>
      </c>
      <c r="N184" s="2">
        <v>0</v>
      </c>
      <c r="O184" s="1" t="s">
        <v>170</v>
      </c>
      <c r="P184" s="1" t="s">
        <v>169</v>
      </c>
      <c r="Q184" s="1" t="s">
        <v>169</v>
      </c>
      <c r="R184" s="1" t="s">
        <v>169</v>
      </c>
      <c r="S184" s="1">
        <v>0</v>
      </c>
      <c r="T184" s="15" t="str">
        <f t="shared" si="13"/>
        <v>M</v>
      </c>
      <c r="U184" s="15" t="str">
        <f t="shared" ref="U184:Y184" si="16">""</f>
        <v/>
      </c>
      <c r="V184" s="15" t="str">
        <f t="shared" si="16"/>
        <v/>
      </c>
      <c r="W184" s="15" t="str">
        <f t="shared" si="16"/>
        <v/>
      </c>
      <c r="X184" s="15" t="str">
        <f t="shared" si="16"/>
        <v/>
      </c>
      <c r="Y184" s="15" t="str">
        <f t="shared" si="16"/>
        <v/>
      </c>
    </row>
    <row r="185" spans="1:25" ht="12.75" customHeight="1" x14ac:dyDescent="0.2">
      <c r="A185" s="23" t="s">
        <v>159</v>
      </c>
      <c r="B185" s="2" t="str">
        <f>A185&amp;COUNTIF($A$2:$A185,A185)</f>
        <v>Vampire3</v>
      </c>
      <c r="C185" s="2" t="s">
        <v>1330</v>
      </c>
      <c r="D185" s="2" t="str">
        <f t="shared" si="0"/>
        <v>VampireVampire Runner</v>
      </c>
      <c r="E185" s="2">
        <v>8</v>
      </c>
      <c r="F185" s="2">
        <v>3</v>
      </c>
      <c r="G185" s="2">
        <v>2</v>
      </c>
      <c r="H185" s="2">
        <v>4</v>
      </c>
      <c r="I185" s="2">
        <v>8</v>
      </c>
      <c r="J185" s="2" t="str">
        <f>IF('Pack Pro-Player'!$J$24="Español",V185,(IF('Pack Pro-Player'!$J$24="Deutsch",W185,(IF('Pack Pro-Player'!$J$24="Français",X185,U185)))))</f>
        <v>Mirada hipnótica, Regeneración, Sed de sangre (2+)</v>
      </c>
      <c r="K185" s="1">
        <v>100000</v>
      </c>
      <c r="L185" s="1">
        <f t="shared" si="14"/>
        <v>100</v>
      </c>
      <c r="M185" s="2">
        <v>2</v>
      </c>
      <c r="N185" s="2">
        <v>0</v>
      </c>
      <c r="O185" s="1" t="s">
        <v>170</v>
      </c>
      <c r="P185" s="1" t="s">
        <v>170</v>
      </c>
      <c r="Q185" s="1" t="s">
        <v>169</v>
      </c>
      <c r="R185" s="1" t="s">
        <v>169</v>
      </c>
      <c r="S185" s="1">
        <v>0</v>
      </c>
      <c r="T185" s="15" t="str">
        <f t="shared" si="13"/>
        <v>M</v>
      </c>
      <c r="U185" s="15" t="s">
        <v>1336</v>
      </c>
      <c r="V185" s="15" t="s">
        <v>1334</v>
      </c>
      <c r="W185" s="15" t="s">
        <v>1344</v>
      </c>
      <c r="X185" s="15" t="s">
        <v>1346</v>
      </c>
      <c r="Y185" s="15"/>
    </row>
    <row r="186" spans="1:25" ht="12.75" customHeight="1" x14ac:dyDescent="0.2">
      <c r="A186" s="23" t="s">
        <v>159</v>
      </c>
      <c r="B186" s="2" t="str">
        <f>A186&amp;COUNTIF($A$2:$A186,A186)</f>
        <v>Vampire4</v>
      </c>
      <c r="C186" s="2" t="s">
        <v>1331</v>
      </c>
      <c r="D186" s="2" t="str">
        <f t="shared" si="0"/>
        <v>VampireVampire Thrower</v>
      </c>
      <c r="E186" s="2">
        <v>6</v>
      </c>
      <c r="F186" s="2">
        <v>4</v>
      </c>
      <c r="G186" s="2">
        <v>2</v>
      </c>
      <c r="H186" s="2">
        <v>2</v>
      </c>
      <c r="I186" s="2">
        <v>9</v>
      </c>
      <c r="J186" s="2" t="str">
        <f>IF('Pack Pro-Player'!$J$24="Español",V186,(IF('Pack Pro-Player'!$J$24="Deutsch",W186,(IF('Pack Pro-Player'!$J$24="Français",X186,U186)))))</f>
        <v>Pasar, Mirada hipnótica, Regeneración, Sed de sangre (2+)</v>
      </c>
      <c r="K186" s="1">
        <v>110000</v>
      </c>
      <c r="L186" s="1">
        <f t="shared" si="14"/>
        <v>110</v>
      </c>
      <c r="M186" s="2">
        <v>2</v>
      </c>
      <c r="N186" s="2">
        <v>0</v>
      </c>
      <c r="O186" s="1" t="s">
        <v>170</v>
      </c>
      <c r="P186" s="1" t="s">
        <v>170</v>
      </c>
      <c r="Q186" s="1" t="s">
        <v>169</v>
      </c>
      <c r="R186" s="1" t="s">
        <v>170</v>
      </c>
      <c r="S186" s="1">
        <v>0</v>
      </c>
      <c r="T186" s="15" t="str">
        <f t="shared" si="13"/>
        <v>M</v>
      </c>
      <c r="U186" s="15" t="s">
        <v>1337</v>
      </c>
      <c r="V186" s="15" t="s">
        <v>1335</v>
      </c>
      <c r="W186" s="15" t="s">
        <v>1343</v>
      </c>
      <c r="X186" s="15" t="s">
        <v>1347</v>
      </c>
      <c r="Y186" s="15"/>
    </row>
    <row r="187" spans="1:25" ht="12.75" customHeight="1" x14ac:dyDescent="0.2">
      <c r="A187" s="23" t="s">
        <v>159</v>
      </c>
      <c r="B187" s="2" t="str">
        <f>A187&amp;COUNTIF($A$2:$A187,A187)</f>
        <v>Vampire5</v>
      </c>
      <c r="C187" s="2" t="s">
        <v>1332</v>
      </c>
      <c r="D187" s="2" t="str">
        <f t="shared" si="0"/>
        <v>VampireVampire Blitzer</v>
      </c>
      <c r="E187" s="2">
        <v>6</v>
      </c>
      <c r="F187" s="2">
        <v>4</v>
      </c>
      <c r="G187" s="2">
        <v>2</v>
      </c>
      <c r="H187" s="2">
        <v>5</v>
      </c>
      <c r="I187" s="2">
        <v>9</v>
      </c>
      <c r="J187" s="2" t="str">
        <f>IF('Pack Pro-Player'!$J$24="Español",V187,(IF('Pack Pro-Player'!$J$24="Deutsch",W187,(IF('Pack Pro-Player'!$J$24="Français",X187,U187)))))</f>
        <v>Imparable, Mirada hipnótica, Regeneración, Sed de sangre (3+)</v>
      </c>
      <c r="K187" s="1">
        <v>110000</v>
      </c>
      <c r="L187" s="1">
        <f t="shared" si="14"/>
        <v>110</v>
      </c>
      <c r="M187" s="2">
        <v>2</v>
      </c>
      <c r="N187" s="2">
        <v>0</v>
      </c>
      <c r="O187" s="1" t="s">
        <v>170</v>
      </c>
      <c r="P187" s="1" t="s">
        <v>170</v>
      </c>
      <c r="Q187" s="1" t="s">
        <v>170</v>
      </c>
      <c r="R187" s="1" t="s">
        <v>169</v>
      </c>
      <c r="S187" s="1">
        <v>0</v>
      </c>
      <c r="T187" s="15" t="str">
        <f t="shared" si="13"/>
        <v>M</v>
      </c>
      <c r="U187" s="15" t="s">
        <v>1339</v>
      </c>
      <c r="V187" s="15" t="s">
        <v>1340</v>
      </c>
      <c r="W187" s="15" t="s">
        <v>1342</v>
      </c>
      <c r="X187" s="15" t="s">
        <v>1345</v>
      </c>
      <c r="Y187" s="15"/>
    </row>
    <row r="188" spans="1:25" ht="12.75" customHeight="1" x14ac:dyDescent="0.2">
      <c r="A188" s="23" t="s">
        <v>159</v>
      </c>
      <c r="B188" s="2" t="str">
        <f>A188&amp;COUNTIF($A$2:$A188,A188)</f>
        <v>Vampire6</v>
      </c>
      <c r="C188" s="2" t="s">
        <v>1333</v>
      </c>
      <c r="D188" s="2" t="str">
        <f t="shared" si="0"/>
        <v>VampireVargheist</v>
      </c>
      <c r="E188" s="2">
        <v>5</v>
      </c>
      <c r="F188" s="2">
        <v>5</v>
      </c>
      <c r="G188" s="2">
        <v>4</v>
      </c>
      <c r="H188" s="2">
        <v>0</v>
      </c>
      <c r="I188" s="2">
        <v>10</v>
      </c>
      <c r="J188" s="2" t="str">
        <f>IF('Pack Pro-Player'!$J$24="Español",V188,(IF('Pack Pro-Player'!$J$24="Deutsch",W188,(IF('Pack Pro-Player'!$J$24="Français",X188,U188)))))</f>
        <v>Garras, Furia, Sed de sangre (3+), Regeneración, Solitario (4+)</v>
      </c>
      <c r="K188" s="1">
        <v>150000</v>
      </c>
      <c r="L188" s="1">
        <f t="shared" si="14"/>
        <v>150</v>
      </c>
      <c r="M188" s="2">
        <v>1</v>
      </c>
      <c r="N188" s="2">
        <v>1</v>
      </c>
      <c r="O188" s="1" t="s">
        <v>169</v>
      </c>
      <c r="P188" s="1" t="s">
        <v>169</v>
      </c>
      <c r="Q188" s="1" t="s">
        <v>170</v>
      </c>
      <c r="R188" s="1" t="s">
        <v>169</v>
      </c>
      <c r="S188" s="1">
        <v>0</v>
      </c>
      <c r="T188" s="15" t="str">
        <f t="shared" si="13"/>
        <v>M</v>
      </c>
      <c r="U188" s="15" t="s">
        <v>1338</v>
      </c>
      <c r="V188" s="15" t="s">
        <v>1341</v>
      </c>
      <c r="W188" s="15" t="s">
        <v>1348</v>
      </c>
      <c r="X188" s="15" t="s">
        <v>1349</v>
      </c>
      <c r="Y188" s="15"/>
    </row>
    <row r="189" spans="1:25" ht="12.75" customHeight="1" x14ac:dyDescent="0.2">
      <c r="A189" s="23" t="s">
        <v>160</v>
      </c>
      <c r="B189" s="2" t="str">
        <f>A189&amp;COUNTIF($A$2:$A189,A189)</f>
        <v>Wood Elf1</v>
      </c>
      <c r="C189" s="2" t="str">
        <f>""</f>
        <v/>
      </c>
      <c r="D189" s="2" t="str">
        <f t="shared" si="0"/>
        <v>Wood Elf</v>
      </c>
      <c r="E189" s="2">
        <v>0</v>
      </c>
      <c r="F189" s="2">
        <v>0</v>
      </c>
      <c r="G189" s="2">
        <v>0</v>
      </c>
      <c r="H189" s="2">
        <v>0</v>
      </c>
      <c r="I189" s="2">
        <v>0</v>
      </c>
      <c r="J189" s="2">
        <f>IF('Pack Pro-Player'!$J$24="Español",V189,(IF('Pack Pro-Player'!$J$24="Deutsch",W189,(IF('Pack Pro-Player'!$J$24="Français",X189,U189)))))</f>
        <v>0</v>
      </c>
      <c r="K189" s="1">
        <v>0</v>
      </c>
      <c r="L189" s="1">
        <f t="shared" si="14"/>
        <v>0</v>
      </c>
      <c r="M189" s="1">
        <v>0</v>
      </c>
      <c r="N189" s="1">
        <v>0</v>
      </c>
      <c r="O189" s="1"/>
      <c r="P189" s="1"/>
      <c r="Q189" s="1"/>
      <c r="R189" s="1"/>
      <c r="S189" s="1"/>
      <c r="T189" s="15" t="str">
        <f t="shared" si="13"/>
        <v/>
      </c>
      <c r="U189" s="15">
        <v>0</v>
      </c>
      <c r="V189" s="15">
        <v>0</v>
      </c>
      <c r="W189" s="15">
        <v>0</v>
      </c>
      <c r="X189" s="15">
        <v>0</v>
      </c>
      <c r="Y189" s="15">
        <v>0</v>
      </c>
    </row>
    <row r="190" spans="1:25" ht="12.75" customHeight="1" x14ac:dyDescent="0.2">
      <c r="A190" s="23" t="s">
        <v>160</v>
      </c>
      <c r="B190" s="2" t="str">
        <f>A190&amp;COUNTIF($A$2:$A190,A190)</f>
        <v>Wood Elf2</v>
      </c>
      <c r="C190" s="2" t="s">
        <v>319</v>
      </c>
      <c r="D190" s="2" t="str">
        <f t="shared" si="0"/>
        <v>Wood ElfLineman</v>
      </c>
      <c r="E190" s="2">
        <v>7</v>
      </c>
      <c r="F190" s="2">
        <v>3</v>
      </c>
      <c r="G190" s="2">
        <v>2</v>
      </c>
      <c r="H190" s="2">
        <v>4</v>
      </c>
      <c r="I190" s="2">
        <v>8</v>
      </c>
      <c r="J190" s="2" t="str">
        <f>IF('Pack Pro-Player'!$J$24="Español",V190,(IF('Pack Pro-Player'!$J$24="Deutsch",W190,(IF('Pack Pro-Player'!$J$24="Français",X190,U190)))))</f>
        <v/>
      </c>
      <c r="K190" s="1">
        <v>70000</v>
      </c>
      <c r="L190" s="1">
        <f t="shared" si="14"/>
        <v>70</v>
      </c>
      <c r="M190" s="2">
        <v>16</v>
      </c>
      <c r="N190" s="2">
        <v>0</v>
      </c>
      <c r="O190" s="1" t="s">
        <v>170</v>
      </c>
      <c r="P190" s="1" t="s">
        <v>170</v>
      </c>
      <c r="Q190" s="1" t="s">
        <v>169</v>
      </c>
      <c r="R190" s="1">
        <v>0</v>
      </c>
      <c r="S190" s="1">
        <v>0</v>
      </c>
      <c r="T190" s="15" t="str">
        <f t="shared" si="13"/>
        <v>PM</v>
      </c>
      <c r="U190" s="15" t="str">
        <f>""</f>
        <v/>
      </c>
      <c r="V190" s="15" t="str">
        <f t="shared" ref="V190:Y190" si="17">""</f>
        <v/>
      </c>
      <c r="W190" s="15" t="str">
        <f t="shared" si="17"/>
        <v/>
      </c>
      <c r="X190" s="15" t="str">
        <f t="shared" si="17"/>
        <v/>
      </c>
      <c r="Y190" s="15" t="str">
        <f t="shared" si="17"/>
        <v/>
      </c>
    </row>
    <row r="191" spans="1:25" ht="12.75" customHeight="1" x14ac:dyDescent="0.2">
      <c r="A191" s="23" t="s">
        <v>160</v>
      </c>
      <c r="B191" s="2" t="str">
        <f>A191&amp;COUNTIF($A$2:$A191,A191)</f>
        <v>Wood Elf3</v>
      </c>
      <c r="C191" s="2" t="s">
        <v>242</v>
      </c>
      <c r="D191" s="2" t="str">
        <f t="shared" si="0"/>
        <v>Wood ElfCatcher</v>
      </c>
      <c r="E191" s="2">
        <v>8</v>
      </c>
      <c r="F191" s="2">
        <v>2</v>
      </c>
      <c r="G191" s="2">
        <v>2</v>
      </c>
      <c r="H191" s="2">
        <v>4</v>
      </c>
      <c r="I191" s="2">
        <v>8</v>
      </c>
      <c r="J191" s="2" t="str">
        <f>IF('Pack Pro-Player'!$J$24="Español",V191,(IF('Pack Pro-Player'!$J$24="Deutsch",W191,(IF('Pack Pro-Player'!$J$24="Français",X191,U191)))))</f>
        <v>Atrapar, Esquivar</v>
      </c>
      <c r="K191" s="1">
        <v>90000</v>
      </c>
      <c r="L191" s="1">
        <f t="shared" si="14"/>
        <v>90</v>
      </c>
      <c r="M191" s="1">
        <v>4</v>
      </c>
      <c r="N191" s="1">
        <v>0</v>
      </c>
      <c r="O191" s="1" t="s">
        <v>170</v>
      </c>
      <c r="P191" s="1" t="s">
        <v>170</v>
      </c>
      <c r="Q191" s="1" t="s">
        <v>169</v>
      </c>
      <c r="R191" s="1" t="s">
        <v>169</v>
      </c>
      <c r="S191" s="1">
        <v>0</v>
      </c>
      <c r="T191" s="15" t="str">
        <f t="shared" si="13"/>
        <v>M</v>
      </c>
      <c r="U191" s="15" t="s">
        <v>426</v>
      </c>
      <c r="V191" s="2" t="s">
        <v>427</v>
      </c>
      <c r="W191" s="15" t="s">
        <v>428</v>
      </c>
      <c r="X191" s="15" t="s">
        <v>429</v>
      </c>
      <c r="Y191" s="15"/>
    </row>
    <row r="192" spans="1:25" ht="12.75" customHeight="1" x14ac:dyDescent="0.2">
      <c r="A192" s="23" t="s">
        <v>160</v>
      </c>
      <c r="B192" s="2" t="str">
        <f>A192&amp;COUNTIF($A$2:$A192,A192)</f>
        <v>Wood Elf4</v>
      </c>
      <c r="C192" s="2" t="s">
        <v>241</v>
      </c>
      <c r="D192" s="2" t="str">
        <f t="shared" si="0"/>
        <v>Wood ElfThrower</v>
      </c>
      <c r="E192" s="2">
        <v>7</v>
      </c>
      <c r="F192" s="2">
        <v>3</v>
      </c>
      <c r="G192" s="2">
        <v>2</v>
      </c>
      <c r="H192" s="2">
        <v>2</v>
      </c>
      <c r="I192" s="2">
        <v>8</v>
      </c>
      <c r="J192" s="2" t="str">
        <f>IF('Pack Pro-Player'!$J$24="Español",V192,(IF('Pack Pro-Player'!$J$24="Deutsch",W192,(IF('Pack Pro-Player'!$J$24="Français",X192,U192)))))</f>
        <v>Pasar</v>
      </c>
      <c r="K192" s="1">
        <v>95000</v>
      </c>
      <c r="L192" s="1">
        <f t="shared" si="14"/>
        <v>95</v>
      </c>
      <c r="M192" s="2">
        <v>2</v>
      </c>
      <c r="N192" s="2">
        <v>0</v>
      </c>
      <c r="O192" s="1" t="s">
        <v>170</v>
      </c>
      <c r="P192" s="1" t="s">
        <v>170</v>
      </c>
      <c r="Q192" s="1" t="s">
        <v>169</v>
      </c>
      <c r="R192" s="1" t="s">
        <v>170</v>
      </c>
      <c r="S192" s="1">
        <v>0</v>
      </c>
      <c r="T192" s="15" t="str">
        <f t="shared" si="13"/>
        <v>M</v>
      </c>
      <c r="U192" s="15" t="s">
        <v>356</v>
      </c>
      <c r="V192" s="15" t="s">
        <v>357</v>
      </c>
      <c r="W192" s="15" t="s">
        <v>358</v>
      </c>
      <c r="X192" s="15" t="s">
        <v>359</v>
      </c>
      <c r="Y192" s="15"/>
    </row>
    <row r="193" spans="1:25" ht="12.75" customHeight="1" x14ac:dyDescent="0.2">
      <c r="A193" s="23" t="s">
        <v>160</v>
      </c>
      <c r="B193" s="2" t="str">
        <f>A193&amp;COUNTIF($A$2:$A193,A193)</f>
        <v>Wood Elf5</v>
      </c>
      <c r="C193" s="2" t="s">
        <v>692</v>
      </c>
      <c r="D193" s="2" t="str">
        <f t="shared" si="0"/>
        <v>Wood ElfWardancer</v>
      </c>
      <c r="E193" s="2">
        <v>8</v>
      </c>
      <c r="F193" s="2">
        <v>3</v>
      </c>
      <c r="G193" s="2">
        <v>2</v>
      </c>
      <c r="H193" s="2">
        <v>4</v>
      </c>
      <c r="I193" s="2">
        <v>8</v>
      </c>
      <c r="J193" s="2" t="str">
        <f>IF('Pack Pro-Player'!$J$24="Español",V193,(IF('Pack Pro-Player'!$J$24="Deutsch",W193,(IF('Pack Pro-Player'!$J$24="Français",X193,U193)))))</f>
        <v>Placar, Esquivar, Saltar</v>
      </c>
      <c r="K193" s="1">
        <v>125000</v>
      </c>
      <c r="L193" s="1">
        <f t="shared" si="14"/>
        <v>125</v>
      </c>
      <c r="M193" s="2">
        <v>2</v>
      </c>
      <c r="N193" s="2">
        <v>0</v>
      </c>
      <c r="O193" s="1" t="s">
        <v>170</v>
      </c>
      <c r="P193" s="1" t="s">
        <v>170</v>
      </c>
      <c r="Q193" s="1" t="s">
        <v>169</v>
      </c>
      <c r="R193" s="1" t="s">
        <v>169</v>
      </c>
      <c r="S193" s="1">
        <v>0</v>
      </c>
      <c r="T193" s="15" t="str">
        <f t="shared" si="13"/>
        <v>M</v>
      </c>
      <c r="U193" s="15" t="s">
        <v>693</v>
      </c>
      <c r="V193" s="15" t="s">
        <v>694</v>
      </c>
      <c r="W193" s="15" t="s">
        <v>695</v>
      </c>
      <c r="X193" s="15" t="s">
        <v>696</v>
      </c>
      <c r="Y193" s="15"/>
    </row>
    <row r="194" spans="1:25" ht="12.75" customHeight="1" x14ac:dyDescent="0.2">
      <c r="A194" s="23" t="s">
        <v>160</v>
      </c>
      <c r="B194" s="2" t="str">
        <f>A194&amp;COUNTIF($A$2:$A194,A194)</f>
        <v>Wood Elf6</v>
      </c>
      <c r="C194" s="2" t="s">
        <v>697</v>
      </c>
      <c r="D194" s="2" t="str">
        <f t="shared" si="0"/>
        <v>Wood ElfTreeman</v>
      </c>
      <c r="E194" s="2">
        <v>2</v>
      </c>
      <c r="F194" s="2">
        <v>6</v>
      </c>
      <c r="G194" s="2">
        <v>5</v>
      </c>
      <c r="H194" s="2">
        <v>5</v>
      </c>
      <c r="I194" s="2">
        <v>11</v>
      </c>
      <c r="J194" s="2" t="str">
        <f>IF('Pack Pro-Player'!$J$24="Español",V194,(IF('Pack Pro-Player'!$J$24="Deutsch",W194,(IF('Pack Pro-Player'!$J$24="Français",X194,U194)))))</f>
        <v>Solitario (4+), Golpe mortífero (+1), Mantenerse firme, Brazo fuerte, Echar raíces, Cabeza dura, Lanzar compañero</v>
      </c>
      <c r="K194" s="1">
        <v>120000</v>
      </c>
      <c r="L194" s="1">
        <f t="shared" si="14"/>
        <v>120</v>
      </c>
      <c r="M194" s="2">
        <v>1</v>
      </c>
      <c r="N194" s="2">
        <v>1</v>
      </c>
      <c r="O194" s="1" t="s">
        <v>169</v>
      </c>
      <c r="P194" s="1" t="s">
        <v>169</v>
      </c>
      <c r="Q194" s="1" t="s">
        <v>170</v>
      </c>
      <c r="R194" s="1">
        <v>0</v>
      </c>
      <c r="S194" s="1">
        <v>0</v>
      </c>
      <c r="T194" s="15" t="str">
        <f t="shared" si="13"/>
        <v>PM</v>
      </c>
      <c r="U194" s="15" t="s">
        <v>698</v>
      </c>
      <c r="V194" s="15" t="s">
        <v>699</v>
      </c>
      <c r="W194" s="15" t="s">
        <v>1091</v>
      </c>
      <c r="X194" s="15" t="s">
        <v>700</v>
      </c>
      <c r="Y194" s="15"/>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57213-BFAA-48C7-8C4C-BEAFC28E9A13}">
  <dimension ref="A1:Y194"/>
  <sheetViews>
    <sheetView zoomScale="80" zoomScaleNormal="80" workbookViewId="0">
      <pane ySplit="1" topLeftCell="A44" activePane="bottomLeft" state="frozen"/>
      <selection activeCell="R75" sqref="R75"/>
      <selection pane="bottomLeft" activeCell="R75" sqref="R75"/>
    </sheetView>
  </sheetViews>
  <sheetFormatPr baseColWidth="10"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5" ht="12.75" customHeight="1" x14ac:dyDescent="0.2">
      <c r="A1" s="27" t="s">
        <v>224</v>
      </c>
      <c r="B1" s="5" t="s">
        <v>225</v>
      </c>
      <c r="C1" s="5" t="s">
        <v>226</v>
      </c>
      <c r="D1" s="5" t="s">
        <v>227</v>
      </c>
      <c r="E1" s="5" t="s">
        <v>172</v>
      </c>
      <c r="F1" s="5" t="s">
        <v>176</v>
      </c>
      <c r="G1" s="5" t="s">
        <v>174</v>
      </c>
      <c r="H1" s="5" t="s">
        <v>175</v>
      </c>
      <c r="I1" s="5" t="s">
        <v>173</v>
      </c>
      <c r="J1" s="5" t="s">
        <v>228</v>
      </c>
      <c r="K1" s="5" t="s">
        <v>229</v>
      </c>
      <c r="L1" s="5" t="s">
        <v>10</v>
      </c>
      <c r="M1" s="5" t="s">
        <v>230</v>
      </c>
      <c r="N1" s="5" t="s">
        <v>231</v>
      </c>
      <c r="O1" s="5" t="s">
        <v>167</v>
      </c>
      <c r="P1" s="5" t="s">
        <v>168</v>
      </c>
      <c r="Q1" s="5" t="s">
        <v>169</v>
      </c>
      <c r="R1" s="5" t="s">
        <v>170</v>
      </c>
      <c r="S1" s="5" t="s">
        <v>171</v>
      </c>
      <c r="T1" s="15"/>
      <c r="U1" s="5" t="s">
        <v>232</v>
      </c>
      <c r="V1" s="5" t="s">
        <v>233</v>
      </c>
      <c r="W1" s="5" t="s">
        <v>234</v>
      </c>
      <c r="X1" s="5" t="s">
        <v>235</v>
      </c>
      <c r="Y1" s="5" t="s">
        <v>236</v>
      </c>
    </row>
    <row r="2" spans="1:25" ht="12.75" customHeight="1" x14ac:dyDescent="0.2">
      <c r="A2" s="2" t="s">
        <v>20</v>
      </c>
      <c r="B2" s="23" t="str">
        <f>A2&amp;COUNTIF($A$2:$A2,A2)</f>
        <v>Amazon1</v>
      </c>
      <c r="C2" s="23" t="str">
        <f>""</f>
        <v/>
      </c>
      <c r="D2" s="23" t="str">
        <f t="shared" ref="D2:D194" si="0">A2&amp;C2</f>
        <v>Amazon</v>
      </c>
      <c r="E2" s="23">
        <v>0</v>
      </c>
      <c r="F2" s="23">
        <v>0</v>
      </c>
      <c r="G2" s="23">
        <v>0</v>
      </c>
      <c r="H2" s="23">
        <v>0</v>
      </c>
      <c r="I2" s="23">
        <v>0</v>
      </c>
      <c r="J2" s="23">
        <v>0</v>
      </c>
      <c r="K2" s="25">
        <v>0</v>
      </c>
      <c r="L2" s="1">
        <f t="shared" ref="L2:L93" si="1">K2/1000</f>
        <v>0</v>
      </c>
      <c r="M2" s="25">
        <v>0</v>
      </c>
      <c r="N2" s="25">
        <v>0</v>
      </c>
      <c r="O2" s="25"/>
      <c r="P2" s="25"/>
      <c r="Q2" s="25"/>
      <c r="R2" s="25"/>
      <c r="S2" s="25"/>
      <c r="T2" s="15" t="str">
        <f>IF(K2=0,"",(IF(O2=0,"GPSM",(IF(AND(R2=0,S2=0),"PM",(IF(S2=0,"M",(IF(R2=0,"P","FULL")))))))))</f>
        <v/>
      </c>
      <c r="U2" s="15">
        <v>0</v>
      </c>
      <c r="V2" s="15">
        <v>0</v>
      </c>
      <c r="W2" s="15"/>
      <c r="X2" s="15">
        <v>0</v>
      </c>
      <c r="Y2" s="15">
        <v>0</v>
      </c>
    </row>
    <row r="3" spans="1:25" ht="12.75" customHeight="1" x14ac:dyDescent="0.2">
      <c r="A3" s="2" t="s">
        <v>20</v>
      </c>
      <c r="B3" s="23" t="str">
        <f>A3&amp;COUNTIF($A$2:$A3,A3)</f>
        <v>Amazon2</v>
      </c>
      <c r="C3" s="23" t="s">
        <v>1184</v>
      </c>
      <c r="D3" s="23" t="str">
        <f t="shared" si="0"/>
        <v>AmazonEagle Warrior Linewomen</v>
      </c>
      <c r="E3" s="23">
        <v>6</v>
      </c>
      <c r="F3" s="23">
        <v>3</v>
      </c>
      <c r="G3" s="23">
        <v>3</v>
      </c>
      <c r="H3" s="23">
        <v>4</v>
      </c>
      <c r="I3" s="23">
        <v>8</v>
      </c>
      <c r="J3" s="23" t="s">
        <v>237</v>
      </c>
      <c r="K3" s="25">
        <v>50000</v>
      </c>
      <c r="L3" s="1">
        <f t="shared" si="1"/>
        <v>50</v>
      </c>
      <c r="M3" s="23">
        <v>16</v>
      </c>
      <c r="N3" s="23">
        <v>0</v>
      </c>
      <c r="O3" s="25" t="s">
        <v>170</v>
      </c>
      <c r="P3" s="25" t="s">
        <v>169</v>
      </c>
      <c r="Q3" s="25" t="s">
        <v>169</v>
      </c>
      <c r="R3" s="1">
        <v>0</v>
      </c>
      <c r="S3" s="25">
        <v>0</v>
      </c>
      <c r="T3" s="15" t="str">
        <f t="shared" ref="T3:T66" si="2">IF(K3=0,"",(IF(O3=0,"GPSM",(IF(AND(R3=0,S3=0),"PM",(IF(S3=0,"M",(IF(R3=0,"P","FULL")))))))))</f>
        <v>PM</v>
      </c>
      <c r="U3" s="15" t="s">
        <v>237</v>
      </c>
      <c r="V3" s="15" t="s">
        <v>238</v>
      </c>
      <c r="W3" s="15" t="s">
        <v>239</v>
      </c>
      <c r="X3" s="15" t="s">
        <v>240</v>
      </c>
      <c r="Y3" s="15"/>
    </row>
    <row r="4" spans="1:25" ht="12.75" customHeight="1" x14ac:dyDescent="0.2">
      <c r="A4" s="2" t="s">
        <v>20</v>
      </c>
      <c r="B4" s="23" t="str">
        <f>A4&amp;COUNTIF($A$2:$A4,A4)</f>
        <v>Amazon3</v>
      </c>
      <c r="C4" s="23" t="s">
        <v>1185</v>
      </c>
      <c r="D4" s="23" t="str">
        <f t="shared" si="0"/>
        <v>AmazonPython Warrior Throwers</v>
      </c>
      <c r="E4" s="23">
        <v>6</v>
      </c>
      <c r="F4" s="23">
        <v>3</v>
      </c>
      <c r="G4" s="23">
        <v>3</v>
      </c>
      <c r="H4" s="23">
        <v>3</v>
      </c>
      <c r="I4" s="23">
        <v>8</v>
      </c>
      <c r="J4" s="23" t="s">
        <v>1186</v>
      </c>
      <c r="K4" s="25">
        <v>80000</v>
      </c>
      <c r="L4" s="1">
        <f t="shared" si="1"/>
        <v>80</v>
      </c>
      <c r="M4" s="23">
        <v>2</v>
      </c>
      <c r="N4" s="23">
        <v>0</v>
      </c>
      <c r="O4" s="25" t="s">
        <v>170</v>
      </c>
      <c r="P4" s="25" t="s">
        <v>169</v>
      </c>
      <c r="Q4" s="25" t="s">
        <v>169</v>
      </c>
      <c r="R4" s="1" t="s">
        <v>170</v>
      </c>
      <c r="S4" s="25">
        <v>0</v>
      </c>
      <c r="T4" s="15" t="str">
        <f t="shared" si="2"/>
        <v>M</v>
      </c>
      <c r="U4" s="15" t="s">
        <v>1186</v>
      </c>
      <c r="V4" s="15" t="s">
        <v>1187</v>
      </c>
      <c r="W4" s="15" t="s">
        <v>1188</v>
      </c>
      <c r="X4" s="15" t="s">
        <v>1189</v>
      </c>
      <c r="Y4" s="15"/>
    </row>
    <row r="5" spans="1:25" ht="12.75" customHeight="1" x14ac:dyDescent="0.2">
      <c r="A5" s="2" t="s">
        <v>20</v>
      </c>
      <c r="B5" s="23" t="str">
        <f>A5&amp;COUNTIF($A$2:$A5,A5)</f>
        <v>Amazon4</v>
      </c>
      <c r="C5" s="23" t="s">
        <v>1190</v>
      </c>
      <c r="D5" s="23" t="str">
        <f t="shared" si="0"/>
        <v>AmazonPiranha Warrior Blitzers</v>
      </c>
      <c r="E5" s="23">
        <v>7</v>
      </c>
      <c r="F5" s="23">
        <v>3</v>
      </c>
      <c r="G5" s="23">
        <v>3</v>
      </c>
      <c r="H5" s="23">
        <v>5</v>
      </c>
      <c r="I5" s="23">
        <v>8</v>
      </c>
      <c r="J5" s="23" t="s">
        <v>1191</v>
      </c>
      <c r="K5" s="25">
        <v>90000</v>
      </c>
      <c r="L5" s="1">
        <f t="shared" si="1"/>
        <v>90</v>
      </c>
      <c r="M5" s="23">
        <v>2</v>
      </c>
      <c r="N5" s="23">
        <v>0</v>
      </c>
      <c r="O5" s="25" t="s">
        <v>170</v>
      </c>
      <c r="P5" s="25" t="s">
        <v>170</v>
      </c>
      <c r="Q5" s="25" t="s">
        <v>169</v>
      </c>
      <c r="R5" s="1">
        <v>0</v>
      </c>
      <c r="S5" s="25">
        <v>0</v>
      </c>
      <c r="T5" s="15" t="str">
        <f t="shared" si="2"/>
        <v>PM</v>
      </c>
      <c r="U5" s="15" t="s">
        <v>1191</v>
      </c>
      <c r="V5" s="15" t="s">
        <v>1192</v>
      </c>
      <c r="W5" s="15" t="s">
        <v>1193</v>
      </c>
      <c r="X5" s="15" t="s">
        <v>1194</v>
      </c>
      <c r="Y5" s="15"/>
    </row>
    <row r="6" spans="1:25" ht="12.75" customHeight="1" x14ac:dyDescent="0.2">
      <c r="A6" s="2" t="s">
        <v>20</v>
      </c>
      <c r="B6" s="23" t="str">
        <f>A6&amp;COUNTIF($A$2:$A6,A6)</f>
        <v>Amazon5</v>
      </c>
      <c r="C6" s="23" t="s">
        <v>1195</v>
      </c>
      <c r="D6" s="23" t="str">
        <f t="shared" si="0"/>
        <v>AmazonJaguar Warrior Blockers</v>
      </c>
      <c r="E6" s="23">
        <v>6</v>
      </c>
      <c r="F6" s="23">
        <v>4</v>
      </c>
      <c r="G6" s="23">
        <v>3</v>
      </c>
      <c r="H6" s="23">
        <v>5</v>
      </c>
      <c r="I6" s="23">
        <v>9</v>
      </c>
      <c r="J6" s="23" t="s">
        <v>1196</v>
      </c>
      <c r="K6" s="25">
        <v>110000</v>
      </c>
      <c r="L6" s="1">
        <f t="shared" si="1"/>
        <v>110</v>
      </c>
      <c r="M6" s="23">
        <v>2</v>
      </c>
      <c r="N6" s="23">
        <v>0</v>
      </c>
      <c r="O6" s="25" t="s">
        <v>170</v>
      </c>
      <c r="P6" s="25" t="s">
        <v>169</v>
      </c>
      <c r="Q6" s="25" t="s">
        <v>170</v>
      </c>
      <c r="R6" s="1">
        <v>0</v>
      </c>
      <c r="S6" s="25">
        <v>0</v>
      </c>
      <c r="T6" s="15" t="str">
        <f t="shared" si="2"/>
        <v>PM</v>
      </c>
      <c r="U6" s="15" t="s">
        <v>1196</v>
      </c>
      <c r="V6" s="15" t="s">
        <v>1197</v>
      </c>
      <c r="W6" s="15" t="s">
        <v>1198</v>
      </c>
      <c r="X6" s="15" t="s">
        <v>1199</v>
      </c>
      <c r="Y6" s="15"/>
    </row>
    <row r="7" spans="1:25" ht="12.75" customHeight="1" x14ac:dyDescent="0.2">
      <c r="A7" s="23" t="s">
        <v>22</v>
      </c>
      <c r="B7" s="2" t="str">
        <f>A7&amp;COUNTIF($A$2:$A7,A7)</f>
        <v>Black Orc1</v>
      </c>
      <c r="C7" s="2" t="str">
        <f>""</f>
        <v/>
      </c>
      <c r="D7" s="2" t="str">
        <f t="shared" si="0"/>
        <v>Black Orc</v>
      </c>
      <c r="E7" s="2">
        <v>0</v>
      </c>
      <c r="F7" s="2">
        <v>0</v>
      </c>
      <c r="G7" s="2">
        <v>0</v>
      </c>
      <c r="H7" s="2">
        <v>0</v>
      </c>
      <c r="I7" s="2">
        <v>0</v>
      </c>
      <c r="J7" s="2">
        <f>IF('Pack Vieja Gloria'!$J$24="Español",V7,(IF('Pack Vieja Gloria'!$J$24="Deutsch",W7,(IF('Pack Vieja Gloria'!$J$24="Français",X7,U7)))))</f>
        <v>0</v>
      </c>
      <c r="K7" s="1">
        <v>0</v>
      </c>
      <c r="L7" s="1">
        <f t="shared" si="1"/>
        <v>0</v>
      </c>
      <c r="M7" s="1">
        <v>0</v>
      </c>
      <c r="N7" s="1">
        <v>0</v>
      </c>
      <c r="O7" s="1"/>
      <c r="P7" s="1"/>
      <c r="Q7" s="1"/>
      <c r="R7" s="1"/>
      <c r="S7" s="1"/>
      <c r="T7" s="15" t="str">
        <f t="shared" si="2"/>
        <v/>
      </c>
      <c r="U7" s="15">
        <v>0</v>
      </c>
      <c r="V7" s="15">
        <v>0</v>
      </c>
      <c r="W7" s="15">
        <v>0</v>
      </c>
      <c r="X7" s="15">
        <v>0</v>
      </c>
      <c r="Y7" s="15">
        <v>0</v>
      </c>
    </row>
    <row r="8" spans="1:25" ht="12.75" customHeight="1" x14ac:dyDescent="0.2">
      <c r="A8" s="23" t="s">
        <v>22</v>
      </c>
      <c r="B8" s="2" t="str">
        <f>A8&amp;COUNTIF($A$2:$A8,A8)</f>
        <v>Black Orc2</v>
      </c>
      <c r="C8" s="2" t="s">
        <v>244</v>
      </c>
      <c r="D8" s="2" t="str">
        <f t="shared" si="0"/>
        <v>Black OrcGoblin Bruiser</v>
      </c>
      <c r="E8" s="2">
        <v>6</v>
      </c>
      <c r="F8" s="2">
        <v>2</v>
      </c>
      <c r="G8" s="2">
        <v>3</v>
      </c>
      <c r="H8" s="2">
        <v>4</v>
      </c>
      <c r="I8" s="2">
        <v>8</v>
      </c>
      <c r="J8" s="2" t="str">
        <f>IF('Pack Vieja Gloria'!$J$24="Español",V8,(IF('Pack Vieja Gloria'!$J$24="Deutsch",W8,(IF('Pack Vieja Gloria'!$J$24="Français",X8,U8)))))</f>
        <v>Esquivar, Humanoide bala, Escurridizo, Cabeza dura</v>
      </c>
      <c r="K8" s="1">
        <v>45000</v>
      </c>
      <c r="L8" s="1">
        <f t="shared" si="1"/>
        <v>45</v>
      </c>
      <c r="M8" s="1">
        <v>12</v>
      </c>
      <c r="N8" s="1">
        <v>0</v>
      </c>
      <c r="O8" s="1" t="s">
        <v>169</v>
      </c>
      <c r="P8" s="1" t="s">
        <v>170</v>
      </c>
      <c r="Q8" s="1" t="s">
        <v>169</v>
      </c>
      <c r="R8" s="1" t="s">
        <v>169</v>
      </c>
      <c r="S8" s="1">
        <v>0</v>
      </c>
      <c r="T8" s="15" t="str">
        <f t="shared" si="2"/>
        <v>M</v>
      </c>
      <c r="U8" s="15" t="s">
        <v>245</v>
      </c>
      <c r="V8" s="15" t="s">
        <v>246</v>
      </c>
      <c r="W8" s="15" t="s">
        <v>247</v>
      </c>
      <c r="X8" s="15" t="s">
        <v>248</v>
      </c>
      <c r="Y8" s="15"/>
    </row>
    <row r="9" spans="1:25" ht="12.75" customHeight="1" x14ac:dyDescent="0.2">
      <c r="A9" s="23" t="s">
        <v>22</v>
      </c>
      <c r="B9" s="2" t="str">
        <f>A9&amp;COUNTIF($A$2:$A9,A9)</f>
        <v>Black Orc3</v>
      </c>
      <c r="C9" s="2" t="s">
        <v>22</v>
      </c>
      <c r="D9" s="2" t="str">
        <f t="shared" si="0"/>
        <v>Black OrcBlack Orc</v>
      </c>
      <c r="E9" s="2">
        <v>4</v>
      </c>
      <c r="F9" s="2">
        <v>4</v>
      </c>
      <c r="G9" s="2">
        <v>4</v>
      </c>
      <c r="H9" s="2">
        <v>5</v>
      </c>
      <c r="I9" s="2">
        <v>10</v>
      </c>
      <c r="J9" s="2" t="str">
        <f>IF('Pack Vieja Gloria'!$J$24="Español",V9,(IF('Pack Vieja Gloria'!$J$24="Deutsch",W9,(IF('Pack Vieja Gloria'!$J$24="Français",X9,U9)))))</f>
        <v>Luchador, Apartar</v>
      </c>
      <c r="K9" s="1">
        <v>90000</v>
      </c>
      <c r="L9" s="1">
        <f t="shared" si="1"/>
        <v>90</v>
      </c>
      <c r="M9" s="1">
        <v>6</v>
      </c>
      <c r="N9" s="1">
        <v>0</v>
      </c>
      <c r="O9" s="1" t="s">
        <v>170</v>
      </c>
      <c r="P9" s="1" t="s">
        <v>169</v>
      </c>
      <c r="Q9" s="1" t="s">
        <v>170</v>
      </c>
      <c r="R9" s="1" t="s">
        <v>169</v>
      </c>
      <c r="S9" s="1">
        <v>0</v>
      </c>
      <c r="T9" s="15" t="str">
        <f t="shared" si="2"/>
        <v>M</v>
      </c>
      <c r="U9" s="15" t="s">
        <v>249</v>
      </c>
      <c r="V9" s="15" t="s">
        <v>250</v>
      </c>
      <c r="W9" s="15" t="s">
        <v>251</v>
      </c>
      <c r="X9" s="15" t="s">
        <v>252</v>
      </c>
      <c r="Y9" s="15"/>
    </row>
    <row r="10" spans="1:25" ht="12.75" customHeight="1" x14ac:dyDescent="0.2">
      <c r="A10" s="23" t="s">
        <v>22</v>
      </c>
      <c r="B10" s="2" t="str">
        <f>A10&amp;COUNTIF($A$2:$A10,A10)</f>
        <v>Black Orc4</v>
      </c>
      <c r="C10" s="2" t="s">
        <v>253</v>
      </c>
      <c r="D10" s="2" t="str">
        <f t="shared" si="0"/>
        <v>Black OrcTrained Troll</v>
      </c>
      <c r="E10" s="2">
        <v>4</v>
      </c>
      <c r="F10" s="2">
        <v>5</v>
      </c>
      <c r="G10" s="2">
        <v>5</v>
      </c>
      <c r="H10" s="2">
        <v>5</v>
      </c>
      <c r="I10" s="2">
        <v>10</v>
      </c>
      <c r="J10" s="2" t="str">
        <f>IF('Pack Vieja Gloria'!$J$24="Español",V10,(IF('Pack Vieja Gloria'!$J$24="Deutsch",W10,(IF('Pack Vieja Gloria'!$J$24="Français",X10,U10)))))</f>
        <v>Siempre hambriento, Solitario (3+), Golpe mortífero (+1), Proyectil de vómito, Realmente estúpido, Regeneración, Lanzar compañero</v>
      </c>
      <c r="K10" s="1">
        <v>115000</v>
      </c>
      <c r="L10" s="1">
        <f t="shared" si="1"/>
        <v>115</v>
      </c>
      <c r="M10" s="1">
        <v>1</v>
      </c>
      <c r="N10" s="1">
        <v>1</v>
      </c>
      <c r="O10" s="1" t="s">
        <v>169</v>
      </c>
      <c r="P10" s="1" t="s">
        <v>169</v>
      </c>
      <c r="Q10" s="1" t="s">
        <v>170</v>
      </c>
      <c r="R10" s="1" t="s">
        <v>169</v>
      </c>
      <c r="S10" s="1">
        <v>0</v>
      </c>
      <c r="T10" s="15" t="str">
        <f t="shared" si="2"/>
        <v>M</v>
      </c>
      <c r="U10" s="15" t="s">
        <v>254</v>
      </c>
      <c r="V10" s="15" t="s">
        <v>255</v>
      </c>
      <c r="W10" s="15" t="s">
        <v>256</v>
      </c>
      <c r="X10" s="15" t="s">
        <v>257</v>
      </c>
      <c r="Y10" s="15"/>
    </row>
    <row r="11" spans="1:25" ht="12.75" customHeight="1" x14ac:dyDescent="0.2">
      <c r="A11" s="23" t="s">
        <v>1475</v>
      </c>
      <c r="B11" s="2" t="str">
        <f>A11&amp;COUNTIF($A$2:$A11,A11)</f>
        <v>Bretonnian1</v>
      </c>
      <c r="C11" s="2" t="str">
        <f>""</f>
        <v/>
      </c>
      <c r="D11" s="2" t="str">
        <f t="shared" si="0"/>
        <v>Bretonnian</v>
      </c>
      <c r="E11" s="2">
        <v>0</v>
      </c>
      <c r="F11" s="2">
        <v>0</v>
      </c>
      <c r="G11" s="2">
        <v>0</v>
      </c>
      <c r="H11" s="2">
        <v>0</v>
      </c>
      <c r="I11" s="2">
        <v>0</v>
      </c>
      <c r="J11" s="2">
        <f>IF('Pack Vieja Gloria'!$J$24="Español",V11,(IF('Pack Vieja Gloria'!$J$24="Deutsch",W11,(IF('Pack Vieja Gloria'!$J$24="Français",X11,U11)))))</f>
        <v>0</v>
      </c>
      <c r="K11" s="1">
        <v>0</v>
      </c>
      <c r="L11" s="1">
        <f t="shared" si="1"/>
        <v>0</v>
      </c>
      <c r="M11" s="1">
        <v>0</v>
      </c>
      <c r="N11" s="1">
        <v>0</v>
      </c>
      <c r="O11" s="1"/>
      <c r="P11" s="1"/>
      <c r="Q11" s="1"/>
      <c r="R11" s="1"/>
      <c r="S11" s="1"/>
      <c r="T11" s="15" t="str">
        <f t="shared" si="2"/>
        <v/>
      </c>
      <c r="U11" s="15">
        <v>0</v>
      </c>
      <c r="V11" s="15">
        <v>0</v>
      </c>
      <c r="W11" s="15">
        <v>0</v>
      </c>
      <c r="X11" s="15">
        <v>0</v>
      </c>
      <c r="Y11" s="15">
        <v>0</v>
      </c>
    </row>
    <row r="12" spans="1:25" ht="12.75" customHeight="1" x14ac:dyDescent="0.2">
      <c r="A12" s="23" t="s">
        <v>1475</v>
      </c>
      <c r="B12" s="2" t="str">
        <f>A12&amp;COUNTIF($A$2:$A12,A12)</f>
        <v>Bretonnian2</v>
      </c>
      <c r="C12" s="2" t="s">
        <v>1432</v>
      </c>
      <c r="D12" s="2" t="str">
        <f t="shared" si="0"/>
        <v>BretonnianLinemen</v>
      </c>
      <c r="E12" s="2">
        <v>6</v>
      </c>
      <c r="F12" s="2">
        <v>3</v>
      </c>
      <c r="G12" s="2">
        <v>4</v>
      </c>
      <c r="H12" s="2">
        <v>4</v>
      </c>
      <c r="I12" s="2">
        <v>8</v>
      </c>
      <c r="J12" s="2" t="str">
        <f>IF('Pack Vieja Gloria'!$J$24="Español",V12,(IF('Pack Vieja Gloria'!$J$24="Deutsch",W12,(IF('Pack Vieja Gloria'!$J$24="Français",X12,U12)))))</f>
        <v>Zafarse</v>
      </c>
      <c r="K12" s="1">
        <v>45000</v>
      </c>
      <c r="L12" s="1">
        <f t="shared" si="1"/>
        <v>45</v>
      </c>
      <c r="M12" s="1">
        <v>16</v>
      </c>
      <c r="N12" s="1">
        <v>0</v>
      </c>
      <c r="O12" s="1" t="s">
        <v>170</v>
      </c>
      <c r="P12" s="1" t="s">
        <v>169</v>
      </c>
      <c r="Q12" s="1" t="s">
        <v>169</v>
      </c>
      <c r="R12" s="1">
        <v>0</v>
      </c>
      <c r="S12" s="1">
        <v>0</v>
      </c>
      <c r="T12" s="15" t="str">
        <f t="shared" si="2"/>
        <v>PM</v>
      </c>
      <c r="U12" s="15" t="s">
        <v>434</v>
      </c>
      <c r="V12" s="15" t="s">
        <v>435</v>
      </c>
      <c r="W12" s="15" t="s">
        <v>436</v>
      </c>
      <c r="X12" s="15" t="s">
        <v>437</v>
      </c>
      <c r="Y12" s="15"/>
    </row>
    <row r="13" spans="1:25" ht="12.75" customHeight="1" x14ac:dyDescent="0.2">
      <c r="A13" s="23" t="s">
        <v>1475</v>
      </c>
      <c r="B13" s="2" t="str">
        <f>A13&amp;COUNTIF($A$2:$A13,A13)</f>
        <v>Bretonnian3</v>
      </c>
      <c r="C13" s="2" t="s">
        <v>1476</v>
      </c>
      <c r="D13" s="2" t="str">
        <f t="shared" si="0"/>
        <v>BretonnianYeomen</v>
      </c>
      <c r="E13" s="2">
        <v>6</v>
      </c>
      <c r="F13" s="2">
        <v>3</v>
      </c>
      <c r="G13" s="2">
        <v>3</v>
      </c>
      <c r="H13" s="2">
        <v>5</v>
      </c>
      <c r="I13" s="2">
        <v>9</v>
      </c>
      <c r="J13" s="2" t="str">
        <f>IF('Pack Vieja Gloria'!$J$24="Español",V13,(IF('Pack Vieja Gloria'!$J$24="Deutsch",W13,(IF('Pack Vieja Gloria'!$J$24="Français",X13,U13)))))</f>
        <v>Forcejear</v>
      </c>
      <c r="K13" s="1">
        <v>70000</v>
      </c>
      <c r="L13" s="1">
        <f t="shared" si="1"/>
        <v>70</v>
      </c>
      <c r="M13" s="1">
        <v>4</v>
      </c>
      <c r="N13" s="1">
        <v>0</v>
      </c>
      <c r="O13" s="1" t="s">
        <v>170</v>
      </c>
      <c r="P13" s="1" t="s">
        <v>169</v>
      </c>
      <c r="Q13" s="1" t="s">
        <v>170</v>
      </c>
      <c r="R13" s="1">
        <v>0</v>
      </c>
      <c r="S13" s="1">
        <v>0</v>
      </c>
      <c r="T13" s="15" t="str">
        <f t="shared" si="2"/>
        <v>PM</v>
      </c>
      <c r="U13" s="15" t="s">
        <v>1478</v>
      </c>
      <c r="V13" s="15" t="s">
        <v>1479</v>
      </c>
      <c r="W13" s="15" t="s">
        <v>1482</v>
      </c>
      <c r="X13" s="15" t="s">
        <v>1483</v>
      </c>
      <c r="Y13" s="15"/>
    </row>
    <row r="14" spans="1:25" ht="12.75" customHeight="1" x14ac:dyDescent="0.2">
      <c r="A14" s="23" t="s">
        <v>1475</v>
      </c>
      <c r="B14" s="2" t="str">
        <f>A14&amp;COUNTIF($A$2:$A14,A14)</f>
        <v>Bretonnian4</v>
      </c>
      <c r="C14" s="2" t="s">
        <v>1477</v>
      </c>
      <c r="D14" s="2" t="str">
        <f t="shared" si="0"/>
        <v>BretonnianKnights</v>
      </c>
      <c r="E14" s="2">
        <v>7</v>
      </c>
      <c r="F14" s="2">
        <v>3</v>
      </c>
      <c r="G14" s="2">
        <v>3</v>
      </c>
      <c r="H14" s="2">
        <v>3</v>
      </c>
      <c r="I14" s="2">
        <v>9</v>
      </c>
      <c r="J14" s="2" t="str">
        <f>IF('Pack Vieja Gloria'!$J$24="Español",V14,(IF('Pack Vieja Gloria'!$J$24="Deutsch",W14,(IF('Pack Vieja Gloria'!$J$24="Français",X14,U14)))))</f>
        <v>Placar, Atrapar, Agallas</v>
      </c>
      <c r="K14" s="1">
        <v>100000</v>
      </c>
      <c r="L14" s="1">
        <f t="shared" si="1"/>
        <v>100</v>
      </c>
      <c r="M14" s="1">
        <v>4</v>
      </c>
      <c r="N14" s="1">
        <v>0</v>
      </c>
      <c r="O14" s="1" t="s">
        <v>170</v>
      </c>
      <c r="P14" s="1" t="s">
        <v>170</v>
      </c>
      <c r="Q14" s="1" t="s">
        <v>169</v>
      </c>
      <c r="R14" s="1" t="s">
        <v>170</v>
      </c>
      <c r="S14" s="1">
        <v>0</v>
      </c>
      <c r="T14" s="15" t="str">
        <f t="shared" si="2"/>
        <v>M</v>
      </c>
      <c r="U14" s="15" t="s">
        <v>1480</v>
      </c>
      <c r="V14" s="15" t="s">
        <v>1481</v>
      </c>
      <c r="W14" s="15" t="s">
        <v>1484</v>
      </c>
      <c r="X14" s="15" t="s">
        <v>1485</v>
      </c>
      <c r="Y14" s="15"/>
    </row>
    <row r="15" spans="1:25" ht="12.75" customHeight="1" x14ac:dyDescent="0.2">
      <c r="A15" s="23" t="s">
        <v>29</v>
      </c>
      <c r="B15" s="2" t="str">
        <f>A15&amp;COUNTIF($A$2:$A15,A15)</f>
        <v>Chaos Chosen1</v>
      </c>
      <c r="C15" s="2" t="str">
        <f>""</f>
        <v/>
      </c>
      <c r="D15" s="2" t="str">
        <f t="shared" si="0"/>
        <v>Chaos Chosen</v>
      </c>
      <c r="E15" s="2">
        <v>0</v>
      </c>
      <c r="F15" s="2">
        <v>0</v>
      </c>
      <c r="G15" s="2">
        <v>0</v>
      </c>
      <c r="H15" s="2">
        <v>0</v>
      </c>
      <c r="I15" s="2">
        <v>0</v>
      </c>
      <c r="J15" s="2">
        <f>IF('Pack Vieja Gloria'!$J$24="Español",V15,(IF('Pack Vieja Gloria'!$J$24="Deutsch",W15,(IF('Pack Vieja Gloria'!$J$24="Français",X15,U15)))))</f>
        <v>0</v>
      </c>
      <c r="K15" s="1">
        <v>0</v>
      </c>
      <c r="L15" s="1">
        <f t="shared" si="1"/>
        <v>0</v>
      </c>
      <c r="M15" s="1">
        <v>0</v>
      </c>
      <c r="N15" s="1">
        <v>0</v>
      </c>
      <c r="O15" s="1"/>
      <c r="P15" s="1"/>
      <c r="Q15" s="1"/>
      <c r="R15" s="1"/>
      <c r="S15" s="1"/>
      <c r="T15" s="15" t="str">
        <f t="shared" si="2"/>
        <v/>
      </c>
      <c r="U15" s="15"/>
      <c r="V15" s="15"/>
      <c r="W15" s="15"/>
      <c r="X15" s="15"/>
      <c r="Y15" s="15"/>
    </row>
    <row r="16" spans="1:25" ht="12.75" customHeight="1" x14ac:dyDescent="0.2">
      <c r="A16" s="23" t="s">
        <v>29</v>
      </c>
      <c r="B16" s="2" t="str">
        <f>A16&amp;COUNTIF($A$2:$A16,A16)</f>
        <v>Chaos Chosen2</v>
      </c>
      <c r="C16" s="2" t="s">
        <v>258</v>
      </c>
      <c r="D16" s="2" t="str">
        <f t="shared" si="0"/>
        <v>Chaos ChosenBeastman</v>
      </c>
      <c r="E16" s="2">
        <v>6</v>
      </c>
      <c r="F16" s="2">
        <v>3</v>
      </c>
      <c r="G16" s="2">
        <v>3</v>
      </c>
      <c r="H16" s="2">
        <v>4</v>
      </c>
      <c r="I16" s="2">
        <v>9</v>
      </c>
      <c r="J16" s="2" t="str">
        <f>IF('Pack Vieja Gloria'!$J$24="Español",V16,(IF('Pack Vieja Gloria'!$J$24="Deutsch",W16,(IF('Pack Vieja Gloria'!$J$24="Français",X16,U16)))))</f>
        <v>Cuernos</v>
      </c>
      <c r="K16" s="1">
        <v>60000</v>
      </c>
      <c r="L16" s="1">
        <f t="shared" si="1"/>
        <v>60</v>
      </c>
      <c r="M16" s="2">
        <v>16</v>
      </c>
      <c r="N16" s="2">
        <v>0</v>
      </c>
      <c r="O16" s="1" t="s">
        <v>170</v>
      </c>
      <c r="P16" s="1" t="s">
        <v>169</v>
      </c>
      <c r="Q16" s="1" t="s">
        <v>170</v>
      </c>
      <c r="R16" s="1" t="s">
        <v>169</v>
      </c>
      <c r="S16" s="1" t="s">
        <v>170</v>
      </c>
      <c r="T16" s="15" t="str">
        <f t="shared" si="2"/>
        <v>FULL</v>
      </c>
      <c r="U16" s="15" t="s">
        <v>259</v>
      </c>
      <c r="V16" s="15" t="s">
        <v>260</v>
      </c>
      <c r="W16" s="15" t="s">
        <v>261</v>
      </c>
      <c r="X16" s="15" t="s">
        <v>262</v>
      </c>
      <c r="Y16" s="15"/>
    </row>
    <row r="17" spans="1:25" ht="12.75" customHeight="1" x14ac:dyDescent="0.2">
      <c r="A17" s="23" t="s">
        <v>29</v>
      </c>
      <c r="B17" s="2" t="str">
        <f>A17&amp;COUNTIF($A$2:$A17,A17)</f>
        <v>Chaos Chosen3</v>
      </c>
      <c r="C17" s="2" t="s">
        <v>263</v>
      </c>
      <c r="D17" s="2" t="str">
        <f t="shared" si="0"/>
        <v>Chaos ChosenChaos Warrior</v>
      </c>
      <c r="E17" s="2">
        <v>5</v>
      </c>
      <c r="F17" s="2">
        <v>4</v>
      </c>
      <c r="G17" s="2">
        <v>3</v>
      </c>
      <c r="H17" s="2">
        <v>5</v>
      </c>
      <c r="I17" s="2">
        <v>10</v>
      </c>
      <c r="J17" s="2" t="str">
        <f>IF('Pack Vieja Gloria'!$J$24="Español",V17,(IF('Pack Vieja Gloria'!$J$24="Deutsch",W17,(IF('Pack Vieja Gloria'!$J$24="Français",X17,U17)))))</f>
        <v/>
      </c>
      <c r="K17" s="1">
        <v>100000</v>
      </c>
      <c r="L17" s="1">
        <f t="shared" si="1"/>
        <v>100</v>
      </c>
      <c r="M17" s="2">
        <v>4</v>
      </c>
      <c r="N17" s="2">
        <v>0</v>
      </c>
      <c r="O17" s="1" t="s">
        <v>170</v>
      </c>
      <c r="P17" s="1" t="s">
        <v>169</v>
      </c>
      <c r="Q17" s="1" t="s">
        <v>170</v>
      </c>
      <c r="R17" s="1">
        <v>0</v>
      </c>
      <c r="S17" s="1" t="s">
        <v>170</v>
      </c>
      <c r="T17" s="15" t="str">
        <f t="shared" si="2"/>
        <v>P</v>
      </c>
      <c r="U17" s="15" t="str">
        <f t="shared" ref="U17:Y17" si="3">""</f>
        <v/>
      </c>
      <c r="V17" s="15" t="str">
        <f t="shared" si="3"/>
        <v/>
      </c>
      <c r="W17" s="15" t="str">
        <f t="shared" si="3"/>
        <v/>
      </c>
      <c r="X17" s="15" t="str">
        <f t="shared" si="3"/>
        <v/>
      </c>
      <c r="Y17" s="15" t="str">
        <f t="shared" si="3"/>
        <v/>
      </c>
    </row>
    <row r="18" spans="1:25" ht="12.75" customHeight="1" x14ac:dyDescent="0.2">
      <c r="A18" s="23" t="s">
        <v>29</v>
      </c>
      <c r="B18" s="2" t="str">
        <f>A18&amp;COUNTIF($A$2:$A18,A18)</f>
        <v>Chaos Chosen4</v>
      </c>
      <c r="C18" s="2" t="s">
        <v>264</v>
      </c>
      <c r="D18" s="2" t="str">
        <f t="shared" si="0"/>
        <v>Chaos ChosenChaos Troll</v>
      </c>
      <c r="E18" s="2">
        <v>4</v>
      </c>
      <c r="F18" s="2">
        <v>5</v>
      </c>
      <c r="G18" s="2">
        <v>5</v>
      </c>
      <c r="H18" s="2">
        <v>5</v>
      </c>
      <c r="I18" s="2">
        <v>10</v>
      </c>
      <c r="J18" s="2" t="str">
        <f>IF('Pack Vieja Gloria'!$J$24="Español",V18,(IF('Pack Vieja Gloria'!$J$24="Deutsch",W18,(IF('Pack Vieja Gloria'!$J$24="Français",X18,U18)))))</f>
        <v>Siempre hambriento, Solitario (4+), Golpe mortífero (+1), Proyectil de vómito, Realmente estúpido, Regeneración, Lanzar compañero</v>
      </c>
      <c r="K18" s="1">
        <v>115000</v>
      </c>
      <c r="L18" s="1">
        <f t="shared" si="1"/>
        <v>115</v>
      </c>
      <c r="M18" s="2">
        <v>1</v>
      </c>
      <c r="N18" s="2">
        <v>1</v>
      </c>
      <c r="O18" s="1" t="s">
        <v>169</v>
      </c>
      <c r="P18" s="1" t="s">
        <v>169</v>
      </c>
      <c r="Q18" s="1" t="s">
        <v>170</v>
      </c>
      <c r="R18" s="1">
        <v>0</v>
      </c>
      <c r="S18" s="1" t="s">
        <v>170</v>
      </c>
      <c r="T18" s="15" t="str">
        <f t="shared" si="2"/>
        <v>P</v>
      </c>
      <c r="U18" s="15" t="s">
        <v>265</v>
      </c>
      <c r="V18" s="15" t="s">
        <v>266</v>
      </c>
      <c r="W18" s="15" t="s">
        <v>267</v>
      </c>
      <c r="X18" s="15" t="s">
        <v>268</v>
      </c>
      <c r="Y18" s="15"/>
    </row>
    <row r="19" spans="1:25" ht="12.75" customHeight="1" x14ac:dyDescent="0.2">
      <c r="A19" s="23" t="s">
        <v>29</v>
      </c>
      <c r="B19" s="2" t="str">
        <f>A19&amp;COUNTIF($A$2:$A19,A19)</f>
        <v>Chaos Chosen5</v>
      </c>
      <c r="C19" s="2" t="s">
        <v>269</v>
      </c>
      <c r="D19" s="2" t="str">
        <f t="shared" si="0"/>
        <v>Chaos ChosenChaos Ogre</v>
      </c>
      <c r="E19" s="2">
        <v>5</v>
      </c>
      <c r="F19" s="2">
        <v>5</v>
      </c>
      <c r="G19" s="2">
        <v>4</v>
      </c>
      <c r="H19" s="2">
        <v>5</v>
      </c>
      <c r="I19" s="2">
        <v>10</v>
      </c>
      <c r="J19" s="2" t="str">
        <f>IF('Pack Vieja Gloria'!$J$24="Español",V19,(IF('Pack Vieja Gloria'!$J$24="Deutsch",W19,(IF('Pack Vieja Gloria'!$J$24="Français",X19,U19)))))</f>
        <v>Estúpido, Solitario (4+), Golpe mortífero (+1), Cabeza dura, Lanzar Compañero</v>
      </c>
      <c r="K19" s="1">
        <v>140000</v>
      </c>
      <c r="L19" s="1">
        <f t="shared" si="1"/>
        <v>140</v>
      </c>
      <c r="M19" s="2">
        <v>1</v>
      </c>
      <c r="N19" s="2">
        <v>1</v>
      </c>
      <c r="O19" s="1" t="s">
        <v>169</v>
      </c>
      <c r="P19" s="1" t="s">
        <v>169</v>
      </c>
      <c r="Q19" s="1" t="s">
        <v>170</v>
      </c>
      <c r="R19" s="1">
        <v>0</v>
      </c>
      <c r="S19" s="1" t="s">
        <v>170</v>
      </c>
      <c r="T19" s="15" t="str">
        <f t="shared" si="2"/>
        <v>P</v>
      </c>
      <c r="U19" s="15" t="s">
        <v>270</v>
      </c>
      <c r="V19" s="15" t="s">
        <v>271</v>
      </c>
      <c r="W19" s="15" t="s">
        <v>272</v>
      </c>
      <c r="X19" s="15" t="s">
        <v>273</v>
      </c>
      <c r="Y19" s="15"/>
    </row>
    <row r="20" spans="1:25" ht="12.75" customHeight="1" x14ac:dyDescent="0.2">
      <c r="A20" s="23" t="s">
        <v>29</v>
      </c>
      <c r="B20" s="2" t="str">
        <f>A20&amp;COUNTIF($A$2:$A20,A20)</f>
        <v>Chaos Chosen6</v>
      </c>
      <c r="C20" s="2" t="s">
        <v>274</v>
      </c>
      <c r="D20" s="2" t="str">
        <f t="shared" si="0"/>
        <v>Chaos ChosenMinotaur</v>
      </c>
      <c r="E20" s="2">
        <v>5</v>
      </c>
      <c r="F20" s="2">
        <v>5</v>
      </c>
      <c r="G20" s="2">
        <v>4</v>
      </c>
      <c r="H20" s="2">
        <v>0</v>
      </c>
      <c r="I20" s="2">
        <v>9</v>
      </c>
      <c r="J20" s="2" t="str">
        <f>IF('Pack Vieja Gloria'!$J$24="Español",V20,(IF('Pack Vieja Gloria'!$J$24="Deutsch",W20,(IF('Pack Vieja Gloria'!$J$24="Français",X20,U20)))))</f>
        <v>Solitario (4+), Furia, Cuernos, Golpe mortífero (+1), Cabeza dura, Ira descontrolada</v>
      </c>
      <c r="K20" s="1">
        <v>150000</v>
      </c>
      <c r="L20" s="1">
        <f t="shared" si="1"/>
        <v>150</v>
      </c>
      <c r="M20" s="1">
        <v>1</v>
      </c>
      <c r="N20" s="1">
        <v>1</v>
      </c>
      <c r="O20" s="1" t="s">
        <v>169</v>
      </c>
      <c r="P20" s="1" t="s">
        <v>169</v>
      </c>
      <c r="Q20" s="1" t="s">
        <v>170</v>
      </c>
      <c r="R20" s="12">
        <v>0</v>
      </c>
      <c r="S20" s="1" t="s">
        <v>170</v>
      </c>
      <c r="T20" s="15" t="str">
        <f t="shared" si="2"/>
        <v>P</v>
      </c>
      <c r="U20" s="15" t="s">
        <v>275</v>
      </c>
      <c r="V20" s="15" t="s">
        <v>276</v>
      </c>
      <c r="W20" s="15" t="s">
        <v>277</v>
      </c>
      <c r="X20" s="15" t="s">
        <v>278</v>
      </c>
      <c r="Y20" s="15"/>
    </row>
    <row r="21" spans="1:25" s="23" customFormat="1" ht="12.75" customHeight="1" x14ac:dyDescent="0.2">
      <c r="A21" s="23" t="s">
        <v>35</v>
      </c>
      <c r="B21" s="2" t="str">
        <f>A21&amp;COUNTIF($A$2:$A21,A21)</f>
        <v>Chaos Dwarf1</v>
      </c>
      <c r="D21" s="2" t="str">
        <f t="shared" si="0"/>
        <v>Chaos Dwarf</v>
      </c>
      <c r="E21" s="23">
        <v>0</v>
      </c>
      <c r="F21" s="23">
        <v>0</v>
      </c>
      <c r="G21" s="23">
        <v>0</v>
      </c>
      <c r="H21" s="23">
        <v>0</v>
      </c>
      <c r="I21" s="23">
        <v>0</v>
      </c>
      <c r="J21" s="2">
        <f>IF('Pack Vieja Gloria'!$J$24="Español",V21,(IF('Pack Vieja Gloria'!$J$24="Deutsch",W21,(IF('Pack Vieja Gloria'!$J$24="Français",X21,U21)))))</f>
        <v>0</v>
      </c>
      <c r="K21" s="23">
        <v>0</v>
      </c>
      <c r="L21" s="23">
        <f t="shared" si="1"/>
        <v>0</v>
      </c>
      <c r="M21" s="23">
        <v>0</v>
      </c>
      <c r="N21" s="23">
        <v>0</v>
      </c>
      <c r="T21" s="15" t="str">
        <f t="shared" si="2"/>
        <v/>
      </c>
      <c r="U21" s="23">
        <v>0</v>
      </c>
      <c r="V21" s="23">
        <v>0</v>
      </c>
      <c r="W21" s="23">
        <v>0</v>
      </c>
      <c r="X21" s="23">
        <v>0</v>
      </c>
      <c r="Y21" s="23">
        <v>0</v>
      </c>
    </row>
    <row r="22" spans="1:25" s="23" customFormat="1" ht="12.75" customHeight="1" x14ac:dyDescent="0.2">
      <c r="A22" s="23" t="s">
        <v>35</v>
      </c>
      <c r="B22" s="2" t="str">
        <f>A22&amp;COUNTIF($A$2:$A22,A22)</f>
        <v>Chaos Dwarf2</v>
      </c>
      <c r="C22" s="2" t="s">
        <v>1494</v>
      </c>
      <c r="D22" s="2" t="str">
        <f t="shared" si="0"/>
        <v>Chaos DwarfHobgoblin Lineman</v>
      </c>
      <c r="E22" s="23">
        <v>6</v>
      </c>
      <c r="F22" s="23">
        <v>3</v>
      </c>
      <c r="G22" s="23">
        <v>3</v>
      </c>
      <c r="H22" s="23">
        <v>4</v>
      </c>
      <c r="I22" s="23">
        <v>8</v>
      </c>
      <c r="J22" s="2">
        <f>IF('Pack Vieja Gloria'!$J$24="Español",V22,(IF('Pack Vieja Gloria'!$J$24="Deutsch",W22,(IF('Pack Vieja Gloria'!$J$24="Français",X22,U22)))))</f>
        <v>0</v>
      </c>
      <c r="K22" s="23">
        <v>40000</v>
      </c>
      <c r="L22" s="23">
        <f t="shared" si="1"/>
        <v>40</v>
      </c>
      <c r="M22" s="23">
        <v>16</v>
      </c>
      <c r="N22" s="23">
        <v>0</v>
      </c>
      <c r="O22" s="2" t="s">
        <v>170</v>
      </c>
      <c r="P22" s="2" t="s">
        <v>169</v>
      </c>
      <c r="Q22" s="2" t="s">
        <v>169</v>
      </c>
      <c r="R22" s="23">
        <v>0</v>
      </c>
      <c r="S22" s="23">
        <v>0</v>
      </c>
      <c r="T22" s="15" t="str">
        <f t="shared" si="2"/>
        <v>PM</v>
      </c>
      <c r="U22" s="2" t="s">
        <v>216</v>
      </c>
      <c r="V22" s="15"/>
      <c r="W22" s="15"/>
      <c r="X22" s="15"/>
    </row>
    <row r="23" spans="1:25" s="23" customFormat="1" ht="12.75" customHeight="1" x14ac:dyDescent="0.2">
      <c r="A23" s="23" t="s">
        <v>35</v>
      </c>
      <c r="B23" s="2" t="str">
        <f>A23&amp;COUNTIF($A$2:$A23,A23)</f>
        <v>Chaos Dwarf3</v>
      </c>
      <c r="C23" s="2" t="s">
        <v>1495</v>
      </c>
      <c r="D23" s="2" t="str">
        <f t="shared" si="0"/>
        <v>Chaos DwarfHobgoblin Sneaky Stabba</v>
      </c>
      <c r="E23" s="23">
        <v>6</v>
      </c>
      <c r="F23" s="23">
        <v>3</v>
      </c>
      <c r="G23" s="23">
        <v>3</v>
      </c>
      <c r="H23" s="23">
        <v>5</v>
      </c>
      <c r="I23" s="23">
        <v>8</v>
      </c>
      <c r="J23" s="2" t="str">
        <f>IF('Pack Vieja Gloria'!$J$24="Español",V23,(IF('Pack Vieja Gloria'!$J$24="Deutsch",W23,(IF('Pack Vieja Gloria'!$J$24="Français",X23,U23)))))</f>
        <v>Perseguir, Puñal</v>
      </c>
      <c r="K23" s="23">
        <v>70000</v>
      </c>
      <c r="L23" s="23">
        <f t="shared" si="1"/>
        <v>70</v>
      </c>
      <c r="M23" s="23">
        <v>2</v>
      </c>
      <c r="N23" s="23">
        <v>0</v>
      </c>
      <c r="O23" s="2" t="s">
        <v>170</v>
      </c>
      <c r="P23" s="2" t="s">
        <v>169</v>
      </c>
      <c r="Q23" s="2" t="s">
        <v>169</v>
      </c>
      <c r="R23" s="23">
        <v>0</v>
      </c>
      <c r="S23" s="23">
        <v>0</v>
      </c>
      <c r="T23" s="15" t="str">
        <f t="shared" si="2"/>
        <v>PM</v>
      </c>
      <c r="U23" s="2" t="s">
        <v>326</v>
      </c>
      <c r="V23" s="15" t="s">
        <v>327</v>
      </c>
      <c r="W23" s="15" t="s">
        <v>328</v>
      </c>
      <c r="X23" s="15" t="s">
        <v>329</v>
      </c>
    </row>
    <row r="24" spans="1:25" s="23" customFormat="1" ht="12.75" customHeight="1" x14ac:dyDescent="0.2">
      <c r="A24" s="23" t="s">
        <v>35</v>
      </c>
      <c r="B24" s="2" t="str">
        <f>A24&amp;COUNTIF($A$2:$A24,A24)</f>
        <v>Chaos Dwarf4</v>
      </c>
      <c r="C24" s="2" t="s">
        <v>1496</v>
      </c>
      <c r="D24" s="2" t="str">
        <f t="shared" si="0"/>
        <v>Chaos DwarfChaos Dwarf Blocker</v>
      </c>
      <c r="E24" s="23">
        <v>4</v>
      </c>
      <c r="F24" s="23">
        <v>3</v>
      </c>
      <c r="G24" s="23">
        <v>4</v>
      </c>
      <c r="H24" s="23">
        <v>6</v>
      </c>
      <c r="I24" s="23">
        <v>10</v>
      </c>
      <c r="J24" s="2" t="str">
        <f>IF('Pack Vieja Gloria'!$J$24="Español",V24,(IF('Pack Vieja Gloria'!$J$24="Deutsch",W24,(IF('Pack Vieja Gloria'!$J$24="Français",X24,U24)))))</f>
        <v>Placar, Piel ferrea, Cabeza dura</v>
      </c>
      <c r="K24" s="23">
        <v>70000</v>
      </c>
      <c r="L24" s="23">
        <f t="shared" si="1"/>
        <v>70</v>
      </c>
      <c r="M24" s="23">
        <v>4</v>
      </c>
      <c r="N24" s="23">
        <v>0</v>
      </c>
      <c r="O24" s="2" t="s">
        <v>170</v>
      </c>
      <c r="P24" s="2" t="s">
        <v>169</v>
      </c>
      <c r="Q24" s="2" t="s">
        <v>170</v>
      </c>
      <c r="R24" s="23">
        <v>0</v>
      </c>
      <c r="S24" s="2" t="s">
        <v>169</v>
      </c>
      <c r="T24" s="15" t="str">
        <f t="shared" si="2"/>
        <v>P</v>
      </c>
      <c r="U24" s="2" t="s">
        <v>1499</v>
      </c>
      <c r="V24" s="2" t="s">
        <v>1502</v>
      </c>
      <c r="W24" s="15" t="s">
        <v>1503</v>
      </c>
      <c r="X24" s="15" t="s">
        <v>1504</v>
      </c>
    </row>
    <row r="25" spans="1:25" s="23" customFormat="1" ht="12.75" customHeight="1" x14ac:dyDescent="0.2">
      <c r="A25" s="23" t="s">
        <v>35</v>
      </c>
      <c r="B25" s="2" t="str">
        <f>A25&amp;COUNTIF($A$2:$A25,A25)</f>
        <v>Chaos Dwarf5</v>
      </c>
      <c r="C25" s="2" t="s">
        <v>1497</v>
      </c>
      <c r="D25" s="2" t="str">
        <f t="shared" si="0"/>
        <v>Chaos DwarfChaos Dwarf Flamesmith</v>
      </c>
      <c r="E25" s="23">
        <v>5</v>
      </c>
      <c r="F25" s="23">
        <v>3</v>
      </c>
      <c r="G25" s="23">
        <v>4</v>
      </c>
      <c r="H25" s="23">
        <v>6</v>
      </c>
      <c r="I25" s="23">
        <v>10</v>
      </c>
      <c r="J25" s="2" t="str">
        <f>IF('Pack Vieja Gloria'!$J$24="Español",V25,(IF('Pack Vieja Gloria'!$J$24="Deutsch",W25,(IF('Pack Vieja Gloria'!$J$24="Français",X25,U25)))))</f>
        <v>Luchador, Aliento de fuego, Presencia perturbadora Cabeza dura</v>
      </c>
      <c r="K25" s="23">
        <v>80000</v>
      </c>
      <c r="L25" s="23">
        <f t="shared" si="1"/>
        <v>80</v>
      </c>
      <c r="M25" s="23">
        <v>2</v>
      </c>
      <c r="N25" s="23">
        <v>0</v>
      </c>
      <c r="O25" s="2" t="s">
        <v>170</v>
      </c>
      <c r="P25" s="2" t="s">
        <v>169</v>
      </c>
      <c r="Q25" s="2" t="s">
        <v>170</v>
      </c>
      <c r="R25" s="23">
        <v>0</v>
      </c>
      <c r="S25" s="2" t="s">
        <v>169</v>
      </c>
      <c r="T25" s="15" t="str">
        <f t="shared" si="2"/>
        <v>P</v>
      </c>
      <c r="U25" s="2" t="s">
        <v>1500</v>
      </c>
      <c r="V25" s="15" t="s">
        <v>1505</v>
      </c>
      <c r="W25" s="15" t="s">
        <v>1506</v>
      </c>
      <c r="X25" s="15" t="s">
        <v>1507</v>
      </c>
    </row>
    <row r="26" spans="1:25" s="23" customFormat="1" ht="12.75" customHeight="1" x14ac:dyDescent="0.2">
      <c r="A26" s="23" t="s">
        <v>35</v>
      </c>
      <c r="B26" s="2" t="str">
        <f>A26&amp;COUNTIF($A$2:$A26,A26)</f>
        <v>Chaos Dwarf6</v>
      </c>
      <c r="C26" s="2" t="s">
        <v>1498</v>
      </c>
      <c r="D26" s="2" t="str">
        <f t="shared" si="0"/>
        <v>Chaos DwarfBull Centaur Blitzer</v>
      </c>
      <c r="E26" s="23">
        <v>6</v>
      </c>
      <c r="F26" s="23">
        <v>4</v>
      </c>
      <c r="G26" s="23">
        <v>4</v>
      </c>
      <c r="H26" s="23">
        <v>6</v>
      </c>
      <c r="I26" s="23">
        <v>10</v>
      </c>
      <c r="J26" s="2" t="str">
        <f>IF('Pack Vieja Gloria'!$J$24="Español",V26,(IF('Pack Vieja Gloria'!$J$24="Deutsch",W26,(IF('Pack Vieja Gloria'!$J$24="Français",X26,U26)))))</f>
        <v>Esprintar, Pies firmes, Cabeza dura</v>
      </c>
      <c r="K26" s="23">
        <v>130000</v>
      </c>
      <c r="L26" s="23">
        <f t="shared" si="1"/>
        <v>130</v>
      </c>
      <c r="M26" s="23">
        <v>2</v>
      </c>
      <c r="N26" s="23">
        <v>0</v>
      </c>
      <c r="O26" s="2" t="s">
        <v>170</v>
      </c>
      <c r="P26" s="2" t="s">
        <v>169</v>
      </c>
      <c r="Q26" s="2" t="s">
        <v>170</v>
      </c>
      <c r="R26" s="23">
        <v>0</v>
      </c>
      <c r="S26" s="2" t="s">
        <v>169</v>
      </c>
      <c r="T26" s="15" t="str">
        <f t="shared" si="2"/>
        <v>P</v>
      </c>
      <c r="U26" s="2" t="s">
        <v>284</v>
      </c>
      <c r="V26" s="15" t="s">
        <v>285</v>
      </c>
      <c r="W26" s="15" t="s">
        <v>286</v>
      </c>
      <c r="X26" s="15" t="s">
        <v>287</v>
      </c>
    </row>
    <row r="27" spans="1:25" s="23" customFormat="1" ht="12.75" customHeight="1" x14ac:dyDescent="0.2">
      <c r="A27" s="23" t="s">
        <v>35</v>
      </c>
      <c r="B27" s="2" t="str">
        <f>A27&amp;COUNTIF($A$2:$A27,A27)</f>
        <v>Chaos Dwarf7</v>
      </c>
      <c r="C27" s="2" t="s">
        <v>274</v>
      </c>
      <c r="D27" s="2" t="str">
        <f t="shared" si="0"/>
        <v>Chaos DwarfMinotaur</v>
      </c>
      <c r="E27" s="23">
        <v>5</v>
      </c>
      <c r="F27" s="23">
        <v>5</v>
      </c>
      <c r="G27" s="23">
        <v>4</v>
      </c>
      <c r="H27" s="23">
        <v>0</v>
      </c>
      <c r="I27" s="23">
        <v>9</v>
      </c>
      <c r="J27" s="2" t="str">
        <f>IF('Pack Vieja Gloria'!$J$24="Español",V27,(IF('Pack Vieja Gloria'!$J$24="Deutsch",W27,(IF('Pack Vieja Gloria'!$J$24="Français",X27,U27)))))</f>
        <v>Solitario (4+), Furia, Cuernos, Golpe mortífero (+1), Cabeza dura, Ira descontrolada</v>
      </c>
      <c r="K27" s="23">
        <v>150000</v>
      </c>
      <c r="L27" s="23">
        <f t="shared" si="1"/>
        <v>150</v>
      </c>
      <c r="M27" s="23">
        <v>1</v>
      </c>
      <c r="N27" s="23">
        <v>1</v>
      </c>
      <c r="O27" s="2" t="s">
        <v>169</v>
      </c>
      <c r="P27" s="2" t="s">
        <v>169</v>
      </c>
      <c r="Q27" s="2" t="s">
        <v>170</v>
      </c>
      <c r="R27" s="23">
        <v>0</v>
      </c>
      <c r="S27" s="2" t="s">
        <v>169</v>
      </c>
      <c r="T27" s="15" t="str">
        <f t="shared" si="2"/>
        <v>P</v>
      </c>
      <c r="U27" s="2" t="s">
        <v>1501</v>
      </c>
      <c r="V27" s="15" t="s">
        <v>276</v>
      </c>
      <c r="W27" s="15" t="s">
        <v>288</v>
      </c>
      <c r="X27" s="15" t="s">
        <v>278</v>
      </c>
    </row>
    <row r="28" spans="1:25" ht="12.75" customHeight="1" x14ac:dyDescent="0.2">
      <c r="A28" s="23" t="s">
        <v>41</v>
      </c>
      <c r="B28" s="2" t="str">
        <f>A28&amp;COUNTIF($A$2:$A28,A28)</f>
        <v>Chaos Renegades1</v>
      </c>
      <c r="C28" s="2" t="str">
        <f>""</f>
        <v/>
      </c>
      <c r="D28" s="2" t="str">
        <f t="shared" si="0"/>
        <v>Chaos Renegades</v>
      </c>
      <c r="E28" s="2">
        <v>0</v>
      </c>
      <c r="F28" s="2">
        <v>0</v>
      </c>
      <c r="G28" s="2">
        <v>0</v>
      </c>
      <c r="H28" s="2">
        <v>0</v>
      </c>
      <c r="I28" s="2">
        <v>0</v>
      </c>
      <c r="J28" s="2">
        <f>IF('Pack Vieja Gloria'!$J$24="Español",V28,(IF('Pack Vieja Gloria'!$J$24="Deutsch",W28,(IF('Pack Vieja Gloria'!$J$24="Français",X28,U28)))))</f>
        <v>0</v>
      </c>
      <c r="K28" s="1">
        <v>0</v>
      </c>
      <c r="L28" s="1">
        <f t="shared" si="1"/>
        <v>0</v>
      </c>
      <c r="M28" s="1">
        <v>0</v>
      </c>
      <c r="N28" s="1">
        <v>0</v>
      </c>
      <c r="O28" s="1"/>
      <c r="P28" s="1"/>
      <c r="Q28" s="1"/>
      <c r="R28" s="1"/>
      <c r="S28" s="1"/>
      <c r="T28" s="15" t="str">
        <f t="shared" si="2"/>
        <v/>
      </c>
      <c r="U28" s="15">
        <v>0</v>
      </c>
      <c r="V28" s="15">
        <v>0</v>
      </c>
      <c r="W28" s="15">
        <v>0</v>
      </c>
      <c r="X28" s="15">
        <v>0</v>
      </c>
      <c r="Y28" s="15">
        <v>0</v>
      </c>
    </row>
    <row r="29" spans="1:25" ht="12.75" customHeight="1" x14ac:dyDescent="0.2">
      <c r="A29" s="23" t="s">
        <v>41</v>
      </c>
      <c r="B29" s="2" t="str">
        <f>A29&amp;COUNTIF($A$2:$A29,A29)</f>
        <v>Chaos Renegades2</v>
      </c>
      <c r="C29" s="2" t="s">
        <v>289</v>
      </c>
      <c r="D29" s="2" t="str">
        <f t="shared" si="0"/>
        <v>Chaos RenegadesLinemen Renegade</v>
      </c>
      <c r="E29" s="2">
        <v>6</v>
      </c>
      <c r="F29" s="2">
        <v>3</v>
      </c>
      <c r="G29" s="2">
        <v>3</v>
      </c>
      <c r="H29" s="2">
        <v>4</v>
      </c>
      <c r="I29" s="2">
        <v>9</v>
      </c>
      <c r="J29" s="2" t="str">
        <f>IF('Pack Vieja Gloria'!$J$24="Español",V29,(IF('Pack Vieja Gloria'!$J$24="Deutsch",W29,(IF('Pack Vieja Gloria'!$J$24="Français",X29,U29)))))</f>
        <v/>
      </c>
      <c r="K29" s="1">
        <v>50000</v>
      </c>
      <c r="L29" s="1">
        <f t="shared" si="1"/>
        <v>50</v>
      </c>
      <c r="M29" s="2">
        <v>12</v>
      </c>
      <c r="N29" s="2">
        <v>0</v>
      </c>
      <c r="O29" s="1" t="s">
        <v>170</v>
      </c>
      <c r="P29" s="1" t="s">
        <v>169</v>
      </c>
      <c r="Q29" s="1" t="s">
        <v>169</v>
      </c>
      <c r="R29" s="1">
        <v>0</v>
      </c>
      <c r="S29" s="1" t="s">
        <v>170</v>
      </c>
      <c r="T29" s="15" t="str">
        <f t="shared" si="2"/>
        <v>P</v>
      </c>
      <c r="U29" s="15" t="str">
        <f t="shared" ref="U29:Y29" si="4">""</f>
        <v/>
      </c>
      <c r="V29" s="15" t="str">
        <f t="shared" si="4"/>
        <v/>
      </c>
      <c r="W29" s="15" t="str">
        <f t="shared" si="4"/>
        <v/>
      </c>
      <c r="X29" s="15" t="str">
        <f t="shared" si="4"/>
        <v/>
      </c>
      <c r="Y29" s="15" t="str">
        <f t="shared" si="4"/>
        <v/>
      </c>
    </row>
    <row r="30" spans="1:25" ht="12.75" customHeight="1" x14ac:dyDescent="0.2">
      <c r="A30" s="23" t="s">
        <v>41</v>
      </c>
      <c r="B30" s="2" t="str">
        <f>A30&amp;COUNTIF($A$2:$A30,A30)</f>
        <v>Chaos Renegades3</v>
      </c>
      <c r="C30" s="2" t="s">
        <v>290</v>
      </c>
      <c r="D30" s="2" t="str">
        <f t="shared" si="0"/>
        <v>Chaos RenegadesThrower Renegade</v>
      </c>
      <c r="E30" s="2">
        <v>6</v>
      </c>
      <c r="F30" s="2">
        <v>3</v>
      </c>
      <c r="G30" s="2">
        <v>3</v>
      </c>
      <c r="H30" s="2">
        <v>3</v>
      </c>
      <c r="I30" s="2">
        <v>9</v>
      </c>
      <c r="J30" s="2" t="str">
        <f>IF('Pack Vieja Gloria'!$J$24="Español",V30,(IF('Pack Vieja Gloria'!$J$24="Deutsch",W30,(IF('Pack Vieja Gloria'!$J$24="Français",X30,U30)))))</f>
        <v>Animosidad (todo el equipo), Pasar, Proteger el cuero</v>
      </c>
      <c r="K30" s="1">
        <v>75000</v>
      </c>
      <c r="L30" s="1">
        <f t="shared" si="1"/>
        <v>75</v>
      </c>
      <c r="M30" s="2">
        <v>1</v>
      </c>
      <c r="N30" s="2">
        <v>0</v>
      </c>
      <c r="O30" s="1" t="s">
        <v>170</v>
      </c>
      <c r="P30" s="1" t="s">
        <v>169</v>
      </c>
      <c r="Q30" s="1" t="s">
        <v>169</v>
      </c>
      <c r="R30" s="1" t="s">
        <v>170</v>
      </c>
      <c r="S30" s="1" t="s">
        <v>170</v>
      </c>
      <c r="T30" s="15" t="str">
        <f t="shared" si="2"/>
        <v>FULL</v>
      </c>
      <c r="U30" s="15" t="s">
        <v>291</v>
      </c>
      <c r="V30" s="15" t="s">
        <v>292</v>
      </c>
      <c r="W30" s="15" t="s">
        <v>293</v>
      </c>
      <c r="X30" s="15" t="s">
        <v>294</v>
      </c>
      <c r="Y30" s="15"/>
    </row>
    <row r="31" spans="1:25" ht="12.75" customHeight="1" x14ac:dyDescent="0.2">
      <c r="A31" s="23" t="s">
        <v>41</v>
      </c>
      <c r="B31" s="2" t="str">
        <f>A31&amp;COUNTIF($A$2:$A31,A31)</f>
        <v>Chaos Renegades4</v>
      </c>
      <c r="C31" s="2" t="s">
        <v>295</v>
      </c>
      <c r="D31" s="2" t="str">
        <f t="shared" si="0"/>
        <v>Chaos RenegadesGoblin Renegade</v>
      </c>
      <c r="E31" s="2">
        <v>6</v>
      </c>
      <c r="F31" s="2">
        <v>2</v>
      </c>
      <c r="G31" s="2">
        <v>3</v>
      </c>
      <c r="H31" s="2">
        <v>4</v>
      </c>
      <c r="I31" s="2">
        <v>8</v>
      </c>
      <c r="J31" s="2" t="str">
        <f>IF('Pack Vieja Gloria'!$J$24="Español",V31,(IF('Pack Vieja Gloria'!$J$24="Deutsch",W31,(IF('Pack Vieja Gloria'!$J$24="Français",X31,U31)))))</f>
        <v>Animosidad (todo el equipo), Esquivar, Humanoide bala, Escurridizo</v>
      </c>
      <c r="K31" s="1">
        <v>40000</v>
      </c>
      <c r="L31" s="1">
        <f t="shared" si="1"/>
        <v>40</v>
      </c>
      <c r="M31" s="1">
        <v>1</v>
      </c>
      <c r="N31" s="1">
        <v>0</v>
      </c>
      <c r="O31" s="1" t="s">
        <v>169</v>
      </c>
      <c r="P31" s="1" t="s">
        <v>170</v>
      </c>
      <c r="Q31" s="1" t="s">
        <v>169</v>
      </c>
      <c r="R31" s="1" t="s">
        <v>169</v>
      </c>
      <c r="S31" s="1" t="s">
        <v>170</v>
      </c>
      <c r="T31" s="15" t="str">
        <f t="shared" si="2"/>
        <v>FULL</v>
      </c>
      <c r="U31" s="15" t="s">
        <v>296</v>
      </c>
      <c r="V31" s="15" t="s">
        <v>297</v>
      </c>
      <c r="W31" s="15" t="s">
        <v>298</v>
      </c>
      <c r="X31" s="15" t="s">
        <v>299</v>
      </c>
      <c r="Y31" s="15"/>
    </row>
    <row r="32" spans="1:25" ht="12.75" customHeight="1" x14ac:dyDescent="0.2">
      <c r="A32" s="23" t="s">
        <v>41</v>
      </c>
      <c r="B32" s="2" t="str">
        <f>A32&amp;COUNTIF($A$2:$A32,A32)</f>
        <v>Chaos Renegades5</v>
      </c>
      <c r="C32" s="2" t="s">
        <v>300</v>
      </c>
      <c r="D32" s="2" t="str">
        <f t="shared" si="0"/>
        <v>Chaos RenegadesSkaven Renegade</v>
      </c>
      <c r="E32" s="2">
        <v>7</v>
      </c>
      <c r="F32" s="2">
        <v>3</v>
      </c>
      <c r="G32" s="2">
        <v>3</v>
      </c>
      <c r="H32" s="2">
        <v>4</v>
      </c>
      <c r="I32" s="2">
        <v>8</v>
      </c>
      <c r="J32" s="2" t="str">
        <f>IF('Pack Vieja Gloria'!$J$24="Español",V32,(IF('Pack Vieja Gloria'!$J$24="Deutsch",W32,(IF('Pack Vieja Gloria'!$J$24="Français",X32,U32)))))</f>
        <v>Animosidad (todo el equipo)</v>
      </c>
      <c r="K32" s="1">
        <v>50000</v>
      </c>
      <c r="L32" s="1">
        <f t="shared" si="1"/>
        <v>50</v>
      </c>
      <c r="M32" s="1">
        <v>1</v>
      </c>
      <c r="N32" s="1">
        <v>0</v>
      </c>
      <c r="O32" s="1" t="s">
        <v>170</v>
      </c>
      <c r="P32" s="1" t="s">
        <v>169</v>
      </c>
      <c r="Q32" s="1" t="s">
        <v>169</v>
      </c>
      <c r="R32" s="1">
        <v>0</v>
      </c>
      <c r="S32" s="1" t="s">
        <v>170</v>
      </c>
      <c r="T32" s="15" t="str">
        <f t="shared" si="2"/>
        <v>P</v>
      </c>
      <c r="U32" s="15" t="s">
        <v>301</v>
      </c>
      <c r="V32" s="15" t="s">
        <v>302</v>
      </c>
      <c r="W32" s="15" t="s">
        <v>303</v>
      </c>
      <c r="X32" s="15" t="s">
        <v>304</v>
      </c>
      <c r="Y32" s="15"/>
    </row>
    <row r="33" spans="1:25" ht="12.75" customHeight="1" x14ac:dyDescent="0.2">
      <c r="A33" s="23" t="s">
        <v>41</v>
      </c>
      <c r="B33" s="2" t="str">
        <f>A33&amp;COUNTIF($A$2:$A33,A33)</f>
        <v>Chaos Renegades6</v>
      </c>
      <c r="C33" s="2" t="s">
        <v>305</v>
      </c>
      <c r="D33" s="2" t="str">
        <f t="shared" si="0"/>
        <v>Chaos RenegadesOrc Renegade</v>
      </c>
      <c r="E33" s="2">
        <v>5</v>
      </c>
      <c r="F33" s="2">
        <v>3</v>
      </c>
      <c r="G33" s="2">
        <v>3</v>
      </c>
      <c r="H33" s="2">
        <v>5</v>
      </c>
      <c r="I33" s="2">
        <v>10</v>
      </c>
      <c r="J33" s="2" t="str">
        <f>IF('Pack Vieja Gloria'!$J$24="Español",V33,(IF('Pack Vieja Gloria'!$J$24="Deutsch",W33,(IF('Pack Vieja Gloria'!$J$24="Français",X33,U33)))))</f>
        <v>Animosidad (todo el equipo)</v>
      </c>
      <c r="K33" s="1">
        <v>50000</v>
      </c>
      <c r="L33" s="1">
        <f t="shared" si="1"/>
        <v>50</v>
      </c>
      <c r="M33" s="1">
        <v>1</v>
      </c>
      <c r="N33" s="1">
        <v>0</v>
      </c>
      <c r="O33" s="1" t="s">
        <v>170</v>
      </c>
      <c r="P33" s="1" t="s">
        <v>169</v>
      </c>
      <c r="Q33" s="1" t="s">
        <v>169</v>
      </c>
      <c r="R33" s="1">
        <v>0</v>
      </c>
      <c r="S33" s="1" t="s">
        <v>170</v>
      </c>
      <c r="T33" s="15" t="str">
        <f t="shared" si="2"/>
        <v>P</v>
      </c>
      <c r="U33" s="15" t="s">
        <v>301</v>
      </c>
      <c r="V33" s="15" t="s">
        <v>302</v>
      </c>
      <c r="W33" s="15" t="s">
        <v>303</v>
      </c>
      <c r="X33" s="15" t="s">
        <v>304</v>
      </c>
      <c r="Y33" s="15"/>
    </row>
    <row r="34" spans="1:25" ht="12.75" customHeight="1" x14ac:dyDescent="0.2">
      <c r="A34" s="23" t="s">
        <v>41</v>
      </c>
      <c r="B34" s="2" t="str">
        <f>A34&amp;COUNTIF($A$2:$A34,A34)</f>
        <v>Chaos Renegades7</v>
      </c>
      <c r="C34" s="2" t="s">
        <v>306</v>
      </c>
      <c r="D34" s="2" t="str">
        <f t="shared" si="0"/>
        <v>Chaos RenegadesDark Elf Renegade</v>
      </c>
      <c r="E34" s="2">
        <v>6</v>
      </c>
      <c r="F34" s="2">
        <v>3</v>
      </c>
      <c r="G34" s="2">
        <v>2</v>
      </c>
      <c r="H34" s="2">
        <v>3</v>
      </c>
      <c r="I34" s="2">
        <v>9</v>
      </c>
      <c r="J34" s="2" t="str">
        <f>IF('Pack Vieja Gloria'!$J$24="Español",V34,(IF('Pack Vieja Gloria'!$J$24="Deutsch",W34,(IF('Pack Vieja Gloria'!$J$24="Français",X34,U34)))))</f>
        <v>Animosidad (todo el equipo)</v>
      </c>
      <c r="K34" s="1">
        <v>75000</v>
      </c>
      <c r="L34" s="1">
        <f t="shared" si="1"/>
        <v>75</v>
      </c>
      <c r="M34" s="1">
        <v>1</v>
      </c>
      <c r="N34" s="1">
        <v>0</v>
      </c>
      <c r="O34" s="1" t="s">
        <v>170</v>
      </c>
      <c r="P34" s="1" t="s">
        <v>170</v>
      </c>
      <c r="Q34" s="1" t="s">
        <v>169</v>
      </c>
      <c r="R34" s="1" t="s">
        <v>169</v>
      </c>
      <c r="S34" s="1" t="s">
        <v>170</v>
      </c>
      <c r="T34" s="15" t="str">
        <f t="shared" si="2"/>
        <v>FULL</v>
      </c>
      <c r="U34" s="15" t="s">
        <v>301</v>
      </c>
      <c r="V34" s="15" t="s">
        <v>302</v>
      </c>
      <c r="W34" s="15" t="s">
        <v>303</v>
      </c>
      <c r="X34" s="15" t="s">
        <v>304</v>
      </c>
      <c r="Y34" s="15"/>
    </row>
    <row r="35" spans="1:25" ht="12.75" customHeight="1" x14ac:dyDescent="0.2">
      <c r="A35" s="23" t="s">
        <v>41</v>
      </c>
      <c r="B35" s="2" t="str">
        <f>A35&amp;COUNTIF($A$2:$A35,A35)</f>
        <v>Chaos Renegades8</v>
      </c>
      <c r="C35" s="2" t="s">
        <v>307</v>
      </c>
      <c r="D35" s="2" t="str">
        <f t="shared" si="0"/>
        <v>Chaos RenegadesTroll Renegade</v>
      </c>
      <c r="E35" s="2">
        <v>4</v>
      </c>
      <c r="F35" s="2">
        <v>5</v>
      </c>
      <c r="G35" s="2">
        <v>5</v>
      </c>
      <c r="H35" s="2">
        <v>5</v>
      </c>
      <c r="I35" s="2">
        <v>10</v>
      </c>
      <c r="J35" s="2" t="str">
        <f>IF('Pack Vieja Gloria'!$J$24="Español",V35,(IF('Pack Vieja Gloria'!$J$24="Deutsch",W35,(IF('Pack Vieja Gloria'!$J$24="Français",X35,U35)))))</f>
        <v>Siempre hambriento, Solitario (4+), Golpe mortífero (+1), Proyectil de vómito, Realmente estúpido, Regeneración, Lanzar compañero</v>
      </c>
      <c r="K35" s="1">
        <v>115000</v>
      </c>
      <c r="L35" s="1">
        <f t="shared" si="1"/>
        <v>115</v>
      </c>
      <c r="M35" s="1">
        <v>1</v>
      </c>
      <c r="N35" s="1">
        <v>1</v>
      </c>
      <c r="O35" s="1" t="s">
        <v>169</v>
      </c>
      <c r="P35" s="1" t="s">
        <v>169</v>
      </c>
      <c r="Q35" s="1" t="s">
        <v>170</v>
      </c>
      <c r="R35" s="1">
        <v>0</v>
      </c>
      <c r="S35" s="1" t="s">
        <v>169</v>
      </c>
      <c r="T35" s="15" t="str">
        <f t="shared" si="2"/>
        <v>P</v>
      </c>
      <c r="U35" s="15" t="s">
        <v>265</v>
      </c>
      <c r="V35" s="15" t="s">
        <v>266</v>
      </c>
      <c r="W35" s="15" t="s">
        <v>267</v>
      </c>
      <c r="X35" s="15" t="s">
        <v>268</v>
      </c>
      <c r="Y35" s="15"/>
    </row>
    <row r="36" spans="1:25" ht="12.75" customHeight="1" x14ac:dyDescent="0.2">
      <c r="A36" s="23" t="s">
        <v>41</v>
      </c>
      <c r="B36" s="2" t="str">
        <f>A36&amp;COUNTIF($A$2:$A36,A36)</f>
        <v>Chaos Renegades9</v>
      </c>
      <c r="C36" s="2" t="s">
        <v>308</v>
      </c>
      <c r="D36" s="2" t="str">
        <f t="shared" si="0"/>
        <v>Chaos RenegadesOgre Renegade</v>
      </c>
      <c r="E36" s="2">
        <v>5</v>
      </c>
      <c r="F36" s="2">
        <v>5</v>
      </c>
      <c r="G36" s="2">
        <v>4</v>
      </c>
      <c r="H36" s="2">
        <v>5</v>
      </c>
      <c r="I36" s="2">
        <v>10</v>
      </c>
      <c r="J36" s="2" t="str">
        <f>IF('Pack Vieja Gloria'!$J$24="Español",V36,(IF('Pack Vieja Gloria'!$J$24="Deutsch",W36,(IF('Pack Vieja Gloria'!$J$24="Français",X36,U36)))))</f>
        <v>Estúpido, Solitario (4+), Golpe mortífero (+1), Cabeza dura, Lanzar Compañero</v>
      </c>
      <c r="K36" s="1">
        <v>140000</v>
      </c>
      <c r="L36" s="1">
        <f t="shared" si="1"/>
        <v>140</v>
      </c>
      <c r="M36" s="1">
        <v>1</v>
      </c>
      <c r="N36" s="1">
        <v>1</v>
      </c>
      <c r="O36" s="1" t="s">
        <v>169</v>
      </c>
      <c r="P36" s="1" t="s">
        <v>169</v>
      </c>
      <c r="Q36" s="1" t="s">
        <v>170</v>
      </c>
      <c r="R36" s="1">
        <v>0</v>
      </c>
      <c r="S36" s="1" t="s">
        <v>169</v>
      </c>
      <c r="T36" s="15" t="str">
        <f t="shared" si="2"/>
        <v>P</v>
      </c>
      <c r="U36" s="15" t="s">
        <v>270</v>
      </c>
      <c r="V36" s="15" t="s">
        <v>271</v>
      </c>
      <c r="W36" s="15" t="s">
        <v>272</v>
      </c>
      <c r="X36" s="15" t="s">
        <v>273</v>
      </c>
      <c r="Y36" s="15"/>
    </row>
    <row r="37" spans="1:25" ht="12.75" customHeight="1" x14ac:dyDescent="0.2">
      <c r="A37" s="23" t="s">
        <v>41</v>
      </c>
      <c r="B37" s="2" t="str">
        <f>A37&amp;COUNTIF($A$2:$A37,A37)</f>
        <v>Chaos Renegades10</v>
      </c>
      <c r="C37" s="2" t="s">
        <v>309</v>
      </c>
      <c r="D37" s="2" t="str">
        <f t="shared" si="0"/>
        <v>Chaos RenegadesMinotaur Renegade</v>
      </c>
      <c r="E37" s="2">
        <v>5</v>
      </c>
      <c r="F37" s="2">
        <v>5</v>
      </c>
      <c r="G37" s="2">
        <v>4</v>
      </c>
      <c r="H37" s="2">
        <v>0</v>
      </c>
      <c r="I37" s="2">
        <v>9</v>
      </c>
      <c r="J37" s="2" t="str">
        <f>IF('Pack Vieja Gloria'!$J$24="Español",V37,(IF('Pack Vieja Gloria'!$J$24="Deutsch",W37,(IF('Pack Vieja Gloria'!$J$24="Français",X37,U37)))))</f>
        <v>Solitario (4+), Furia, Cuernos, Golpe mortífero (+1), Cabeza dura, Ira descontrolada</v>
      </c>
      <c r="K37" s="1">
        <v>150000</v>
      </c>
      <c r="L37" s="1">
        <f t="shared" si="1"/>
        <v>150</v>
      </c>
      <c r="M37" s="1">
        <v>1</v>
      </c>
      <c r="N37" s="1">
        <v>1</v>
      </c>
      <c r="O37" s="1" t="s">
        <v>169</v>
      </c>
      <c r="P37" s="1" t="s">
        <v>169</v>
      </c>
      <c r="Q37" s="1" t="s">
        <v>170</v>
      </c>
      <c r="R37" s="12">
        <v>0</v>
      </c>
      <c r="S37" s="1" t="s">
        <v>169</v>
      </c>
      <c r="T37" s="15" t="str">
        <f t="shared" si="2"/>
        <v>P</v>
      </c>
      <c r="U37" s="15" t="s">
        <v>275</v>
      </c>
      <c r="V37" s="15" t="s">
        <v>276</v>
      </c>
      <c r="W37" s="15" t="s">
        <v>277</v>
      </c>
      <c r="X37" s="15" t="s">
        <v>278</v>
      </c>
      <c r="Y37" s="15"/>
    </row>
    <row r="38" spans="1:25" ht="12.75" customHeight="1" x14ac:dyDescent="0.2">
      <c r="A38" s="23" t="s">
        <v>41</v>
      </c>
      <c r="B38" s="2" t="str">
        <f>A38&amp;COUNTIF($A$2:$A38,A38)</f>
        <v>Chaos Renegades11</v>
      </c>
      <c r="C38" s="2" t="s">
        <v>310</v>
      </c>
      <c r="D38" s="2" t="str">
        <f t="shared" si="0"/>
        <v>Chaos RenegadesRat Ogre Renegade</v>
      </c>
      <c r="E38" s="2">
        <v>6</v>
      </c>
      <c r="F38" s="2">
        <v>5</v>
      </c>
      <c r="G38" s="2">
        <v>4</v>
      </c>
      <c r="H38" s="2">
        <v>0</v>
      </c>
      <c r="I38" s="2">
        <v>9</v>
      </c>
      <c r="J38" s="2" t="str">
        <f>IF('Pack Vieja Gloria'!$J$24="Español",V38,(IF('Pack Vieja Gloria'!$J$24="Deutsch",W38,(IF('Pack Vieja Gloria'!$J$24="Français",X38,U38)))))</f>
        <v>Ferocidad animal, Furia, Solitario (4+), Golpe mortífero (+1), Cola prensil</v>
      </c>
      <c r="K38" s="1">
        <v>150000</v>
      </c>
      <c r="L38" s="1">
        <f t="shared" si="1"/>
        <v>150</v>
      </c>
      <c r="M38" s="1">
        <v>1</v>
      </c>
      <c r="N38" s="1">
        <v>1</v>
      </c>
      <c r="O38" s="1" t="s">
        <v>169</v>
      </c>
      <c r="P38" s="1" t="s">
        <v>169</v>
      </c>
      <c r="Q38" s="1" t="s">
        <v>170</v>
      </c>
      <c r="R38" s="12">
        <v>0</v>
      </c>
      <c r="S38" s="1" t="s">
        <v>169</v>
      </c>
      <c r="T38" s="15" t="str">
        <f t="shared" si="2"/>
        <v>P</v>
      </c>
      <c r="U38" s="15" t="s">
        <v>311</v>
      </c>
      <c r="V38" s="15" t="s">
        <v>312</v>
      </c>
      <c r="W38" s="15" t="s">
        <v>313</v>
      </c>
      <c r="X38" s="15" t="s">
        <v>314</v>
      </c>
      <c r="Y38" s="15"/>
    </row>
    <row r="39" spans="1:25" ht="12.75" customHeight="1" x14ac:dyDescent="0.2">
      <c r="A39" s="23" t="s">
        <v>46</v>
      </c>
      <c r="B39" s="2" t="str">
        <f>A39&amp;COUNTIF($A$2:$A39,A39)</f>
        <v>Dark Elf1</v>
      </c>
      <c r="C39" s="2" t="str">
        <f>""</f>
        <v/>
      </c>
      <c r="D39" s="2" t="str">
        <f t="shared" si="0"/>
        <v>Dark Elf</v>
      </c>
      <c r="E39" s="2">
        <v>0</v>
      </c>
      <c r="F39" s="2">
        <v>0</v>
      </c>
      <c r="G39" s="2">
        <v>0</v>
      </c>
      <c r="H39" s="2">
        <v>0</v>
      </c>
      <c r="I39" s="2">
        <v>0</v>
      </c>
      <c r="J39" s="2">
        <f>IF('Pack Vieja Gloria'!$J$24="Español",V39,(IF('Pack Vieja Gloria'!$J$24="Deutsch",W39,(IF('Pack Vieja Gloria'!$J$24="Français",X39,U39)))))</f>
        <v>0</v>
      </c>
      <c r="K39" s="1">
        <v>0</v>
      </c>
      <c r="L39" s="1">
        <f t="shared" si="1"/>
        <v>0</v>
      </c>
      <c r="M39" s="1">
        <v>0</v>
      </c>
      <c r="N39" s="1">
        <v>0</v>
      </c>
      <c r="O39" s="1"/>
      <c r="P39" s="1"/>
      <c r="Q39" s="1"/>
      <c r="R39" s="1"/>
      <c r="S39" s="1"/>
      <c r="T39" s="15" t="str">
        <f t="shared" si="2"/>
        <v/>
      </c>
      <c r="U39" s="15">
        <v>0</v>
      </c>
      <c r="V39" s="15">
        <v>0</v>
      </c>
      <c r="W39" s="15">
        <v>0</v>
      </c>
      <c r="X39" s="15">
        <v>0</v>
      </c>
      <c r="Y39" s="15">
        <v>0</v>
      </c>
    </row>
    <row r="40" spans="1:25" ht="12.75" customHeight="1" x14ac:dyDescent="0.2">
      <c r="A40" s="23" t="s">
        <v>46</v>
      </c>
      <c r="B40" s="2" t="str">
        <f>A40&amp;COUNTIF($A$2:$A40,A40)</f>
        <v>Dark Elf2</v>
      </c>
      <c r="C40" s="2" t="s">
        <v>319</v>
      </c>
      <c r="D40" s="2" t="str">
        <f t="shared" si="0"/>
        <v>Dark ElfLineman</v>
      </c>
      <c r="E40" s="2">
        <v>6</v>
      </c>
      <c r="F40" s="2">
        <v>3</v>
      </c>
      <c r="G40" s="2">
        <v>2</v>
      </c>
      <c r="H40" s="2">
        <v>4</v>
      </c>
      <c r="I40" s="2">
        <v>9</v>
      </c>
      <c r="J40" s="2" t="str">
        <f>IF('Pack Vieja Gloria'!$J$24="Español",V40,(IF('Pack Vieja Gloria'!$J$24="Deutsch",W40,(IF('Pack Vieja Gloria'!$J$24="Français",X40,U40)))))</f>
        <v/>
      </c>
      <c r="K40" s="1">
        <v>70000</v>
      </c>
      <c r="L40" s="1">
        <f t="shared" si="1"/>
        <v>70</v>
      </c>
      <c r="M40" s="1">
        <v>16</v>
      </c>
      <c r="N40" s="1">
        <v>0</v>
      </c>
      <c r="O40" s="1" t="s">
        <v>170</v>
      </c>
      <c r="P40" s="1" t="s">
        <v>170</v>
      </c>
      <c r="Q40" s="1" t="s">
        <v>169</v>
      </c>
      <c r="R40" s="1">
        <v>0</v>
      </c>
      <c r="S40" s="1">
        <v>0</v>
      </c>
      <c r="T40" s="15" t="str">
        <f t="shared" si="2"/>
        <v>PM</v>
      </c>
      <c r="U40" s="15" t="str">
        <f t="shared" ref="U40:Y40" si="5">""</f>
        <v/>
      </c>
      <c r="V40" s="15" t="str">
        <f t="shared" si="5"/>
        <v/>
      </c>
      <c r="W40" s="15" t="str">
        <f t="shared" si="5"/>
        <v/>
      </c>
      <c r="X40" s="15" t="str">
        <f t="shared" si="5"/>
        <v/>
      </c>
      <c r="Y40" s="15" t="str">
        <f t="shared" si="5"/>
        <v/>
      </c>
    </row>
    <row r="41" spans="1:25" ht="12.75" customHeight="1" x14ac:dyDescent="0.2">
      <c r="A41" s="23" t="s">
        <v>46</v>
      </c>
      <c r="B41" s="2" t="str">
        <f>A41&amp;COUNTIF($A$2:$A41,A41)</f>
        <v>Dark Elf3</v>
      </c>
      <c r="C41" s="2" t="s">
        <v>320</v>
      </c>
      <c r="D41" s="2" t="str">
        <f t="shared" si="0"/>
        <v>Dark ElfRunner</v>
      </c>
      <c r="E41" s="2">
        <v>7</v>
      </c>
      <c r="F41" s="2">
        <v>3</v>
      </c>
      <c r="G41" s="2">
        <v>2</v>
      </c>
      <c r="H41" s="2">
        <v>3</v>
      </c>
      <c r="I41" s="2">
        <v>8</v>
      </c>
      <c r="J41" s="2" t="str">
        <f>IF('Pack Vieja Gloria'!$J$24="Español",V41,(IF('Pack Vieja Gloria'!$J$24="Deutsch",W41,(IF('Pack Vieja Gloria'!$J$24="Français",X41,U41)))))</f>
        <v>Pase precipitado</v>
      </c>
      <c r="K41" s="1">
        <v>80000</v>
      </c>
      <c r="L41" s="1">
        <f t="shared" si="1"/>
        <v>80</v>
      </c>
      <c r="M41" s="1">
        <v>2</v>
      </c>
      <c r="N41" s="1">
        <v>0</v>
      </c>
      <c r="O41" s="1" t="s">
        <v>170</v>
      </c>
      <c r="P41" s="1" t="s">
        <v>170</v>
      </c>
      <c r="Q41" s="1" t="s">
        <v>169</v>
      </c>
      <c r="R41" s="1" t="s">
        <v>170</v>
      </c>
      <c r="S41" s="1">
        <v>0</v>
      </c>
      <c r="T41" s="15" t="str">
        <f t="shared" si="2"/>
        <v>M</v>
      </c>
      <c r="U41" s="15" t="s">
        <v>321</v>
      </c>
      <c r="V41" s="15" t="s">
        <v>322</v>
      </c>
      <c r="W41" s="15" t="s">
        <v>323</v>
      </c>
      <c r="X41" s="15" t="s">
        <v>324</v>
      </c>
      <c r="Y41" s="15"/>
    </row>
    <row r="42" spans="1:25" ht="12.75" customHeight="1" x14ac:dyDescent="0.2">
      <c r="A42" s="23" t="s">
        <v>46</v>
      </c>
      <c r="B42" s="2" t="str">
        <f>A42&amp;COUNTIF($A$2:$A42,A42)</f>
        <v>Dark Elf4</v>
      </c>
      <c r="C42" s="2" t="s">
        <v>325</v>
      </c>
      <c r="D42" s="2" t="str">
        <f t="shared" si="0"/>
        <v>Dark ElfAssassin</v>
      </c>
      <c r="E42" s="2">
        <v>7</v>
      </c>
      <c r="F42" s="2">
        <v>3</v>
      </c>
      <c r="G42" s="2">
        <v>2</v>
      </c>
      <c r="H42" s="2">
        <v>5</v>
      </c>
      <c r="I42" s="2">
        <v>8</v>
      </c>
      <c r="J42" s="2" t="str">
        <f>IF('Pack Vieja Gloria'!$J$24="Español",V42,(IF('Pack Vieja Gloria'!$J$24="Deutsch",W42,(IF('Pack Vieja Gloria'!$J$24="Français",X42,U42)))))</f>
        <v>Perseguir, Puñal</v>
      </c>
      <c r="K42" s="1">
        <v>85000</v>
      </c>
      <c r="L42" s="1">
        <f t="shared" si="1"/>
        <v>85</v>
      </c>
      <c r="M42" s="1">
        <v>2</v>
      </c>
      <c r="N42" s="1">
        <v>0</v>
      </c>
      <c r="O42" s="1" t="s">
        <v>170</v>
      </c>
      <c r="P42" s="1" t="s">
        <v>170</v>
      </c>
      <c r="Q42" s="1" t="s">
        <v>169</v>
      </c>
      <c r="R42" s="1" t="s">
        <v>169</v>
      </c>
      <c r="S42" s="1">
        <v>0</v>
      </c>
      <c r="T42" s="15" t="str">
        <f t="shared" si="2"/>
        <v>M</v>
      </c>
      <c r="U42" s="15" t="s">
        <v>326</v>
      </c>
      <c r="V42" s="15" t="s">
        <v>327</v>
      </c>
      <c r="W42" s="15" t="s">
        <v>328</v>
      </c>
      <c r="X42" s="15" t="s">
        <v>329</v>
      </c>
      <c r="Y42" s="15"/>
    </row>
    <row r="43" spans="1:25" ht="12.75" customHeight="1" x14ac:dyDescent="0.2">
      <c r="A43" s="23" t="s">
        <v>46</v>
      </c>
      <c r="B43" s="2" t="str">
        <f>A43&amp;COUNTIF($A$2:$A43,A43)</f>
        <v>Dark Elf5</v>
      </c>
      <c r="C43" s="2" t="s">
        <v>243</v>
      </c>
      <c r="D43" s="2" t="str">
        <f t="shared" si="0"/>
        <v>Dark ElfBlitzer</v>
      </c>
      <c r="E43" s="2">
        <v>7</v>
      </c>
      <c r="F43" s="2">
        <v>3</v>
      </c>
      <c r="G43" s="2">
        <v>2</v>
      </c>
      <c r="H43" s="2">
        <v>4</v>
      </c>
      <c r="I43" s="2">
        <v>9</v>
      </c>
      <c r="J43" s="2" t="str">
        <f>IF('Pack Vieja Gloria'!$J$24="Español",V43,(IF('Pack Vieja Gloria'!$J$24="Deutsch",W43,(IF('Pack Vieja Gloria'!$J$24="Français",X43,U43)))))</f>
        <v>Placar</v>
      </c>
      <c r="K43" s="1">
        <v>100000</v>
      </c>
      <c r="L43" s="1">
        <f t="shared" si="1"/>
        <v>100</v>
      </c>
      <c r="M43" s="7">
        <v>4</v>
      </c>
      <c r="N43" s="7">
        <v>0</v>
      </c>
      <c r="O43" s="1" t="s">
        <v>170</v>
      </c>
      <c r="P43" s="1" t="s">
        <v>170</v>
      </c>
      <c r="Q43" s="1" t="s">
        <v>169</v>
      </c>
      <c r="R43" s="1" t="s">
        <v>169</v>
      </c>
      <c r="S43" s="1">
        <v>0</v>
      </c>
      <c r="T43" s="15" t="str">
        <f t="shared" si="2"/>
        <v>M</v>
      </c>
      <c r="U43" s="15" t="s">
        <v>330</v>
      </c>
      <c r="V43" s="15" t="s">
        <v>331</v>
      </c>
      <c r="W43" s="15" t="s">
        <v>330</v>
      </c>
      <c r="X43" s="15" t="s">
        <v>332</v>
      </c>
      <c r="Y43" s="15"/>
    </row>
    <row r="44" spans="1:25" ht="12.75" customHeight="1" x14ac:dyDescent="0.2">
      <c r="A44" s="23" t="s">
        <v>46</v>
      </c>
      <c r="B44" s="2" t="str">
        <f>A44&amp;COUNTIF($A$2:$A44,A44)</f>
        <v>Dark Elf6</v>
      </c>
      <c r="C44" s="2" t="s">
        <v>333</v>
      </c>
      <c r="D44" s="2" t="str">
        <f t="shared" si="0"/>
        <v>Dark ElfWitch Elf</v>
      </c>
      <c r="E44" s="2">
        <v>7</v>
      </c>
      <c r="F44" s="2">
        <v>3</v>
      </c>
      <c r="G44" s="2">
        <v>2</v>
      </c>
      <c r="H44" s="2">
        <v>5</v>
      </c>
      <c r="I44" s="2">
        <v>8</v>
      </c>
      <c r="J44" s="2" t="str">
        <f>IF('Pack Vieja Gloria'!$J$24="Español",V44,(IF('Pack Vieja Gloria'!$J$24="Deutsch",W44,(IF('Pack Vieja Gloria'!$J$24="Français",X44,U44)))))</f>
        <v>Esquivar, Furia, En pie de un salto</v>
      </c>
      <c r="K44" s="1">
        <v>110000</v>
      </c>
      <c r="L44" s="1">
        <f t="shared" si="1"/>
        <v>110</v>
      </c>
      <c r="M44" s="2">
        <v>2</v>
      </c>
      <c r="N44" s="2">
        <v>0</v>
      </c>
      <c r="O44" s="1" t="s">
        <v>170</v>
      </c>
      <c r="P44" s="1" t="s">
        <v>170</v>
      </c>
      <c r="Q44" s="1" t="s">
        <v>169</v>
      </c>
      <c r="R44" s="1" t="s">
        <v>169</v>
      </c>
      <c r="S44" s="1">
        <v>0</v>
      </c>
      <c r="T44" s="15" t="str">
        <f t="shared" si="2"/>
        <v>M</v>
      </c>
      <c r="U44" s="15" t="s">
        <v>334</v>
      </c>
      <c r="V44" s="15" t="s">
        <v>335</v>
      </c>
      <c r="W44" s="15" t="s">
        <v>336</v>
      </c>
      <c r="X44" s="15" t="s">
        <v>337</v>
      </c>
      <c r="Y44" s="15"/>
    </row>
    <row r="45" spans="1:25" ht="12.75" customHeight="1" x14ac:dyDescent="0.2">
      <c r="A45" s="23" t="s">
        <v>52</v>
      </c>
      <c r="B45" s="2" t="str">
        <f>A45&amp;COUNTIF($A$2:$A45,A45)</f>
        <v>Dwarf1</v>
      </c>
      <c r="C45" s="2" t="str">
        <f>""</f>
        <v/>
      </c>
      <c r="D45" s="2" t="str">
        <f t="shared" si="0"/>
        <v>Dwarf</v>
      </c>
      <c r="E45" s="2">
        <v>0</v>
      </c>
      <c r="F45" s="2">
        <v>0</v>
      </c>
      <c r="G45" s="2">
        <v>0</v>
      </c>
      <c r="H45" s="2">
        <v>0</v>
      </c>
      <c r="I45" s="2">
        <v>0</v>
      </c>
      <c r="J45" s="2">
        <f>IF('Pack Vieja Gloria'!$J$24="Español",V45,(IF('Pack Vieja Gloria'!$J$24="Deutsch",W45,(IF('Pack Vieja Gloria'!$J$24="Français",X45,U45)))))</f>
        <v>0</v>
      </c>
      <c r="K45" s="1">
        <v>0</v>
      </c>
      <c r="L45" s="1">
        <f t="shared" si="1"/>
        <v>0</v>
      </c>
      <c r="M45" s="1">
        <v>0</v>
      </c>
      <c r="N45" s="1">
        <v>0</v>
      </c>
      <c r="O45" s="1"/>
      <c r="P45" s="1"/>
      <c r="Q45" s="1"/>
      <c r="R45" s="1"/>
      <c r="S45" s="1"/>
      <c r="T45" s="15" t="str">
        <f t="shared" si="2"/>
        <v/>
      </c>
      <c r="U45" s="15">
        <v>0</v>
      </c>
      <c r="V45" s="15">
        <v>0</v>
      </c>
      <c r="W45" s="15">
        <v>0</v>
      </c>
      <c r="X45" s="15">
        <v>0</v>
      </c>
      <c r="Y45" s="15">
        <v>0</v>
      </c>
    </row>
    <row r="46" spans="1:25" ht="12.75" customHeight="1" x14ac:dyDescent="0.2">
      <c r="A46" s="23" t="s">
        <v>52</v>
      </c>
      <c r="B46" s="2" t="str">
        <f>A46&amp;COUNTIF($A$2:$A46,A46)</f>
        <v>Dwarf2</v>
      </c>
      <c r="C46" s="2" t="s">
        <v>279</v>
      </c>
      <c r="D46" s="2" t="str">
        <f t="shared" si="0"/>
        <v>DwarfBlocker</v>
      </c>
      <c r="E46" s="2">
        <v>4</v>
      </c>
      <c r="F46" s="2">
        <v>3</v>
      </c>
      <c r="G46" s="2">
        <v>4</v>
      </c>
      <c r="H46" s="2">
        <v>5</v>
      </c>
      <c r="I46" s="2">
        <v>10</v>
      </c>
      <c r="J46" s="2" t="str">
        <f>IF('Pack Vieja Gloria'!$J$24="Español",V46,(IF('Pack Vieja Gloria'!$J$24="Deutsch",W46,(IF('Pack Vieja Gloria'!$J$24="Français",X46,U46)))))</f>
        <v>Placar, Placaje defensivo, Cabeza dura</v>
      </c>
      <c r="K46" s="1">
        <v>70000</v>
      </c>
      <c r="L46" s="1">
        <f t="shared" si="1"/>
        <v>70</v>
      </c>
      <c r="M46" s="7">
        <v>16</v>
      </c>
      <c r="N46" s="7">
        <v>0</v>
      </c>
      <c r="O46" s="1" t="s">
        <v>170</v>
      </c>
      <c r="P46" s="1" t="s">
        <v>169</v>
      </c>
      <c r="Q46" s="1" t="s">
        <v>170</v>
      </c>
      <c r="R46" s="1">
        <v>0</v>
      </c>
      <c r="S46" s="1">
        <v>0</v>
      </c>
      <c r="T46" s="15" t="str">
        <f t="shared" si="2"/>
        <v>PM</v>
      </c>
      <c r="U46" s="15" t="s">
        <v>280</v>
      </c>
      <c r="V46" s="2" t="s">
        <v>281</v>
      </c>
      <c r="W46" s="15" t="s">
        <v>282</v>
      </c>
      <c r="X46" s="15" t="s">
        <v>283</v>
      </c>
      <c r="Y46" s="15"/>
    </row>
    <row r="47" spans="1:25" ht="12.75" customHeight="1" x14ac:dyDescent="0.2">
      <c r="A47" s="23" t="s">
        <v>52</v>
      </c>
      <c r="B47" s="2" t="str">
        <f>A47&amp;COUNTIF($A$2:$A47,A47)</f>
        <v>Dwarf3</v>
      </c>
      <c r="C47" s="2" t="s">
        <v>320</v>
      </c>
      <c r="D47" s="2" t="str">
        <f t="shared" si="0"/>
        <v>DwarfRunner</v>
      </c>
      <c r="E47" s="2">
        <v>6</v>
      </c>
      <c r="F47" s="2">
        <v>3</v>
      </c>
      <c r="G47" s="2">
        <v>3</v>
      </c>
      <c r="H47" s="2">
        <v>4</v>
      </c>
      <c r="I47" s="2">
        <v>9</v>
      </c>
      <c r="J47" s="2" t="str">
        <f>IF('Pack Vieja Gloria'!$J$24="Español",V47,(IF('Pack Vieja Gloria'!$J$24="Deutsch",W47,(IF('Pack Vieja Gloria'!$J$24="Français",X47,U47)))))</f>
        <v>Manos seguras, Cabeza dura</v>
      </c>
      <c r="K47" s="1">
        <v>85000</v>
      </c>
      <c r="L47" s="1">
        <f t="shared" si="1"/>
        <v>85</v>
      </c>
      <c r="M47" s="1">
        <v>2</v>
      </c>
      <c r="N47" s="1">
        <v>0</v>
      </c>
      <c r="O47" s="1" t="s">
        <v>170</v>
      </c>
      <c r="P47" s="1" t="s">
        <v>169</v>
      </c>
      <c r="Q47" s="1" t="s">
        <v>169</v>
      </c>
      <c r="R47" s="1" t="s">
        <v>170</v>
      </c>
      <c r="S47" s="1">
        <v>0</v>
      </c>
      <c r="T47" s="15" t="str">
        <f t="shared" si="2"/>
        <v>M</v>
      </c>
      <c r="U47" s="15" t="s">
        <v>338</v>
      </c>
      <c r="V47" s="2" t="s">
        <v>339</v>
      </c>
      <c r="W47" s="15" t="s">
        <v>340</v>
      </c>
      <c r="X47" s="15" t="s">
        <v>341</v>
      </c>
      <c r="Y47" s="15"/>
    </row>
    <row r="48" spans="1:25" ht="12.75" customHeight="1" x14ac:dyDescent="0.2">
      <c r="A48" s="23" t="s">
        <v>52</v>
      </c>
      <c r="B48" s="2" t="str">
        <f>A48&amp;COUNTIF($A$2:$A48,A48)</f>
        <v>Dwarf4</v>
      </c>
      <c r="C48" s="2" t="s">
        <v>243</v>
      </c>
      <c r="D48" s="2" t="str">
        <f t="shared" si="0"/>
        <v>DwarfBlitzer</v>
      </c>
      <c r="E48" s="2">
        <v>5</v>
      </c>
      <c r="F48" s="2">
        <v>3</v>
      </c>
      <c r="G48" s="2">
        <v>3</v>
      </c>
      <c r="H48" s="2">
        <v>4</v>
      </c>
      <c r="I48" s="2">
        <v>10</v>
      </c>
      <c r="J48" s="2" t="str">
        <f>IF('Pack Vieja Gloria'!$J$24="Español",V48,(IF('Pack Vieja Gloria'!$J$24="Deutsch",W48,(IF('Pack Vieja Gloria'!$J$24="Français",X48,U48)))))</f>
        <v>Placar, Cabeza dura</v>
      </c>
      <c r="K48" s="1">
        <v>80000</v>
      </c>
      <c r="L48" s="1">
        <f t="shared" si="1"/>
        <v>80</v>
      </c>
      <c r="M48" s="1">
        <v>2</v>
      </c>
      <c r="N48" s="1">
        <v>0</v>
      </c>
      <c r="O48" s="1" t="s">
        <v>170</v>
      </c>
      <c r="P48" s="1" t="s">
        <v>169</v>
      </c>
      <c r="Q48" s="1" t="s">
        <v>170</v>
      </c>
      <c r="R48" s="1" t="s">
        <v>169</v>
      </c>
      <c r="S48" s="1">
        <v>0</v>
      </c>
      <c r="T48" s="15" t="str">
        <f t="shared" si="2"/>
        <v>M</v>
      </c>
      <c r="U48" s="15" t="s">
        <v>342</v>
      </c>
      <c r="V48" s="15" t="s">
        <v>343</v>
      </c>
      <c r="W48" s="15" t="s">
        <v>344</v>
      </c>
      <c r="X48" s="15" t="s">
        <v>345</v>
      </c>
      <c r="Y48" s="15"/>
    </row>
    <row r="49" spans="1:25" ht="12.75" customHeight="1" x14ac:dyDescent="0.2">
      <c r="A49" s="23" t="s">
        <v>52</v>
      </c>
      <c r="B49" s="2" t="str">
        <f>A49&amp;COUNTIF($A$2:$A49,A49)</f>
        <v>Dwarf5</v>
      </c>
      <c r="C49" s="2" t="s">
        <v>346</v>
      </c>
      <c r="D49" s="2" t="str">
        <f t="shared" si="0"/>
        <v>DwarfTroll Slayer</v>
      </c>
      <c r="E49" s="2">
        <v>5</v>
      </c>
      <c r="F49" s="2">
        <v>3</v>
      </c>
      <c r="G49" s="2">
        <v>4</v>
      </c>
      <c r="H49" s="2">
        <v>0</v>
      </c>
      <c r="I49" s="2">
        <v>9</v>
      </c>
      <c r="J49" s="2" t="str">
        <f>IF('Pack Vieja Gloria'!$J$24="Español",V49,(IF('Pack Vieja Gloria'!$J$24="Deutsch",W49,(IF('Pack Vieja Gloria'!$J$24="Français",X49,U49)))))</f>
        <v>Placar, Furia, Agallas, Cabeza dura</v>
      </c>
      <c r="K49" s="1">
        <v>95000</v>
      </c>
      <c r="L49" s="1">
        <f t="shared" si="1"/>
        <v>95</v>
      </c>
      <c r="M49" s="1">
        <v>2</v>
      </c>
      <c r="N49" s="1">
        <v>0</v>
      </c>
      <c r="O49" s="1" t="s">
        <v>170</v>
      </c>
      <c r="P49" s="1" t="s">
        <v>169</v>
      </c>
      <c r="Q49" s="1" t="s">
        <v>170</v>
      </c>
      <c r="R49" s="12">
        <v>0</v>
      </c>
      <c r="S49" s="1">
        <v>0</v>
      </c>
      <c r="T49" s="15" t="str">
        <f t="shared" si="2"/>
        <v>PM</v>
      </c>
      <c r="U49" s="15" t="s">
        <v>347</v>
      </c>
      <c r="V49" s="15" t="s">
        <v>348</v>
      </c>
      <c r="W49" s="15" t="s">
        <v>349</v>
      </c>
      <c r="X49" s="15" t="s">
        <v>350</v>
      </c>
      <c r="Y49" s="15"/>
    </row>
    <row r="50" spans="1:25" ht="12.75" customHeight="1" x14ac:dyDescent="0.2">
      <c r="A50" s="23" t="s">
        <v>52</v>
      </c>
      <c r="B50" s="2" t="str">
        <f>A50&amp;COUNTIF($A$2:$A50,A50)</f>
        <v>Dwarf6</v>
      </c>
      <c r="C50" s="2" t="s">
        <v>351</v>
      </c>
      <c r="D50" s="2" t="str">
        <f t="shared" si="0"/>
        <v>DwarfDeathroller</v>
      </c>
      <c r="E50" s="2">
        <v>4</v>
      </c>
      <c r="F50" s="2">
        <v>7</v>
      </c>
      <c r="G50" s="2">
        <v>5</v>
      </c>
      <c r="H50" s="2">
        <v>0</v>
      </c>
      <c r="I50" s="2">
        <v>11</v>
      </c>
      <c r="J50" s="2" t="str">
        <f>IF('Pack Vieja Gloria'!$J$24="Español",V50,(IF('Pack Vieja Gloria'!$J$24="Deutsch",W50,(IF('Pack Vieja Gloria'!$J$24="Français",X50,U50)))))</f>
        <v>Abrirse paso, Juego sucio (+2), Imparable, Solitario (5+), Golpe mortífero (+1), Sin manos, Arma secreta, Mantenerse firme</v>
      </c>
      <c r="K50" s="1">
        <v>170000</v>
      </c>
      <c r="L50" s="1">
        <f t="shared" si="1"/>
        <v>170</v>
      </c>
      <c r="M50" s="2">
        <v>1</v>
      </c>
      <c r="N50" s="2">
        <v>1</v>
      </c>
      <c r="O50" s="1" t="s">
        <v>169</v>
      </c>
      <c r="P50" s="1" t="s">
        <v>169</v>
      </c>
      <c r="Q50" s="1" t="s">
        <v>170</v>
      </c>
      <c r="R50" s="1">
        <v>0</v>
      </c>
      <c r="S50" s="1">
        <v>0</v>
      </c>
      <c r="T50" s="15" t="str">
        <f t="shared" si="2"/>
        <v>PM</v>
      </c>
      <c r="U50" s="15" t="s">
        <v>352</v>
      </c>
      <c r="V50" s="15" t="s">
        <v>353</v>
      </c>
      <c r="W50" s="15" t="s">
        <v>354</v>
      </c>
      <c r="X50" s="15" t="s">
        <v>355</v>
      </c>
      <c r="Y50" s="15"/>
    </row>
    <row r="51" spans="1:25" ht="12.75" customHeight="1" x14ac:dyDescent="0.2">
      <c r="A51" s="23" t="s">
        <v>57</v>
      </c>
      <c r="B51" s="2" t="str">
        <f>A51&amp;COUNTIF($A$2:$A51,A51)</f>
        <v>Elven Union1</v>
      </c>
      <c r="C51" s="2" t="str">
        <f>""</f>
        <v/>
      </c>
      <c r="D51" s="2" t="str">
        <f t="shared" si="0"/>
        <v>Elven Union</v>
      </c>
      <c r="E51" s="2">
        <v>0</v>
      </c>
      <c r="F51" s="2">
        <v>0</v>
      </c>
      <c r="G51" s="2">
        <v>0</v>
      </c>
      <c r="H51" s="2">
        <v>0</v>
      </c>
      <c r="I51" s="2">
        <v>0</v>
      </c>
      <c r="J51" s="2">
        <f>IF('Pack Vieja Gloria'!$J$24="Español",V51,(IF('Pack Vieja Gloria'!$J$24="Deutsch",W51,(IF('Pack Vieja Gloria'!$J$24="Français",X51,U51)))))</f>
        <v>0</v>
      </c>
      <c r="K51" s="1">
        <v>0</v>
      </c>
      <c r="L51" s="1">
        <f t="shared" si="1"/>
        <v>0</v>
      </c>
      <c r="M51" s="1">
        <v>0</v>
      </c>
      <c r="N51" s="1">
        <v>0</v>
      </c>
      <c r="O51" s="1"/>
      <c r="P51" s="1"/>
      <c r="Q51" s="1"/>
      <c r="R51" s="1"/>
      <c r="S51" s="1"/>
      <c r="T51" s="15" t="str">
        <f t="shared" si="2"/>
        <v/>
      </c>
      <c r="U51" s="15">
        <v>0</v>
      </c>
      <c r="V51" s="15">
        <v>0</v>
      </c>
      <c r="W51" s="15">
        <v>0</v>
      </c>
      <c r="X51" s="15">
        <v>0</v>
      </c>
      <c r="Y51" s="15">
        <v>0</v>
      </c>
    </row>
    <row r="52" spans="1:25" ht="12.75" customHeight="1" x14ac:dyDescent="0.2">
      <c r="A52" s="23" t="s">
        <v>57</v>
      </c>
      <c r="B52" s="2" t="str">
        <f>A52&amp;COUNTIF($A$2:$A52,A52)</f>
        <v>Elven Union2</v>
      </c>
      <c r="C52" s="2" t="s">
        <v>319</v>
      </c>
      <c r="D52" s="2" t="str">
        <f t="shared" si="0"/>
        <v>Elven UnionLineman</v>
      </c>
      <c r="E52" s="2">
        <v>6</v>
      </c>
      <c r="F52" s="2">
        <v>3</v>
      </c>
      <c r="G52" s="2">
        <v>2</v>
      </c>
      <c r="H52" s="2">
        <v>4</v>
      </c>
      <c r="I52" s="2">
        <v>8</v>
      </c>
      <c r="J52" s="2" t="str">
        <f>IF('Pack Vieja Gloria'!$J$24="Español",V52,(IF('Pack Vieja Gloria'!$J$24="Deutsch",W52,(IF('Pack Vieja Gloria'!$J$24="Français",X52,U52)))))</f>
        <v/>
      </c>
      <c r="K52" s="1">
        <v>60000</v>
      </c>
      <c r="L52" s="1">
        <f t="shared" si="1"/>
        <v>60</v>
      </c>
      <c r="M52" s="1">
        <v>16</v>
      </c>
      <c r="N52" s="1">
        <v>0</v>
      </c>
      <c r="O52" s="1" t="s">
        <v>170</v>
      </c>
      <c r="P52" s="1" t="s">
        <v>170</v>
      </c>
      <c r="Q52" s="1" t="s">
        <v>169</v>
      </c>
      <c r="R52" s="1">
        <v>0</v>
      </c>
      <c r="S52" s="1">
        <v>0</v>
      </c>
      <c r="T52" s="15" t="str">
        <f t="shared" si="2"/>
        <v>PM</v>
      </c>
      <c r="U52" s="15" t="str">
        <f t="shared" ref="U52:Y52" si="6">""</f>
        <v/>
      </c>
      <c r="V52" s="15" t="str">
        <f t="shared" si="6"/>
        <v/>
      </c>
      <c r="W52" s="15" t="str">
        <f t="shared" si="6"/>
        <v/>
      </c>
      <c r="X52" s="15" t="str">
        <f t="shared" si="6"/>
        <v/>
      </c>
      <c r="Y52" s="15" t="str">
        <f t="shared" si="6"/>
        <v/>
      </c>
    </row>
    <row r="53" spans="1:25" ht="12.75" customHeight="1" x14ac:dyDescent="0.2">
      <c r="A53" s="23" t="s">
        <v>57</v>
      </c>
      <c r="B53" s="2" t="str">
        <f>A53&amp;COUNTIF($A$2:$A53,A53)</f>
        <v>Elven Union3</v>
      </c>
      <c r="C53" s="2" t="s">
        <v>241</v>
      </c>
      <c r="D53" s="2" t="str">
        <f t="shared" si="0"/>
        <v>Elven UnionThrower</v>
      </c>
      <c r="E53" s="2">
        <v>6</v>
      </c>
      <c r="F53" s="2">
        <v>3</v>
      </c>
      <c r="G53" s="2">
        <v>2</v>
      </c>
      <c r="H53" s="2">
        <v>2</v>
      </c>
      <c r="I53" s="2">
        <v>8</v>
      </c>
      <c r="J53" s="2" t="str">
        <f>IF('Pack Vieja Gloria'!$J$24="Español",V53,(IF('Pack Vieja Gloria'!$J$24="Deutsch",W53,(IF('Pack Vieja Gloria'!$J$24="Français",X53,U53)))))</f>
        <v>Pasar</v>
      </c>
      <c r="K53" s="1">
        <v>75000</v>
      </c>
      <c r="L53" s="1">
        <f t="shared" si="1"/>
        <v>75</v>
      </c>
      <c r="M53" s="7">
        <v>2</v>
      </c>
      <c r="N53" s="7">
        <v>0</v>
      </c>
      <c r="O53" s="1" t="s">
        <v>170</v>
      </c>
      <c r="P53" s="1" t="s">
        <v>170</v>
      </c>
      <c r="Q53" s="1" t="s">
        <v>169</v>
      </c>
      <c r="R53" s="1" t="s">
        <v>170</v>
      </c>
      <c r="S53" s="1">
        <v>0</v>
      </c>
      <c r="T53" s="15" t="str">
        <f t="shared" si="2"/>
        <v>M</v>
      </c>
      <c r="U53" s="15" t="s">
        <v>356</v>
      </c>
      <c r="V53" s="15" t="s">
        <v>357</v>
      </c>
      <c r="W53" s="15" t="s">
        <v>358</v>
      </c>
      <c r="X53" s="15" t="s">
        <v>359</v>
      </c>
      <c r="Y53" s="15"/>
    </row>
    <row r="54" spans="1:25" ht="12.75" customHeight="1" x14ac:dyDescent="0.2">
      <c r="A54" s="23" t="s">
        <v>57</v>
      </c>
      <c r="B54" s="2" t="str">
        <f>A54&amp;COUNTIF($A$2:$A54,A54)</f>
        <v>Elven Union4</v>
      </c>
      <c r="C54" s="2" t="s">
        <v>242</v>
      </c>
      <c r="D54" s="2" t="str">
        <f t="shared" si="0"/>
        <v>Elven UnionCatcher</v>
      </c>
      <c r="E54" s="2">
        <v>8</v>
      </c>
      <c r="F54" s="2">
        <v>3</v>
      </c>
      <c r="G54" s="2">
        <v>2</v>
      </c>
      <c r="H54" s="2">
        <v>4</v>
      </c>
      <c r="I54" s="2">
        <v>8</v>
      </c>
      <c r="J54" s="2" t="str">
        <f>IF('Pack Vieja Gloria'!$J$24="Español",V54,(IF('Pack Vieja Gloria'!$J$24="Deutsch",W54,(IF('Pack Vieja Gloria'!$J$24="Français",X54,U54)))))</f>
        <v>Atrapar, Nervios de acero</v>
      </c>
      <c r="K54" s="1">
        <v>100000</v>
      </c>
      <c r="L54" s="1">
        <f t="shared" si="1"/>
        <v>100</v>
      </c>
      <c r="M54" s="2">
        <v>4</v>
      </c>
      <c r="N54" s="2">
        <v>0</v>
      </c>
      <c r="O54" s="1" t="s">
        <v>170</v>
      </c>
      <c r="P54" s="1" t="s">
        <v>170</v>
      </c>
      <c r="Q54" s="1" t="s">
        <v>169</v>
      </c>
      <c r="R54" s="1">
        <v>0</v>
      </c>
      <c r="S54" s="1">
        <v>0</v>
      </c>
      <c r="T54" s="15" t="str">
        <f t="shared" si="2"/>
        <v>PM</v>
      </c>
      <c r="U54" s="15" t="s">
        <v>360</v>
      </c>
      <c r="V54" s="15" t="s">
        <v>361</v>
      </c>
      <c r="W54" s="15" t="s">
        <v>362</v>
      </c>
      <c r="X54" s="15" t="s">
        <v>363</v>
      </c>
      <c r="Y54" s="15"/>
    </row>
    <row r="55" spans="1:25" ht="12.75" customHeight="1" x14ac:dyDescent="0.2">
      <c r="A55" s="23" t="s">
        <v>57</v>
      </c>
      <c r="B55" s="2" t="str">
        <f>A55&amp;COUNTIF($A$2:$A55,A55)</f>
        <v>Elven Union5</v>
      </c>
      <c r="C55" s="2" t="s">
        <v>243</v>
      </c>
      <c r="D55" s="2" t="str">
        <f t="shared" si="0"/>
        <v>Elven UnionBlitzer</v>
      </c>
      <c r="E55" s="2">
        <v>7</v>
      </c>
      <c r="F55" s="2">
        <v>3</v>
      </c>
      <c r="G55" s="2">
        <v>2</v>
      </c>
      <c r="H55" s="2">
        <v>3</v>
      </c>
      <c r="I55" s="2">
        <v>9</v>
      </c>
      <c r="J55" s="2" t="str">
        <f>IF('Pack Vieja Gloria'!$J$24="Español",V55,(IF('Pack Vieja Gloria'!$J$24="Deutsch",W55,(IF('Pack Vieja Gloria'!$J$24="Français",X55,U55)))))</f>
        <v>Placar, Echarse a un lado</v>
      </c>
      <c r="K55" s="1">
        <v>115000</v>
      </c>
      <c r="L55" s="1">
        <f t="shared" si="1"/>
        <v>115</v>
      </c>
      <c r="M55" s="2">
        <v>2</v>
      </c>
      <c r="N55" s="2">
        <v>0</v>
      </c>
      <c r="O55" s="1" t="s">
        <v>170</v>
      </c>
      <c r="P55" s="1" t="s">
        <v>170</v>
      </c>
      <c r="Q55" s="1" t="s">
        <v>169</v>
      </c>
      <c r="R55" s="1" t="s">
        <v>169</v>
      </c>
      <c r="S55" s="1">
        <v>0</v>
      </c>
      <c r="T55" s="15" t="str">
        <f t="shared" si="2"/>
        <v>M</v>
      </c>
      <c r="U55" s="15" t="s">
        <v>364</v>
      </c>
      <c r="V55" s="15" t="s">
        <v>365</v>
      </c>
      <c r="W55" s="15" t="s">
        <v>366</v>
      </c>
      <c r="X55" s="15" t="s">
        <v>367</v>
      </c>
      <c r="Y55" s="15"/>
    </row>
    <row r="56" spans="1:25" ht="12.75" customHeight="1" x14ac:dyDescent="0.2">
      <c r="A56" s="23" t="s">
        <v>62</v>
      </c>
      <c r="B56" s="2" t="str">
        <f>A56&amp;COUNTIF($A$2:$A56,A56)</f>
        <v>Goblin1</v>
      </c>
      <c r="C56" s="2" t="str">
        <f>""</f>
        <v/>
      </c>
      <c r="D56" s="2" t="str">
        <f t="shared" si="0"/>
        <v>Goblin</v>
      </c>
      <c r="E56" s="2">
        <v>0</v>
      </c>
      <c r="F56" s="2">
        <v>0</v>
      </c>
      <c r="G56" s="2">
        <v>0</v>
      </c>
      <c r="H56" s="2">
        <v>0</v>
      </c>
      <c r="I56" s="2">
        <v>0</v>
      </c>
      <c r="J56" s="2">
        <f>IF('Pack Vieja Gloria'!$J$24="Español",V56,(IF('Pack Vieja Gloria'!$J$24="Deutsch",W56,(IF('Pack Vieja Gloria'!$J$24="Français",X56,U56)))))</f>
        <v>0</v>
      </c>
      <c r="K56" s="1">
        <v>0</v>
      </c>
      <c r="L56" s="1">
        <f t="shared" si="1"/>
        <v>0</v>
      </c>
      <c r="M56" s="1">
        <v>0</v>
      </c>
      <c r="N56" s="1">
        <v>0</v>
      </c>
      <c r="O56" s="1"/>
      <c r="P56" s="1"/>
      <c r="Q56" s="1"/>
      <c r="R56" s="1"/>
      <c r="S56" s="1"/>
      <c r="T56" s="15" t="str">
        <f t="shared" si="2"/>
        <v/>
      </c>
      <c r="U56" s="15">
        <v>0</v>
      </c>
      <c r="V56" s="15">
        <v>0</v>
      </c>
      <c r="W56" s="15">
        <v>0</v>
      </c>
      <c r="X56" s="15">
        <v>0</v>
      </c>
      <c r="Y56" s="15">
        <v>0</v>
      </c>
    </row>
    <row r="57" spans="1:25" ht="12.75" customHeight="1" x14ac:dyDescent="0.2">
      <c r="A57" s="23" t="s">
        <v>62</v>
      </c>
      <c r="B57" s="2" t="str">
        <f>A57&amp;COUNTIF($A$2:$A57,A57)</f>
        <v>Goblin2</v>
      </c>
      <c r="C57" s="2" t="s">
        <v>62</v>
      </c>
      <c r="D57" s="2" t="str">
        <f t="shared" si="0"/>
        <v>GoblinGoblin</v>
      </c>
      <c r="E57" s="2">
        <v>6</v>
      </c>
      <c r="F57" s="2">
        <v>2</v>
      </c>
      <c r="G57" s="2">
        <v>3</v>
      </c>
      <c r="H57" s="2">
        <v>4</v>
      </c>
      <c r="I57" s="2">
        <v>8</v>
      </c>
      <c r="J57" s="2" t="str">
        <f>IF('Pack Vieja Gloria'!$J$24="Español",V57,(IF('Pack Vieja Gloria'!$J$24="Deutsch",W57,(IF('Pack Vieja Gloria'!$J$24="Français",X57,U57)))))</f>
        <v>Esquivar, Humanoide bala, Escurridizo</v>
      </c>
      <c r="K57" s="1">
        <v>40000</v>
      </c>
      <c r="L57" s="1">
        <f t="shared" si="1"/>
        <v>40</v>
      </c>
      <c r="M57" s="1">
        <v>16</v>
      </c>
      <c r="N57" s="1">
        <v>0</v>
      </c>
      <c r="O57" s="1" t="s">
        <v>169</v>
      </c>
      <c r="P57" s="1" t="s">
        <v>170</v>
      </c>
      <c r="Q57" s="1" t="s">
        <v>169</v>
      </c>
      <c r="R57" s="1" t="s">
        <v>169</v>
      </c>
      <c r="S57" s="1">
        <v>0</v>
      </c>
      <c r="T57" s="15" t="str">
        <f t="shared" si="2"/>
        <v>M</v>
      </c>
      <c r="U57" s="15" t="s">
        <v>368</v>
      </c>
      <c r="V57" s="15" t="s">
        <v>369</v>
      </c>
      <c r="W57" s="15" t="s">
        <v>370</v>
      </c>
      <c r="X57" s="15" t="s">
        <v>371</v>
      </c>
      <c r="Y57" s="15"/>
    </row>
    <row r="58" spans="1:25" ht="12.75" customHeight="1" x14ac:dyDescent="0.2">
      <c r="A58" s="23" t="s">
        <v>62</v>
      </c>
      <c r="B58" s="2" t="str">
        <f>A58&amp;COUNTIF($A$2:$A58,A58)</f>
        <v>Goblin3</v>
      </c>
      <c r="C58" s="2" t="s">
        <v>372</v>
      </c>
      <c r="D58" s="2" t="str">
        <f t="shared" si="0"/>
        <v>GoblinBombardier</v>
      </c>
      <c r="E58" s="2">
        <v>6</v>
      </c>
      <c r="F58" s="2">
        <v>2</v>
      </c>
      <c r="G58" s="2">
        <v>3</v>
      </c>
      <c r="H58" s="2">
        <v>4</v>
      </c>
      <c r="I58" s="2">
        <v>8</v>
      </c>
      <c r="J58" s="2" t="str">
        <f>IF('Pack Vieja Gloria'!$J$24="Español",V58,(IF('Pack Vieja Gloria'!$J$24="Deutsch",W58,(IF('Pack Vieja Gloria'!$J$24="Français",X58,U58)))))</f>
        <v>Bombardero, Esquivar, Arma secreta, Escurridizo</v>
      </c>
      <c r="K58" s="1">
        <v>45000</v>
      </c>
      <c r="L58" s="1">
        <f t="shared" si="1"/>
        <v>45</v>
      </c>
      <c r="M58" s="1">
        <v>1</v>
      </c>
      <c r="N58" s="1">
        <v>0</v>
      </c>
      <c r="O58" s="1" t="s">
        <v>169</v>
      </c>
      <c r="P58" s="1" t="s">
        <v>170</v>
      </c>
      <c r="Q58" s="1" t="s">
        <v>169</v>
      </c>
      <c r="R58" s="1" t="s">
        <v>170</v>
      </c>
      <c r="S58" s="1">
        <v>0</v>
      </c>
      <c r="T58" s="15" t="str">
        <f t="shared" si="2"/>
        <v>M</v>
      </c>
      <c r="U58" s="15" t="s">
        <v>373</v>
      </c>
      <c r="V58" s="15" t="s">
        <v>374</v>
      </c>
      <c r="W58" s="15" t="s">
        <v>375</v>
      </c>
      <c r="X58" s="15" t="s">
        <v>376</v>
      </c>
      <c r="Y58" s="15"/>
    </row>
    <row r="59" spans="1:25" ht="12.75" customHeight="1" x14ac:dyDescent="0.2">
      <c r="A59" s="23" t="s">
        <v>62</v>
      </c>
      <c r="B59" s="2" t="str">
        <f>A59&amp;COUNTIF($A$2:$A59,A59)</f>
        <v>Goblin4</v>
      </c>
      <c r="C59" s="2" t="s">
        <v>377</v>
      </c>
      <c r="D59" s="2" t="str">
        <f t="shared" si="0"/>
        <v>GoblinLooney</v>
      </c>
      <c r="E59" s="2">
        <v>6</v>
      </c>
      <c r="F59" s="2">
        <v>2</v>
      </c>
      <c r="G59" s="2">
        <v>3</v>
      </c>
      <c r="H59" s="2">
        <v>0</v>
      </c>
      <c r="I59" s="2">
        <v>8</v>
      </c>
      <c r="J59" s="2" t="str">
        <f>IF('Pack Vieja Gloria'!$J$24="Español",V59,(IF('Pack Vieja Gloria'!$J$24="Deutsch",W59,(IF('Pack Vieja Gloria'!$J$24="Français",X59,U59)))))</f>
        <v>Motosierra, Arma secreta, Escurridizo</v>
      </c>
      <c r="K59" s="1">
        <v>40000</v>
      </c>
      <c r="L59" s="1">
        <f t="shared" si="1"/>
        <v>40</v>
      </c>
      <c r="M59" s="1">
        <v>1</v>
      </c>
      <c r="N59" s="1">
        <v>0</v>
      </c>
      <c r="O59" s="1" t="s">
        <v>169</v>
      </c>
      <c r="P59" s="1" t="s">
        <v>170</v>
      </c>
      <c r="Q59" s="1" t="s">
        <v>169</v>
      </c>
      <c r="R59" s="12">
        <v>0</v>
      </c>
      <c r="S59" s="1">
        <v>0</v>
      </c>
      <c r="T59" s="15" t="str">
        <f t="shared" si="2"/>
        <v>PM</v>
      </c>
      <c r="U59" s="15" t="s">
        <v>378</v>
      </c>
      <c r="V59" s="15" t="s">
        <v>379</v>
      </c>
      <c r="W59" s="15" t="s">
        <v>380</v>
      </c>
      <c r="X59" s="15" t="s">
        <v>381</v>
      </c>
      <c r="Y59" s="15"/>
    </row>
    <row r="60" spans="1:25" ht="12.75" customHeight="1" x14ac:dyDescent="0.2">
      <c r="A60" s="23" t="s">
        <v>62</v>
      </c>
      <c r="B60" s="2" t="str">
        <f>A60&amp;COUNTIF($A$2:$A60,A60)</f>
        <v>Goblin5</v>
      </c>
      <c r="C60" s="2" t="s">
        <v>382</v>
      </c>
      <c r="D60" s="2" t="str">
        <f t="shared" si="0"/>
        <v>GoblinDoom Diver</v>
      </c>
      <c r="E60" s="2">
        <v>6</v>
      </c>
      <c r="F60" s="2">
        <v>2</v>
      </c>
      <c r="G60" s="2">
        <v>3</v>
      </c>
      <c r="H60" s="2">
        <v>6</v>
      </c>
      <c r="I60" s="2">
        <v>8</v>
      </c>
      <c r="J60" s="2" t="str">
        <f>IF('Pack Vieja Gloria'!$J$24="Español",V60,(IF('Pack Vieja Gloria'!$J$24="Deutsch",W60,(IF('Pack Vieja Gloria'!$J$24="Français",X60,U60)))))</f>
        <v>Humanoide bala, Escurridizo, Planear</v>
      </c>
      <c r="K60" s="1">
        <v>60000</v>
      </c>
      <c r="L60" s="1">
        <f t="shared" si="1"/>
        <v>60</v>
      </c>
      <c r="M60" s="7">
        <v>1</v>
      </c>
      <c r="N60" s="7">
        <v>0</v>
      </c>
      <c r="O60" s="1" t="s">
        <v>169</v>
      </c>
      <c r="P60" s="1" t="s">
        <v>170</v>
      </c>
      <c r="Q60" s="1" t="s">
        <v>169</v>
      </c>
      <c r="R60" s="1">
        <v>0</v>
      </c>
      <c r="S60" s="1">
        <v>0</v>
      </c>
      <c r="T60" s="15" t="str">
        <f t="shared" si="2"/>
        <v>PM</v>
      </c>
      <c r="U60" s="15" t="s">
        <v>383</v>
      </c>
      <c r="V60" s="15" t="s">
        <v>384</v>
      </c>
      <c r="W60" s="15" t="s">
        <v>385</v>
      </c>
      <c r="X60" s="15" t="s">
        <v>386</v>
      </c>
      <c r="Y60" s="15"/>
    </row>
    <row r="61" spans="1:25" ht="12.75" customHeight="1" x14ac:dyDescent="0.2">
      <c r="A61" s="23" t="s">
        <v>62</v>
      </c>
      <c r="B61" s="2" t="str">
        <f>A61&amp;COUNTIF($A$2:$A61,A61)</f>
        <v>Goblin6</v>
      </c>
      <c r="C61" s="2" t="s">
        <v>387</v>
      </c>
      <c r="D61" s="2" t="str">
        <f t="shared" si="0"/>
        <v>GoblinOoligan</v>
      </c>
      <c r="E61" s="2">
        <v>6</v>
      </c>
      <c r="F61" s="2">
        <v>2</v>
      </c>
      <c r="G61" s="2">
        <v>3</v>
      </c>
      <c r="H61" s="2">
        <v>6</v>
      </c>
      <c r="I61" s="2">
        <v>8</v>
      </c>
      <c r="J61" s="2" t="str">
        <f>IF('Pack Vieja Gloria'!$J$24="Español",V61,(IF('Pack Vieja Gloria'!$J$24="Deutsch",W61,(IF('Pack Vieja Gloria'!$J$24="Français",X61,U61)))))</f>
        <v>Juego sucio (+1), Presencia perturbadora, Esquivar, Humanoide bala, Escurridizo</v>
      </c>
      <c r="K61" s="1">
        <v>65000</v>
      </c>
      <c r="L61" s="1">
        <f t="shared" si="1"/>
        <v>65</v>
      </c>
      <c r="M61" s="2">
        <v>1</v>
      </c>
      <c r="N61" s="2">
        <v>0</v>
      </c>
      <c r="O61" s="1" t="s">
        <v>169</v>
      </c>
      <c r="P61" s="1" t="s">
        <v>170</v>
      </c>
      <c r="Q61" s="1" t="s">
        <v>169</v>
      </c>
      <c r="R61" s="1" t="s">
        <v>169</v>
      </c>
      <c r="S61" s="1">
        <v>0</v>
      </c>
      <c r="T61" s="15" t="str">
        <f t="shared" si="2"/>
        <v>M</v>
      </c>
      <c r="U61" s="15" t="s">
        <v>388</v>
      </c>
      <c r="V61" s="15" t="s">
        <v>389</v>
      </c>
      <c r="W61" s="15" t="s">
        <v>390</v>
      </c>
      <c r="X61" s="15" t="s">
        <v>391</v>
      </c>
      <c r="Y61" s="15"/>
    </row>
    <row r="62" spans="1:25" ht="12.75" customHeight="1" x14ac:dyDescent="0.2">
      <c r="A62" s="23" t="s">
        <v>62</v>
      </c>
      <c r="B62" s="2" t="str">
        <f>A62&amp;COUNTIF($A$2:$A62,A62)</f>
        <v>Goblin7</v>
      </c>
      <c r="C62" s="2" t="s">
        <v>392</v>
      </c>
      <c r="D62" s="2" t="str">
        <f t="shared" si="0"/>
        <v xml:space="preserve">GoblinFanatic </v>
      </c>
      <c r="E62" s="2">
        <v>3</v>
      </c>
      <c r="F62" s="2">
        <v>7</v>
      </c>
      <c r="G62" s="2">
        <v>3</v>
      </c>
      <c r="H62" s="2">
        <v>0</v>
      </c>
      <c r="I62" s="2">
        <v>8</v>
      </c>
      <c r="J62" s="2" t="str">
        <f>IF('Pack Vieja Gloria'!$J$24="Español",V62,(IF('Pack Vieja Gloria'!$J$24="Deutsch",W62,(IF('Pack Vieja Gloria'!$J$24="Français",X62,U62)))))</f>
        <v>Bola y cadena, Sin manos, Arma secreta, Escurridizo</v>
      </c>
      <c r="K62" s="1">
        <v>70000</v>
      </c>
      <c r="L62" s="1">
        <f t="shared" si="1"/>
        <v>70</v>
      </c>
      <c r="M62" s="2">
        <v>1</v>
      </c>
      <c r="N62" s="2">
        <v>0</v>
      </c>
      <c r="O62" s="1" t="s">
        <v>169</v>
      </c>
      <c r="P62" s="1" t="s">
        <v>169</v>
      </c>
      <c r="Q62" s="1" t="s">
        <v>170</v>
      </c>
      <c r="R62" s="12">
        <v>0</v>
      </c>
      <c r="S62" s="1">
        <v>0</v>
      </c>
      <c r="T62" s="15" t="str">
        <f t="shared" si="2"/>
        <v>PM</v>
      </c>
      <c r="U62" s="15" t="s">
        <v>393</v>
      </c>
      <c r="V62" s="15" t="s">
        <v>394</v>
      </c>
      <c r="W62" s="15" t="s">
        <v>395</v>
      </c>
      <c r="X62" s="15" t="s">
        <v>396</v>
      </c>
      <c r="Y62" s="15"/>
    </row>
    <row r="63" spans="1:25" ht="12.75" customHeight="1" x14ac:dyDescent="0.2">
      <c r="A63" s="23" t="s">
        <v>62</v>
      </c>
      <c r="B63" s="2" t="str">
        <f>A63&amp;COUNTIF($A$2:$A63,A63)</f>
        <v>Goblin8</v>
      </c>
      <c r="C63" s="2" t="s">
        <v>397</v>
      </c>
      <c r="D63" s="2" t="str">
        <f t="shared" si="0"/>
        <v>GoblinPogoer</v>
      </c>
      <c r="E63" s="2">
        <v>7</v>
      </c>
      <c r="F63" s="2">
        <v>2</v>
      </c>
      <c r="G63" s="2">
        <v>3</v>
      </c>
      <c r="H63" s="2">
        <v>5</v>
      </c>
      <c r="I63" s="2">
        <v>8</v>
      </c>
      <c r="J63" s="2" t="str">
        <f>IF('Pack Vieja Gloria'!$J$24="Español",V63,(IF('Pack Vieja Gloria'!$J$24="Deutsch",W63,(IF('Pack Vieja Gloria'!$J$24="Français",X63,U63)))))</f>
        <v>Esquivar, Pogo saltarín, Escurridizo</v>
      </c>
      <c r="K63" s="1">
        <v>75000</v>
      </c>
      <c r="L63" s="1">
        <f t="shared" si="1"/>
        <v>75</v>
      </c>
      <c r="M63" s="2">
        <v>1</v>
      </c>
      <c r="N63" s="2">
        <v>0</v>
      </c>
      <c r="O63" s="1" t="s">
        <v>169</v>
      </c>
      <c r="P63" s="1" t="s">
        <v>170</v>
      </c>
      <c r="Q63" s="1" t="s">
        <v>169</v>
      </c>
      <c r="R63" s="1" t="s">
        <v>169</v>
      </c>
      <c r="S63" s="1">
        <v>0</v>
      </c>
      <c r="T63" s="15" t="str">
        <f t="shared" si="2"/>
        <v>M</v>
      </c>
      <c r="U63" s="15" t="s">
        <v>398</v>
      </c>
      <c r="V63" s="15" t="s">
        <v>399</v>
      </c>
      <c r="W63" s="15" t="s">
        <v>400</v>
      </c>
      <c r="X63" s="15" t="s">
        <v>401</v>
      </c>
      <c r="Y63" s="15"/>
    </row>
    <row r="64" spans="1:25" ht="12.75" customHeight="1" x14ac:dyDescent="0.2">
      <c r="A64" s="23" t="s">
        <v>62</v>
      </c>
      <c r="B64" s="2" t="str">
        <f>A64&amp;COUNTIF($A$2:$A64,A64)</f>
        <v>Goblin9</v>
      </c>
      <c r="C64" s="2" t="s">
        <v>402</v>
      </c>
      <c r="D64" s="2" t="str">
        <f t="shared" si="0"/>
        <v xml:space="preserve">GoblinTroll </v>
      </c>
      <c r="E64" s="2">
        <v>4</v>
      </c>
      <c r="F64" s="2">
        <v>5</v>
      </c>
      <c r="G64" s="2">
        <v>5</v>
      </c>
      <c r="H64" s="2">
        <v>5</v>
      </c>
      <c r="I64" s="2">
        <v>10</v>
      </c>
      <c r="J64" s="2" t="str">
        <f>IF('Pack Vieja Gloria'!$J$24="Español",V64,(IF('Pack Vieja Gloria'!$J$24="Deutsch",W64,(IF('Pack Vieja Gloria'!$J$24="Français",X64,U64)))))</f>
        <v>Siempre hambriento, Solitario (3+), Golpe mortífero (+1), Proyectil de vómito, Realmente estúpido, Regeneración, Lanzar compañero</v>
      </c>
      <c r="K64" s="1">
        <v>115000</v>
      </c>
      <c r="L64" s="1">
        <f t="shared" si="1"/>
        <v>115</v>
      </c>
      <c r="M64" s="2">
        <v>2</v>
      </c>
      <c r="N64" s="2">
        <v>1</v>
      </c>
      <c r="O64" s="1" t="s">
        <v>169</v>
      </c>
      <c r="P64" s="1" t="s">
        <v>169</v>
      </c>
      <c r="Q64" s="1" t="s">
        <v>170</v>
      </c>
      <c r="R64" s="1" t="s">
        <v>169</v>
      </c>
      <c r="S64" s="1">
        <v>0</v>
      </c>
      <c r="T64" s="15" t="str">
        <f t="shared" si="2"/>
        <v>M</v>
      </c>
      <c r="U64" s="15" t="s">
        <v>254</v>
      </c>
      <c r="V64" s="15" t="s">
        <v>255</v>
      </c>
      <c r="W64" s="15" t="s">
        <v>256</v>
      </c>
      <c r="X64" s="15" t="s">
        <v>257</v>
      </c>
      <c r="Y64" s="15"/>
    </row>
    <row r="65" spans="1:25" ht="12.75" customHeight="1" x14ac:dyDescent="0.2">
      <c r="A65" s="23" t="s">
        <v>1431</v>
      </c>
      <c r="B65" s="2" t="str">
        <f>A65&amp;COUNTIF($A$2:$A65,A65)</f>
        <v>Gnome1</v>
      </c>
      <c r="C65" s="2"/>
      <c r="D65" s="2" t="str">
        <f t="shared" si="0"/>
        <v>Gnome</v>
      </c>
      <c r="E65" s="2">
        <v>0</v>
      </c>
      <c r="F65" s="2">
        <v>0</v>
      </c>
      <c r="G65" s="2">
        <v>0</v>
      </c>
      <c r="H65" s="2">
        <v>0</v>
      </c>
      <c r="I65" s="2">
        <v>0</v>
      </c>
      <c r="J65" s="2">
        <f>IF('Pack Vieja Gloria'!$J$24="Español",V65,(IF('Pack Vieja Gloria'!$J$24="Deutsch",W65,(IF('Pack Vieja Gloria'!$J$24="Français",X65,U65)))))</f>
        <v>0</v>
      </c>
      <c r="K65" s="1">
        <v>0</v>
      </c>
      <c r="L65" s="1">
        <f t="shared" si="1"/>
        <v>0</v>
      </c>
      <c r="M65" s="2">
        <v>0</v>
      </c>
      <c r="N65" s="2">
        <v>0</v>
      </c>
      <c r="O65" s="1"/>
      <c r="P65" s="1"/>
      <c r="Q65" s="1"/>
      <c r="R65" s="1"/>
      <c r="S65" s="1"/>
      <c r="T65" s="15" t="str">
        <f t="shared" si="2"/>
        <v/>
      </c>
      <c r="U65" s="15"/>
      <c r="V65" s="15"/>
      <c r="W65" s="15"/>
      <c r="X65" s="15"/>
      <c r="Y65" s="15"/>
    </row>
    <row r="66" spans="1:25" ht="12.75" customHeight="1" x14ac:dyDescent="0.2">
      <c r="A66" s="23" t="s">
        <v>1431</v>
      </c>
      <c r="B66" s="2" t="str">
        <f>A66&amp;COUNTIF($A$2:$A66,A66)</f>
        <v>Gnome2</v>
      </c>
      <c r="C66" s="2" t="s">
        <v>319</v>
      </c>
      <c r="D66" s="2" t="str">
        <f t="shared" si="0"/>
        <v>GnomeLineman</v>
      </c>
      <c r="E66" s="2">
        <v>5</v>
      </c>
      <c r="F66" s="2">
        <v>2</v>
      </c>
      <c r="G66" s="2">
        <v>3</v>
      </c>
      <c r="H66" s="2">
        <v>4</v>
      </c>
      <c r="I66" s="2">
        <v>7</v>
      </c>
      <c r="J66" s="2" t="str">
        <f>IF('Pack Vieja Gloria'!$J$24="Español",V66,(IF('Pack Vieja Gloria'!$J$24="Deutsch",W66,(IF('Pack Vieja Gloria'!$J$24="Français",X66,U66)))))</f>
        <v>En pie de un salto, Humanoide bala, Escurridizo, Forcejear</v>
      </c>
      <c r="K66" s="1">
        <v>40000</v>
      </c>
      <c r="L66" s="1">
        <f t="shared" si="1"/>
        <v>40</v>
      </c>
      <c r="M66" s="2">
        <v>16</v>
      </c>
      <c r="N66" s="2">
        <v>0</v>
      </c>
      <c r="O66" s="1" t="s">
        <v>169</v>
      </c>
      <c r="P66" s="1" t="s">
        <v>170</v>
      </c>
      <c r="Q66" s="1" t="s">
        <v>169</v>
      </c>
      <c r="R66" s="1" t="s">
        <v>169</v>
      </c>
      <c r="S66" s="1">
        <v>0</v>
      </c>
      <c r="T66" s="15" t="str">
        <f t="shared" si="2"/>
        <v>M</v>
      </c>
      <c r="U66" s="15" t="s">
        <v>1437</v>
      </c>
      <c r="V66" s="15" t="s">
        <v>1441</v>
      </c>
      <c r="W66" s="15" t="s">
        <v>1442</v>
      </c>
      <c r="X66" s="15" t="s">
        <v>1443</v>
      </c>
      <c r="Y66" s="15"/>
    </row>
    <row r="67" spans="1:25" ht="12.75" customHeight="1" x14ac:dyDescent="0.2">
      <c r="A67" s="23" t="s">
        <v>1431</v>
      </c>
      <c r="B67" s="2" t="str">
        <f>A67&amp;COUNTIF($A$2:$A67,A67)</f>
        <v>Gnome3</v>
      </c>
      <c r="C67" s="2" t="s">
        <v>1433</v>
      </c>
      <c r="D67" s="2" t="str">
        <f t="shared" si="0"/>
        <v>GnomeIllusionist</v>
      </c>
      <c r="E67" s="2">
        <v>5</v>
      </c>
      <c r="F67" s="2">
        <v>2</v>
      </c>
      <c r="G67" s="2">
        <v>3</v>
      </c>
      <c r="H67" s="2">
        <v>3</v>
      </c>
      <c r="I67" s="2">
        <v>7</v>
      </c>
      <c r="J67" s="2" t="str">
        <f>IF('Pack Vieja Gloria'!$J$24="Español",V67,(IF('Pack Vieja Gloria'!$J$24="Deutsch",W67,(IF('Pack Vieja Gloria'!$J$24="Français",X67,U67)))))</f>
        <v>En pie de un salto, Escurridizo, Embaucador, Forcejear</v>
      </c>
      <c r="K67" s="1">
        <v>50000</v>
      </c>
      <c r="L67" s="1">
        <f t="shared" si="1"/>
        <v>50</v>
      </c>
      <c r="M67" s="2">
        <v>2</v>
      </c>
      <c r="N67" s="2">
        <v>0</v>
      </c>
      <c r="O67" s="1" t="s">
        <v>169</v>
      </c>
      <c r="P67" s="1" t="s">
        <v>170</v>
      </c>
      <c r="Q67" s="1" t="s">
        <v>169</v>
      </c>
      <c r="R67" s="1" t="s">
        <v>169</v>
      </c>
      <c r="S67" s="1">
        <v>0</v>
      </c>
      <c r="T67" s="15" t="str">
        <f t="shared" ref="T67:T130" si="7">IF(K67=0,"",(IF(O67=0,"GPSM",(IF(AND(R67=0,S67=0),"PM",(IF(S67=0,"M",(IF(R67=0,"P","FULL")))))))))</f>
        <v>M</v>
      </c>
      <c r="U67" s="15" t="s">
        <v>1438</v>
      </c>
      <c r="V67" s="15" t="s">
        <v>1491</v>
      </c>
      <c r="W67" s="15" t="s">
        <v>1492</v>
      </c>
      <c r="X67" s="15" t="s">
        <v>1493</v>
      </c>
      <c r="Y67" s="15"/>
    </row>
    <row r="68" spans="1:25" ht="12.75" customHeight="1" x14ac:dyDescent="0.2">
      <c r="A68" s="23" t="s">
        <v>1431</v>
      </c>
      <c r="B68" s="2" t="str">
        <f>A68&amp;COUNTIF($A$2:$A68,A68)</f>
        <v>Gnome4</v>
      </c>
      <c r="C68" s="2" t="s">
        <v>1434</v>
      </c>
      <c r="D68" s="2" t="str">
        <f t="shared" si="0"/>
        <v>GnomeWoodland Fox</v>
      </c>
      <c r="E68" s="2">
        <v>7</v>
      </c>
      <c r="F68" s="2">
        <v>2</v>
      </c>
      <c r="G68" s="2">
        <v>2</v>
      </c>
      <c r="H68" s="2">
        <v>0</v>
      </c>
      <c r="I68" s="2">
        <v>6</v>
      </c>
      <c r="J68" s="2" t="str">
        <f>IF('Pack Vieja Gloria'!$J$24="Español",V68,(IF('Pack Vieja Gloria'!$J$24="Deutsch",W68,(IF('Pack Vieja Gloria'!$J$24="Français",X68,U68)))))</f>
        <v>Esquivar, Mi balón, Echarse a un lado, Escurridizo</v>
      </c>
      <c r="K68" s="1">
        <v>50000</v>
      </c>
      <c r="L68" s="1">
        <f t="shared" si="1"/>
        <v>50</v>
      </c>
      <c r="M68" s="2">
        <v>2</v>
      </c>
      <c r="N68" s="2">
        <v>0</v>
      </c>
      <c r="O68" s="1">
        <v>0</v>
      </c>
      <c r="P68" s="1" t="s">
        <v>169</v>
      </c>
      <c r="Q68" s="1">
        <v>0</v>
      </c>
      <c r="R68" s="1">
        <v>0</v>
      </c>
      <c r="S68" s="1">
        <v>0</v>
      </c>
      <c r="T68" s="15" t="str">
        <f t="shared" si="7"/>
        <v>GPSM</v>
      </c>
      <c r="U68" s="15" t="s">
        <v>1439</v>
      </c>
      <c r="V68" s="15" t="s">
        <v>1444</v>
      </c>
      <c r="W68" s="15" t="s">
        <v>1445</v>
      </c>
      <c r="X68" s="15" t="s">
        <v>1446</v>
      </c>
      <c r="Y68" s="15"/>
    </row>
    <row r="69" spans="1:25" ht="12.75" customHeight="1" x14ac:dyDescent="0.2">
      <c r="A69" s="23" t="s">
        <v>1431</v>
      </c>
      <c r="B69" s="2" t="str">
        <f>A69&amp;COUNTIF($A$2:$A69,A69)</f>
        <v>Gnome5</v>
      </c>
      <c r="C69" s="2" t="s">
        <v>1435</v>
      </c>
      <c r="D69" s="2" t="str">
        <f t="shared" si="0"/>
        <v>GnomeBeastmaster</v>
      </c>
      <c r="E69" s="2">
        <v>5</v>
      </c>
      <c r="F69" s="2">
        <v>2</v>
      </c>
      <c r="G69" s="2">
        <v>3</v>
      </c>
      <c r="H69" s="2">
        <v>4</v>
      </c>
      <c r="I69" s="2">
        <v>8</v>
      </c>
      <c r="J69" s="2" t="str">
        <f>IF('Pack Vieja Gloria'!$J$24="Español",V69,(IF('Pack Vieja Gloria'!$J$24="Deutsch",W69,(IF('Pack Vieja Gloria'!$J$24="Français",X69,U69)))))</f>
        <v>Defensa, En pie de un salto, Escurridizo, Forcejear</v>
      </c>
      <c r="K69" s="1">
        <v>55000</v>
      </c>
      <c r="L69" s="1">
        <f t="shared" si="1"/>
        <v>55</v>
      </c>
      <c r="M69" s="2">
        <v>2</v>
      </c>
      <c r="N69" s="2">
        <v>0</v>
      </c>
      <c r="O69" s="1" t="s">
        <v>169</v>
      </c>
      <c r="P69" s="1" t="s">
        <v>170</v>
      </c>
      <c r="Q69" s="1" t="s">
        <v>169</v>
      </c>
      <c r="R69" s="1" t="s">
        <v>169</v>
      </c>
      <c r="S69" s="1">
        <v>0</v>
      </c>
      <c r="T69" s="15" t="str">
        <f t="shared" si="7"/>
        <v>M</v>
      </c>
      <c r="U69" s="15" t="s">
        <v>1440</v>
      </c>
      <c r="V69" s="15" t="s">
        <v>1447</v>
      </c>
      <c r="W69" s="15" t="s">
        <v>1448</v>
      </c>
      <c r="X69" s="15" t="s">
        <v>1449</v>
      </c>
      <c r="Y69" s="15"/>
    </row>
    <row r="70" spans="1:25" ht="12.75" customHeight="1" x14ac:dyDescent="0.2">
      <c r="A70" s="23" t="s">
        <v>1431</v>
      </c>
      <c r="B70" s="2" t="str">
        <f>A70&amp;COUNTIF($A$2:$A70,A70)</f>
        <v>Gnome6</v>
      </c>
      <c r="C70" s="2" t="s">
        <v>1436</v>
      </c>
      <c r="D70" s="2" t="str">
        <f t="shared" si="0"/>
        <v>GnomeAltern Forest Treeman</v>
      </c>
      <c r="E70" s="2">
        <v>2</v>
      </c>
      <c r="F70" s="2">
        <v>6</v>
      </c>
      <c r="G70" s="2">
        <v>5</v>
      </c>
      <c r="H70" s="2">
        <v>5</v>
      </c>
      <c r="I70" s="2">
        <v>11</v>
      </c>
      <c r="J70" s="2" t="str">
        <f>IF('Pack Vieja Gloria'!$J$24="Español",V70,(IF('Pack Vieja Gloria'!$J$24="Deutsch",W70,(IF('Pack Vieja Gloria'!$J$24="Français",X70,U70)))))</f>
        <v>Golpe mortífero (+1), Mantenerse firme, Brazo fuerte, Echar raíces, Cabeza dura, Lanzar compañero, ¡Tronco va!</v>
      </c>
      <c r="K70" s="1">
        <v>120000</v>
      </c>
      <c r="L70" s="1">
        <f t="shared" si="1"/>
        <v>120</v>
      </c>
      <c r="M70" s="2">
        <v>2</v>
      </c>
      <c r="N70" s="2">
        <v>1</v>
      </c>
      <c r="O70" s="1" t="s">
        <v>169</v>
      </c>
      <c r="P70" s="1" t="s">
        <v>169</v>
      </c>
      <c r="Q70" s="1" t="s">
        <v>170</v>
      </c>
      <c r="R70" s="1" t="s">
        <v>169</v>
      </c>
      <c r="S70" s="1">
        <v>0</v>
      </c>
      <c r="T70" s="15" t="str">
        <f t="shared" si="7"/>
        <v>M</v>
      </c>
      <c r="U70" s="15" t="s">
        <v>415</v>
      </c>
      <c r="V70" s="15" t="s">
        <v>416</v>
      </c>
      <c r="W70" s="15" t="s">
        <v>1090</v>
      </c>
      <c r="X70" s="15" t="s">
        <v>417</v>
      </c>
      <c r="Y70" s="15"/>
    </row>
    <row r="71" spans="1:25" ht="12.75" customHeight="1" x14ac:dyDescent="0.2">
      <c r="A71" s="23" t="s">
        <v>67</v>
      </c>
      <c r="B71" s="2" t="str">
        <f>A71&amp;COUNTIF($A$2:$A71,A71)</f>
        <v>Halfling1</v>
      </c>
      <c r="C71" s="2" t="str">
        <f>""</f>
        <v/>
      </c>
      <c r="D71" s="2" t="str">
        <f t="shared" si="0"/>
        <v>Halfling</v>
      </c>
      <c r="E71" s="2">
        <v>0</v>
      </c>
      <c r="F71" s="2">
        <v>0</v>
      </c>
      <c r="G71" s="2">
        <v>0</v>
      </c>
      <c r="H71" s="2">
        <v>0</v>
      </c>
      <c r="I71" s="2">
        <v>0</v>
      </c>
      <c r="J71" s="2">
        <f>IF('Pack Vieja Gloria'!$J$24="Español",V71,(IF('Pack Vieja Gloria'!$J$24="Deutsch",W71,(IF('Pack Vieja Gloria'!$J$24="Français",X71,U71)))))</f>
        <v>0</v>
      </c>
      <c r="K71" s="1">
        <v>0</v>
      </c>
      <c r="L71" s="1">
        <f t="shared" si="1"/>
        <v>0</v>
      </c>
      <c r="M71" s="1">
        <v>0</v>
      </c>
      <c r="N71" s="1">
        <v>0</v>
      </c>
      <c r="O71" s="1"/>
      <c r="P71" s="1"/>
      <c r="Q71" s="1"/>
      <c r="R71" s="1"/>
      <c r="S71" s="1"/>
      <c r="T71" s="15" t="str">
        <f t="shared" si="7"/>
        <v/>
      </c>
      <c r="U71" s="15">
        <v>0</v>
      </c>
      <c r="V71" s="15">
        <v>0</v>
      </c>
      <c r="W71" s="15">
        <v>0</v>
      </c>
      <c r="X71" s="15">
        <v>0</v>
      </c>
      <c r="Y71" s="15">
        <v>0</v>
      </c>
    </row>
    <row r="72" spans="1:25" ht="12.75" customHeight="1" x14ac:dyDescent="0.2">
      <c r="A72" s="23" t="s">
        <v>67</v>
      </c>
      <c r="B72" s="2" t="str">
        <f>A72&amp;COUNTIF($A$2:$A72,A72)</f>
        <v>Halfling2</v>
      </c>
      <c r="C72" s="2" t="s">
        <v>403</v>
      </c>
      <c r="D72" s="2" t="str">
        <f t="shared" si="0"/>
        <v>HalflingHalfling Hopeful</v>
      </c>
      <c r="E72" s="2">
        <v>5</v>
      </c>
      <c r="F72" s="2">
        <v>2</v>
      </c>
      <c r="G72" s="2">
        <v>3</v>
      </c>
      <c r="H72" s="2">
        <v>4</v>
      </c>
      <c r="I72" s="2">
        <v>7</v>
      </c>
      <c r="J72" s="2" t="str">
        <f>IF('Pack Vieja Gloria'!$J$24="Español",V72,(IF('Pack Vieja Gloria'!$J$24="Deutsch",W72,(IF('Pack Vieja Gloria'!$J$24="Français",X72,U72)))))</f>
        <v>Esquivar, Humanoide bala, Escurridizo</v>
      </c>
      <c r="K72" s="1">
        <v>30000</v>
      </c>
      <c r="L72" s="1">
        <f t="shared" si="1"/>
        <v>30</v>
      </c>
      <c r="M72" s="2">
        <v>16</v>
      </c>
      <c r="N72" s="2">
        <v>0</v>
      </c>
      <c r="O72" s="1" t="s">
        <v>169</v>
      </c>
      <c r="P72" s="1" t="s">
        <v>170</v>
      </c>
      <c r="Q72" s="1" t="s">
        <v>169</v>
      </c>
      <c r="R72" s="1">
        <v>0</v>
      </c>
      <c r="S72" s="1">
        <v>0</v>
      </c>
      <c r="T72" s="15" t="str">
        <f t="shared" si="7"/>
        <v>PM</v>
      </c>
      <c r="U72" s="15" t="s">
        <v>368</v>
      </c>
      <c r="V72" s="15" t="s">
        <v>369</v>
      </c>
      <c r="W72" s="15" t="s">
        <v>370</v>
      </c>
      <c r="X72" s="15" t="s">
        <v>371</v>
      </c>
      <c r="Y72" s="15"/>
    </row>
    <row r="73" spans="1:25" ht="12.75" customHeight="1" x14ac:dyDescent="0.2">
      <c r="A73" s="23" t="s">
        <v>67</v>
      </c>
      <c r="B73" s="2" t="str">
        <f>A73&amp;COUNTIF($A$2:$A73,A73)</f>
        <v>Halfling3</v>
      </c>
      <c r="C73" s="2" t="s">
        <v>404</v>
      </c>
      <c r="D73" s="2" t="str">
        <f t="shared" si="0"/>
        <v>HalflingHalfling Catcher</v>
      </c>
      <c r="E73" s="2">
        <v>5</v>
      </c>
      <c r="F73" s="2">
        <v>2</v>
      </c>
      <c r="G73" s="2">
        <v>3</v>
      </c>
      <c r="H73" s="2">
        <v>5</v>
      </c>
      <c r="I73" s="2">
        <v>7</v>
      </c>
      <c r="J73" s="2" t="str">
        <f>IF('Pack Vieja Gloria'!$J$24="Español",V73,(IF('Pack Vieja Gloria'!$J$24="Deutsch",W73,(IF('Pack Vieja Gloria'!$J$24="Français",X73,U73)))))</f>
        <v>Atrapar, Esquivar, Humanoide bala, Esprintar, Escurridizo</v>
      </c>
      <c r="K73" s="1">
        <v>55000</v>
      </c>
      <c r="L73" s="1">
        <f t="shared" si="1"/>
        <v>55</v>
      </c>
      <c r="M73" s="2">
        <v>2</v>
      </c>
      <c r="N73" s="2">
        <v>0</v>
      </c>
      <c r="O73" s="1" t="s">
        <v>169</v>
      </c>
      <c r="P73" s="1" t="s">
        <v>170</v>
      </c>
      <c r="Q73" s="1" t="s">
        <v>169</v>
      </c>
      <c r="R73" s="1">
        <v>0</v>
      </c>
      <c r="S73" s="1">
        <v>0</v>
      </c>
      <c r="T73" s="15" t="str">
        <f t="shared" si="7"/>
        <v>PM</v>
      </c>
      <c r="U73" s="15" t="s">
        <v>405</v>
      </c>
      <c r="V73" s="15" t="s">
        <v>406</v>
      </c>
      <c r="W73" s="15" t="s">
        <v>407</v>
      </c>
      <c r="X73" s="15" t="s">
        <v>408</v>
      </c>
      <c r="Y73" s="15"/>
    </row>
    <row r="74" spans="1:25" ht="12.75" customHeight="1" x14ac:dyDescent="0.2">
      <c r="A74" s="23" t="s">
        <v>67</v>
      </c>
      <c r="B74" s="2" t="str">
        <f>A74&amp;COUNTIF($A$2:$A74,A74)</f>
        <v>Halfling4</v>
      </c>
      <c r="C74" s="2" t="s">
        <v>409</v>
      </c>
      <c r="D74" s="2" t="str">
        <f t="shared" si="0"/>
        <v>HalflingHalfling Hefty</v>
      </c>
      <c r="E74" s="2">
        <v>5</v>
      </c>
      <c r="F74" s="2">
        <v>2</v>
      </c>
      <c r="G74" s="2">
        <v>3</v>
      </c>
      <c r="H74" s="2">
        <v>3</v>
      </c>
      <c r="I74" s="2">
        <v>8</v>
      </c>
      <c r="J74" s="2" t="str">
        <f>IF('Pack Vieja Gloria'!$J$24="Español",V74,(IF('Pack Vieja Gloria'!$J$24="Deutsch",W74,(IF('Pack Vieja Gloria'!$J$24="Français",X74,U74)))))</f>
        <v>Esquivar, Zafarse, Escurridizo</v>
      </c>
      <c r="K74" s="1">
        <v>50000</v>
      </c>
      <c r="L74" s="1">
        <f t="shared" si="1"/>
        <v>50</v>
      </c>
      <c r="M74" s="1">
        <v>2</v>
      </c>
      <c r="N74" s="1">
        <v>0</v>
      </c>
      <c r="O74" s="1" t="s">
        <v>169</v>
      </c>
      <c r="P74" s="1" t="s">
        <v>170</v>
      </c>
      <c r="Q74" s="1" t="s">
        <v>169</v>
      </c>
      <c r="R74" s="1" t="s">
        <v>170</v>
      </c>
      <c r="S74" s="1">
        <v>0</v>
      </c>
      <c r="T74" s="15" t="str">
        <f t="shared" si="7"/>
        <v>M</v>
      </c>
      <c r="U74" s="15" t="s">
        <v>410</v>
      </c>
      <c r="V74" s="15" t="s">
        <v>411</v>
      </c>
      <c r="W74" s="15" t="s">
        <v>412</v>
      </c>
      <c r="X74" s="15" t="s">
        <v>413</v>
      </c>
      <c r="Y74" s="15"/>
    </row>
    <row r="75" spans="1:25" ht="12.75" customHeight="1" x14ac:dyDescent="0.2">
      <c r="A75" s="23" t="s">
        <v>67</v>
      </c>
      <c r="B75" s="2" t="str">
        <f>A75&amp;COUNTIF($A$2:$A75,A75)</f>
        <v>Halfling5</v>
      </c>
      <c r="C75" s="2" t="s">
        <v>414</v>
      </c>
      <c r="D75" s="2" t="str">
        <f t="shared" si="0"/>
        <v>HalflingForest Treeman</v>
      </c>
      <c r="E75" s="2">
        <v>2</v>
      </c>
      <c r="F75" s="2">
        <v>6</v>
      </c>
      <c r="G75" s="2">
        <v>5</v>
      </c>
      <c r="H75" s="2">
        <v>5</v>
      </c>
      <c r="I75" s="2">
        <v>11</v>
      </c>
      <c r="J75" s="2" t="str">
        <f>IF('Pack Vieja Gloria'!$J$24="Español",V75,(IF('Pack Vieja Gloria'!$J$24="Deutsch",W75,(IF('Pack Vieja Gloria'!$J$24="Français",X75,U75)))))</f>
        <v>Golpe mortífero (+1), Mantenerse firme, Brazo fuerte, Echar raíces, Cabeza dura, Lanzar compañero, ¡Tronco va!</v>
      </c>
      <c r="K75" s="1">
        <v>120000</v>
      </c>
      <c r="L75" s="1">
        <f t="shared" si="1"/>
        <v>120</v>
      </c>
      <c r="M75" s="1">
        <v>2</v>
      </c>
      <c r="N75" s="1">
        <v>1</v>
      </c>
      <c r="O75" s="1" t="s">
        <v>169</v>
      </c>
      <c r="P75" s="1" t="s">
        <v>169</v>
      </c>
      <c r="Q75" s="1" t="s">
        <v>170</v>
      </c>
      <c r="R75" s="1" t="s">
        <v>169</v>
      </c>
      <c r="S75" s="1">
        <v>0</v>
      </c>
      <c r="T75" s="15" t="str">
        <f t="shared" si="7"/>
        <v>M</v>
      </c>
      <c r="U75" s="15" t="s">
        <v>415</v>
      </c>
      <c r="V75" s="15" t="s">
        <v>416</v>
      </c>
      <c r="W75" s="15" t="s">
        <v>1090</v>
      </c>
      <c r="X75" s="15" t="s">
        <v>417</v>
      </c>
      <c r="Y75" s="15"/>
    </row>
    <row r="76" spans="1:25" ht="12.75" customHeight="1" x14ac:dyDescent="0.2">
      <c r="A76" s="23" t="s">
        <v>72</v>
      </c>
      <c r="B76" s="2" t="str">
        <f>A76&amp;COUNTIF($A$2:$A76,A76)</f>
        <v>High Elf1</v>
      </c>
      <c r="C76" s="2" t="str">
        <f>""</f>
        <v/>
      </c>
      <c r="D76" s="2" t="str">
        <f t="shared" si="0"/>
        <v>High Elf</v>
      </c>
      <c r="E76" s="2">
        <v>0</v>
      </c>
      <c r="F76" s="2">
        <v>0</v>
      </c>
      <c r="G76" s="2">
        <v>0</v>
      </c>
      <c r="H76" s="2">
        <v>0</v>
      </c>
      <c r="I76" s="2">
        <v>0</v>
      </c>
      <c r="J76" s="2">
        <f>IF('Pack Vieja Gloria'!$J$24="Español",V76,(IF('Pack Vieja Gloria'!$J$24="Deutsch",W76,(IF('Pack Vieja Gloria'!$J$24="Français",X76,U76)))))</f>
        <v>0</v>
      </c>
      <c r="K76" s="1">
        <v>0</v>
      </c>
      <c r="L76" s="1">
        <f t="shared" si="1"/>
        <v>0</v>
      </c>
      <c r="M76" s="1">
        <v>0</v>
      </c>
      <c r="N76" s="1">
        <v>0</v>
      </c>
      <c r="O76" s="1"/>
      <c r="P76" s="1"/>
      <c r="Q76" s="1"/>
      <c r="R76" s="1"/>
      <c r="S76" s="1"/>
      <c r="T76" s="15" t="str">
        <f t="shared" si="7"/>
        <v/>
      </c>
      <c r="U76" s="15">
        <v>0</v>
      </c>
      <c r="V76" s="15">
        <v>0</v>
      </c>
      <c r="W76" s="15">
        <v>0</v>
      </c>
      <c r="X76" s="15">
        <v>0</v>
      </c>
      <c r="Y76" s="15">
        <v>0</v>
      </c>
    </row>
    <row r="77" spans="1:25" ht="12.75" customHeight="1" x14ac:dyDescent="0.2">
      <c r="A77" s="23" t="s">
        <v>72</v>
      </c>
      <c r="B77" s="2" t="str">
        <f>A77&amp;COUNTIF($A$2:$A77,A77)</f>
        <v>High Elf2</v>
      </c>
      <c r="C77" s="2" t="s">
        <v>319</v>
      </c>
      <c r="D77" s="2" t="str">
        <f t="shared" si="0"/>
        <v>High ElfLineman</v>
      </c>
      <c r="E77" s="2">
        <v>6</v>
      </c>
      <c r="F77" s="2">
        <v>3</v>
      </c>
      <c r="G77" s="2">
        <v>2</v>
      </c>
      <c r="H77" s="2">
        <v>4</v>
      </c>
      <c r="I77" s="2">
        <v>9</v>
      </c>
      <c r="J77" s="2" t="str">
        <f>IF('Pack Vieja Gloria'!$J$24="Español",V77,(IF('Pack Vieja Gloria'!$J$24="Deutsch",W77,(IF('Pack Vieja Gloria'!$J$24="Français",X77,U77)))))</f>
        <v/>
      </c>
      <c r="K77" s="1">
        <v>70000</v>
      </c>
      <c r="L77" s="1">
        <f t="shared" si="1"/>
        <v>70</v>
      </c>
      <c r="M77" s="2">
        <v>16</v>
      </c>
      <c r="N77" s="2">
        <v>0</v>
      </c>
      <c r="O77" s="1" t="s">
        <v>170</v>
      </c>
      <c r="P77" s="1" t="s">
        <v>170</v>
      </c>
      <c r="Q77" s="1" t="s">
        <v>169</v>
      </c>
      <c r="R77" s="1" t="s">
        <v>169</v>
      </c>
      <c r="S77" s="1">
        <v>0</v>
      </c>
      <c r="T77" s="15" t="str">
        <f t="shared" si="7"/>
        <v>M</v>
      </c>
      <c r="U77" s="15" t="str">
        <f t="shared" ref="U77:Y77" si="8">""</f>
        <v/>
      </c>
      <c r="V77" s="15" t="str">
        <f t="shared" si="8"/>
        <v/>
      </c>
      <c r="W77" s="15" t="str">
        <f t="shared" si="8"/>
        <v/>
      </c>
      <c r="X77" s="15" t="str">
        <f t="shared" si="8"/>
        <v/>
      </c>
      <c r="Y77" s="15" t="str">
        <f t="shared" si="8"/>
        <v/>
      </c>
    </row>
    <row r="78" spans="1:25" ht="12.75" customHeight="1" x14ac:dyDescent="0.2">
      <c r="A78" s="23" t="s">
        <v>72</v>
      </c>
      <c r="B78" s="2" t="str">
        <f>A78&amp;COUNTIF($A$2:$A78,A78)</f>
        <v>High Elf3</v>
      </c>
      <c r="C78" s="2" t="s">
        <v>241</v>
      </c>
      <c r="D78" s="2" t="str">
        <f t="shared" si="0"/>
        <v>High ElfThrower</v>
      </c>
      <c r="E78" s="2">
        <v>6</v>
      </c>
      <c r="F78" s="2">
        <v>3</v>
      </c>
      <c r="G78" s="2">
        <v>2</v>
      </c>
      <c r="H78" s="2">
        <v>2</v>
      </c>
      <c r="I78" s="2">
        <v>9</v>
      </c>
      <c r="J78" s="2" t="str">
        <f>IF('Pack Vieja Gloria'!$J$24="Español",V78,(IF('Pack Vieja Gloria'!$J$24="Deutsch",W78,(IF('Pack Vieja Gloria'!$J$24="Français",X78,U78)))))</f>
        <v>Partenubes, Pasar, Pase seguro</v>
      </c>
      <c r="K78" s="1">
        <v>100000</v>
      </c>
      <c r="L78" s="1">
        <f t="shared" si="1"/>
        <v>100</v>
      </c>
      <c r="M78" s="2">
        <v>2</v>
      </c>
      <c r="N78" s="2">
        <v>0</v>
      </c>
      <c r="O78" s="1" t="s">
        <v>170</v>
      </c>
      <c r="P78" s="1" t="s">
        <v>170</v>
      </c>
      <c r="Q78" s="1" t="s">
        <v>169</v>
      </c>
      <c r="R78" s="1" t="s">
        <v>170</v>
      </c>
      <c r="S78" s="1">
        <v>0</v>
      </c>
      <c r="T78" s="15" t="str">
        <f t="shared" si="7"/>
        <v>M</v>
      </c>
      <c r="U78" s="15" t="s">
        <v>418</v>
      </c>
      <c r="V78" s="15" t="s">
        <v>419</v>
      </c>
      <c r="W78" s="15" t="s">
        <v>420</v>
      </c>
      <c r="X78" s="15" t="s">
        <v>421</v>
      </c>
      <c r="Y78" s="15"/>
    </row>
    <row r="79" spans="1:25" ht="12.75" customHeight="1" x14ac:dyDescent="0.2">
      <c r="A79" s="23" t="s">
        <v>72</v>
      </c>
      <c r="B79" s="2" t="str">
        <f>A79&amp;COUNTIF($A$2:$A79,A79)</f>
        <v>High Elf4</v>
      </c>
      <c r="C79" s="2" t="s">
        <v>242</v>
      </c>
      <c r="D79" s="2" t="str">
        <f t="shared" si="0"/>
        <v>High ElfCatcher</v>
      </c>
      <c r="E79" s="2">
        <v>8</v>
      </c>
      <c r="F79" s="2">
        <v>3</v>
      </c>
      <c r="G79" s="2">
        <v>2</v>
      </c>
      <c r="H79" s="2">
        <v>5</v>
      </c>
      <c r="I79" s="2">
        <v>8</v>
      </c>
      <c r="J79" s="2" t="str">
        <f>IF('Pack Vieja Gloria'!$J$24="Español",V79,(IF('Pack Vieja Gloria'!$J$24="Deutsch",W79,(IF('Pack Vieja Gloria'!$J$24="Français",X79,U79)))))</f>
        <v>Atrapar</v>
      </c>
      <c r="K79" s="1">
        <v>90000</v>
      </c>
      <c r="L79" s="1">
        <f t="shared" si="1"/>
        <v>90</v>
      </c>
      <c r="M79" s="2">
        <v>4</v>
      </c>
      <c r="N79" s="2">
        <v>0</v>
      </c>
      <c r="O79" s="1" t="s">
        <v>170</v>
      </c>
      <c r="P79" s="1" t="s">
        <v>170</v>
      </c>
      <c r="Q79" s="1" t="s">
        <v>169</v>
      </c>
      <c r="R79" s="1">
        <v>0</v>
      </c>
      <c r="S79" s="1">
        <v>0</v>
      </c>
      <c r="T79" s="15" t="str">
        <f t="shared" si="7"/>
        <v>PM</v>
      </c>
      <c r="U79" s="15" t="s">
        <v>422</v>
      </c>
      <c r="V79" s="15" t="s">
        <v>423</v>
      </c>
      <c r="W79" s="15" t="s">
        <v>424</v>
      </c>
      <c r="X79" s="15" t="s">
        <v>425</v>
      </c>
      <c r="Y79" s="15"/>
    </row>
    <row r="80" spans="1:25" ht="12.75" customHeight="1" x14ac:dyDescent="0.2">
      <c r="A80" s="23" t="s">
        <v>72</v>
      </c>
      <c r="B80" s="2" t="str">
        <f>A80&amp;COUNTIF($A$2:$A80,A80)</f>
        <v>High Elf5</v>
      </c>
      <c r="C80" s="2" t="s">
        <v>243</v>
      </c>
      <c r="D80" s="2" t="str">
        <f t="shared" si="0"/>
        <v>High ElfBlitzer</v>
      </c>
      <c r="E80" s="2">
        <v>7</v>
      </c>
      <c r="F80" s="2">
        <v>3</v>
      </c>
      <c r="G80" s="2">
        <v>2</v>
      </c>
      <c r="H80" s="2">
        <v>4</v>
      </c>
      <c r="I80" s="2">
        <v>9</v>
      </c>
      <c r="J80" s="2" t="str">
        <f>IF('Pack Vieja Gloria'!$J$24="Español",V80,(IF('Pack Vieja Gloria'!$J$24="Deutsch",W80,(IF('Pack Vieja Gloria'!$J$24="Français",X80,U80)))))</f>
        <v>Placar</v>
      </c>
      <c r="K80" s="1">
        <v>100000</v>
      </c>
      <c r="L80" s="1">
        <f t="shared" si="1"/>
        <v>100</v>
      </c>
      <c r="M80" s="2">
        <v>2</v>
      </c>
      <c r="N80" s="2">
        <v>0</v>
      </c>
      <c r="O80" s="1" t="s">
        <v>170</v>
      </c>
      <c r="P80" s="1" t="s">
        <v>170</v>
      </c>
      <c r="Q80" s="1" t="s">
        <v>169</v>
      </c>
      <c r="R80" s="1" t="s">
        <v>169</v>
      </c>
      <c r="S80" s="1">
        <v>0</v>
      </c>
      <c r="T80" s="15" t="str">
        <f t="shared" si="7"/>
        <v>M</v>
      </c>
      <c r="U80" s="15" t="s">
        <v>330</v>
      </c>
      <c r="V80" s="15" t="s">
        <v>331</v>
      </c>
      <c r="W80" s="15" t="s">
        <v>330</v>
      </c>
      <c r="X80" s="15" t="s">
        <v>332</v>
      </c>
      <c r="Y80" s="15"/>
    </row>
    <row r="81" spans="1:25" ht="12.75" customHeight="1" x14ac:dyDescent="0.2">
      <c r="A81" s="23" t="s">
        <v>77</v>
      </c>
      <c r="B81" s="2" t="str">
        <f>A81&amp;COUNTIF($A$2:$A81,A81)</f>
        <v>Human1</v>
      </c>
      <c r="C81" s="2" t="str">
        <f>""</f>
        <v/>
      </c>
      <c r="D81" s="2" t="str">
        <f t="shared" si="0"/>
        <v>Human</v>
      </c>
      <c r="E81" s="2">
        <v>0</v>
      </c>
      <c r="F81" s="2">
        <v>0</v>
      </c>
      <c r="G81" s="2">
        <v>0</v>
      </c>
      <c r="H81" s="2">
        <v>0</v>
      </c>
      <c r="I81" s="2">
        <v>0</v>
      </c>
      <c r="J81" s="2">
        <f>IF('Pack Vieja Gloria'!$J$24="Español",V81,(IF('Pack Vieja Gloria'!$J$24="Deutsch",W81,(IF('Pack Vieja Gloria'!$J$24="Français",X81,U81)))))</f>
        <v>0</v>
      </c>
      <c r="K81" s="1">
        <v>0</v>
      </c>
      <c r="L81" s="1">
        <f t="shared" si="1"/>
        <v>0</v>
      </c>
      <c r="M81" s="1">
        <v>0</v>
      </c>
      <c r="N81" s="1">
        <v>0</v>
      </c>
      <c r="O81" s="1"/>
      <c r="P81" s="1"/>
      <c r="Q81" s="1"/>
      <c r="R81" s="1"/>
      <c r="S81" s="1"/>
      <c r="T81" s="15" t="str">
        <f t="shared" si="7"/>
        <v/>
      </c>
      <c r="U81" s="15">
        <v>0</v>
      </c>
      <c r="V81" s="15">
        <v>0</v>
      </c>
      <c r="W81" s="15">
        <v>0</v>
      </c>
      <c r="X81" s="15">
        <v>0</v>
      </c>
      <c r="Y81" s="15">
        <v>0</v>
      </c>
    </row>
    <row r="82" spans="1:25" ht="12.75" customHeight="1" x14ac:dyDescent="0.2">
      <c r="A82" s="23" t="s">
        <v>77</v>
      </c>
      <c r="B82" s="2" t="str">
        <f>A82&amp;COUNTIF($A$2:$A82,A82)</f>
        <v>Human2</v>
      </c>
      <c r="C82" s="2" t="s">
        <v>319</v>
      </c>
      <c r="D82" s="2" t="str">
        <f t="shared" si="0"/>
        <v>HumanLineman</v>
      </c>
      <c r="E82" s="2">
        <v>6</v>
      </c>
      <c r="F82" s="2">
        <v>3</v>
      </c>
      <c r="G82" s="2">
        <v>3</v>
      </c>
      <c r="H82" s="2">
        <v>4</v>
      </c>
      <c r="I82" s="2">
        <v>9</v>
      </c>
      <c r="J82" s="2" t="str">
        <f>IF('Pack Vieja Gloria'!$J$24="Español",V82,(IF('Pack Vieja Gloria'!$J$24="Deutsch",W82,(IF('Pack Vieja Gloria'!$J$24="Français",X82,U82)))))</f>
        <v/>
      </c>
      <c r="K82" s="1">
        <v>50000</v>
      </c>
      <c r="L82" s="1">
        <f t="shared" si="1"/>
        <v>50</v>
      </c>
      <c r="M82" s="2">
        <v>16</v>
      </c>
      <c r="N82" s="2">
        <v>0</v>
      </c>
      <c r="O82" s="1" t="s">
        <v>170</v>
      </c>
      <c r="P82" s="1" t="s">
        <v>169</v>
      </c>
      <c r="Q82" s="1" t="s">
        <v>169</v>
      </c>
      <c r="R82" s="1">
        <v>0</v>
      </c>
      <c r="S82" s="1">
        <v>0</v>
      </c>
      <c r="T82" s="15" t="str">
        <f t="shared" si="7"/>
        <v>PM</v>
      </c>
      <c r="U82" s="15" t="str">
        <f t="shared" ref="U82:Y82" si="9">""</f>
        <v/>
      </c>
      <c r="V82" s="15" t="str">
        <f t="shared" si="9"/>
        <v/>
      </c>
      <c r="W82" s="15" t="str">
        <f t="shared" si="9"/>
        <v/>
      </c>
      <c r="X82" s="15" t="str">
        <f t="shared" si="9"/>
        <v/>
      </c>
      <c r="Y82" s="15" t="str">
        <f t="shared" si="9"/>
        <v/>
      </c>
    </row>
    <row r="83" spans="1:25" ht="12.75" customHeight="1" x14ac:dyDescent="0.2">
      <c r="A83" s="23" t="s">
        <v>77</v>
      </c>
      <c r="B83" s="2" t="str">
        <f>A83&amp;COUNTIF($A$2:$A83,A83)</f>
        <v>Human3</v>
      </c>
      <c r="C83" s="2" t="s">
        <v>242</v>
      </c>
      <c r="D83" s="2" t="str">
        <f t="shared" si="0"/>
        <v>HumanCatcher</v>
      </c>
      <c r="E83" s="2">
        <v>8</v>
      </c>
      <c r="F83" s="2">
        <v>2</v>
      </c>
      <c r="G83" s="2">
        <v>3</v>
      </c>
      <c r="H83" s="2">
        <v>5</v>
      </c>
      <c r="I83" s="2">
        <v>8</v>
      </c>
      <c r="J83" s="2" t="str">
        <f>IF('Pack Vieja Gloria'!$J$24="Español",V83,(IF('Pack Vieja Gloria'!$J$24="Deutsch",W83,(IF('Pack Vieja Gloria'!$J$24="Français",X83,U83)))))</f>
        <v>Atrapar, Esquivar</v>
      </c>
      <c r="K83" s="1">
        <v>65000</v>
      </c>
      <c r="L83" s="1">
        <f t="shared" si="1"/>
        <v>65</v>
      </c>
      <c r="M83" s="2">
        <v>4</v>
      </c>
      <c r="N83" s="2">
        <v>0</v>
      </c>
      <c r="O83" s="1" t="s">
        <v>170</v>
      </c>
      <c r="P83" s="1" t="s">
        <v>170</v>
      </c>
      <c r="Q83" s="1" t="s">
        <v>169</v>
      </c>
      <c r="R83" s="1" t="s">
        <v>169</v>
      </c>
      <c r="S83" s="1">
        <v>0</v>
      </c>
      <c r="T83" s="15" t="str">
        <f t="shared" si="7"/>
        <v>M</v>
      </c>
      <c r="U83" s="15" t="s">
        <v>426</v>
      </c>
      <c r="V83" s="15" t="s">
        <v>427</v>
      </c>
      <c r="W83" s="15" t="s">
        <v>428</v>
      </c>
      <c r="X83" s="15" t="s">
        <v>429</v>
      </c>
      <c r="Y83" s="15"/>
    </row>
    <row r="84" spans="1:25" ht="12.75" customHeight="1" x14ac:dyDescent="0.2">
      <c r="A84" s="23" t="s">
        <v>77</v>
      </c>
      <c r="B84" s="2" t="str">
        <f>A84&amp;COUNTIF($A$2:$A84,A84)</f>
        <v>Human4</v>
      </c>
      <c r="C84" s="2" t="s">
        <v>241</v>
      </c>
      <c r="D84" s="2" t="str">
        <f t="shared" si="0"/>
        <v>HumanThrower</v>
      </c>
      <c r="E84" s="2">
        <v>6</v>
      </c>
      <c r="F84" s="2">
        <v>3</v>
      </c>
      <c r="G84" s="2">
        <v>3</v>
      </c>
      <c r="H84" s="2">
        <v>2</v>
      </c>
      <c r="I84" s="2">
        <v>9</v>
      </c>
      <c r="J84" s="2" t="str">
        <f>IF('Pack Vieja Gloria'!$J$24="Español",V84,(IF('Pack Vieja Gloria'!$J$24="Deutsch",W84,(IF('Pack Vieja Gloria'!$J$24="Français",X84,U84)))))</f>
        <v>Pasar, Manos seguras</v>
      </c>
      <c r="K84" s="1">
        <v>80000</v>
      </c>
      <c r="L84" s="1">
        <f t="shared" si="1"/>
        <v>80</v>
      </c>
      <c r="M84" s="2">
        <v>2</v>
      </c>
      <c r="N84" s="2">
        <v>0</v>
      </c>
      <c r="O84" s="1" t="s">
        <v>170</v>
      </c>
      <c r="P84" s="1" t="s">
        <v>169</v>
      </c>
      <c r="Q84" s="1" t="s">
        <v>169</v>
      </c>
      <c r="R84" s="1" t="s">
        <v>170</v>
      </c>
      <c r="S84" s="1">
        <v>0</v>
      </c>
      <c r="T84" s="15" t="str">
        <f t="shared" si="7"/>
        <v>M</v>
      </c>
      <c r="U84" s="15" t="s">
        <v>430</v>
      </c>
      <c r="V84" s="15" t="s">
        <v>431</v>
      </c>
      <c r="W84" s="15" t="s">
        <v>432</v>
      </c>
      <c r="X84" s="15" t="s">
        <v>433</v>
      </c>
      <c r="Y84" s="15"/>
    </row>
    <row r="85" spans="1:25" ht="12.75" customHeight="1" x14ac:dyDescent="0.2">
      <c r="A85" s="23" t="s">
        <v>77</v>
      </c>
      <c r="B85" s="2" t="str">
        <f>A85&amp;COUNTIF($A$2:$A85,A85)</f>
        <v>Human5</v>
      </c>
      <c r="C85" s="2" t="s">
        <v>243</v>
      </c>
      <c r="D85" s="2" t="str">
        <f t="shared" si="0"/>
        <v>HumanBlitzer</v>
      </c>
      <c r="E85" s="2">
        <v>7</v>
      </c>
      <c r="F85" s="2">
        <v>3</v>
      </c>
      <c r="G85" s="2">
        <v>3</v>
      </c>
      <c r="H85" s="2">
        <v>4</v>
      </c>
      <c r="I85" s="2">
        <v>9</v>
      </c>
      <c r="J85" s="2" t="str">
        <f>IF('Pack Vieja Gloria'!$J$24="Español",V85,(IF('Pack Vieja Gloria'!$J$24="Deutsch",W85,(IF('Pack Vieja Gloria'!$J$24="Français",X85,U85)))))</f>
        <v>Placar</v>
      </c>
      <c r="K85" s="1">
        <v>85000</v>
      </c>
      <c r="L85" s="1">
        <f t="shared" si="1"/>
        <v>85</v>
      </c>
      <c r="M85" s="2">
        <v>4</v>
      </c>
      <c r="N85" s="2">
        <v>0</v>
      </c>
      <c r="O85" s="1" t="s">
        <v>170</v>
      </c>
      <c r="P85" s="1" t="s">
        <v>169</v>
      </c>
      <c r="Q85" s="1" t="s">
        <v>170</v>
      </c>
      <c r="R85" s="1" t="s">
        <v>169</v>
      </c>
      <c r="S85" s="1">
        <v>0</v>
      </c>
      <c r="T85" s="15" t="str">
        <f t="shared" si="7"/>
        <v>M</v>
      </c>
      <c r="U85" s="15" t="s">
        <v>330</v>
      </c>
      <c r="V85" s="15" t="s">
        <v>331</v>
      </c>
      <c r="W85" s="15" t="s">
        <v>330</v>
      </c>
      <c r="X85" s="15" t="s">
        <v>332</v>
      </c>
      <c r="Y85" s="15"/>
    </row>
    <row r="86" spans="1:25" ht="12.75" customHeight="1" x14ac:dyDescent="0.2">
      <c r="A86" s="23" t="s">
        <v>77</v>
      </c>
      <c r="B86" s="2" t="str">
        <f>A86&amp;COUNTIF($A$2:$A86,A86)</f>
        <v>Human6</v>
      </c>
      <c r="C86" s="2" t="s">
        <v>403</v>
      </c>
      <c r="D86" s="2" t="str">
        <f t="shared" si="0"/>
        <v>HumanHalfling Hopeful</v>
      </c>
      <c r="E86" s="2">
        <v>5</v>
      </c>
      <c r="F86" s="2">
        <v>2</v>
      </c>
      <c r="G86" s="2">
        <v>3</v>
      </c>
      <c r="H86" s="2">
        <v>4</v>
      </c>
      <c r="I86" s="13">
        <v>7</v>
      </c>
      <c r="J86" s="2" t="str">
        <f>IF('Pack Vieja Gloria'!$J$24="Español",V86,(IF('Pack Vieja Gloria'!$J$24="Deutsch",W86,(IF('Pack Vieja Gloria'!$J$24="Français",X86,U86)))))</f>
        <v>Esquivar, Humanoide bala, Escurridizo</v>
      </c>
      <c r="K86" s="1">
        <v>30000</v>
      </c>
      <c r="L86" s="1">
        <f t="shared" si="1"/>
        <v>30</v>
      </c>
      <c r="M86" s="2">
        <v>3</v>
      </c>
      <c r="N86" s="2">
        <v>0</v>
      </c>
      <c r="O86" s="1" t="s">
        <v>169</v>
      </c>
      <c r="P86" s="1" t="s">
        <v>170</v>
      </c>
      <c r="Q86" s="1" t="s">
        <v>169</v>
      </c>
      <c r="R86" s="1">
        <v>0</v>
      </c>
      <c r="S86" s="1">
        <v>0</v>
      </c>
      <c r="T86" s="15" t="str">
        <f t="shared" si="7"/>
        <v>PM</v>
      </c>
      <c r="U86" s="15" t="s">
        <v>368</v>
      </c>
      <c r="V86" s="15" t="s">
        <v>369</v>
      </c>
      <c r="W86" s="15" t="s">
        <v>370</v>
      </c>
      <c r="X86" s="15" t="s">
        <v>371</v>
      </c>
      <c r="Y86" s="15"/>
    </row>
    <row r="87" spans="1:25" ht="12.75" customHeight="1" x14ac:dyDescent="0.2">
      <c r="A87" s="23" t="s">
        <v>77</v>
      </c>
      <c r="B87" s="2" t="str">
        <f>A87&amp;COUNTIF($A$2:$A87,A87)</f>
        <v>Human7</v>
      </c>
      <c r="C87" s="2" t="s">
        <v>110</v>
      </c>
      <c r="D87" s="2" t="str">
        <f t="shared" si="0"/>
        <v>HumanOgre</v>
      </c>
      <c r="E87" s="2">
        <v>5</v>
      </c>
      <c r="F87" s="2">
        <v>5</v>
      </c>
      <c r="G87" s="2">
        <v>4</v>
      </c>
      <c r="H87" s="2">
        <v>5</v>
      </c>
      <c r="I87" s="2">
        <v>10</v>
      </c>
      <c r="J87" s="2" t="str">
        <f>IF('Pack Vieja Gloria'!$J$24="Español",V87,(IF('Pack Vieja Gloria'!$J$24="Deutsch",W87,(IF('Pack Vieja Gloria'!$J$24="Français",X87,U87)))))</f>
        <v>Estúpido, Solitario (4+), Golpe mortífero (+1), Cabeza dura, Lanzar Compañero</v>
      </c>
      <c r="K87" s="1">
        <v>140000</v>
      </c>
      <c r="L87" s="1">
        <f t="shared" si="1"/>
        <v>140</v>
      </c>
      <c r="M87" s="2">
        <v>1</v>
      </c>
      <c r="N87" s="2">
        <v>1</v>
      </c>
      <c r="O87" s="1" t="s">
        <v>169</v>
      </c>
      <c r="P87" s="1" t="s">
        <v>169</v>
      </c>
      <c r="Q87" s="1" t="s">
        <v>170</v>
      </c>
      <c r="R87" s="1">
        <v>0</v>
      </c>
      <c r="S87" s="1">
        <v>0</v>
      </c>
      <c r="T87" s="15" t="str">
        <f t="shared" si="7"/>
        <v>PM</v>
      </c>
      <c r="U87" s="15" t="s">
        <v>270</v>
      </c>
      <c r="V87" s="15" t="s">
        <v>271</v>
      </c>
      <c r="W87" s="15" t="s">
        <v>272</v>
      </c>
      <c r="X87" s="15" t="s">
        <v>273</v>
      </c>
      <c r="Y87" s="15"/>
    </row>
    <row r="88" spans="1:25" ht="12.75" customHeight="1" x14ac:dyDescent="0.2">
      <c r="A88" s="23" t="s">
        <v>82</v>
      </c>
      <c r="B88" s="2" t="str">
        <f>A88&amp;COUNTIF($A$2:$A88,A88)</f>
        <v>Imperial Nobility1</v>
      </c>
      <c r="C88" s="2" t="str">
        <f>""</f>
        <v/>
      </c>
      <c r="D88" s="2" t="str">
        <f t="shared" si="0"/>
        <v>Imperial Nobility</v>
      </c>
      <c r="E88" s="2">
        <v>0</v>
      </c>
      <c r="F88" s="2">
        <v>0</v>
      </c>
      <c r="G88" s="2">
        <v>0</v>
      </c>
      <c r="H88" s="2">
        <v>0</v>
      </c>
      <c r="I88" s="2">
        <v>0</v>
      </c>
      <c r="J88" s="2">
        <f>IF('Pack Vieja Gloria'!$J$24="Español",V88,(IF('Pack Vieja Gloria'!$J$24="Deutsch",W88,(IF('Pack Vieja Gloria'!$J$24="Français",X88,U88)))))</f>
        <v>0</v>
      </c>
      <c r="K88" s="1">
        <v>0</v>
      </c>
      <c r="L88" s="1">
        <f t="shared" si="1"/>
        <v>0</v>
      </c>
      <c r="M88" s="1">
        <v>0</v>
      </c>
      <c r="N88" s="1">
        <v>0</v>
      </c>
      <c r="O88" s="1"/>
      <c r="P88" s="1"/>
      <c r="Q88" s="1"/>
      <c r="R88" s="1"/>
      <c r="S88" s="1"/>
      <c r="T88" s="15" t="str">
        <f t="shared" si="7"/>
        <v/>
      </c>
      <c r="U88" s="15">
        <v>0</v>
      </c>
      <c r="V88" s="15">
        <v>0</v>
      </c>
      <c r="W88" s="15">
        <v>0</v>
      </c>
      <c r="X88" s="15">
        <v>0</v>
      </c>
      <c r="Y88" s="15">
        <v>0</v>
      </c>
    </row>
    <row r="89" spans="1:25" ht="12.75" customHeight="1" x14ac:dyDescent="0.2">
      <c r="A89" s="23" t="s">
        <v>82</v>
      </c>
      <c r="B89" s="2" t="str">
        <f>A89&amp;COUNTIF($A$2:$A89,A89)</f>
        <v>Imperial Nobility2</v>
      </c>
      <c r="C89" s="2" t="s">
        <v>319</v>
      </c>
      <c r="D89" s="2" t="str">
        <f t="shared" si="0"/>
        <v>Imperial NobilityLineman</v>
      </c>
      <c r="E89" s="2">
        <v>6</v>
      </c>
      <c r="F89" s="2">
        <v>3</v>
      </c>
      <c r="G89" s="2">
        <v>4</v>
      </c>
      <c r="H89" s="2">
        <v>4</v>
      </c>
      <c r="I89" s="2">
        <v>8</v>
      </c>
      <c r="J89" s="2" t="str">
        <f>IF('Pack Vieja Gloria'!$J$24="Español",V89,(IF('Pack Vieja Gloria'!$J$24="Deutsch",W89,(IF('Pack Vieja Gloria'!$J$24="Français",X89,U89)))))</f>
        <v>Zafarse</v>
      </c>
      <c r="K89" s="1">
        <v>45000</v>
      </c>
      <c r="L89" s="1">
        <f t="shared" si="1"/>
        <v>45</v>
      </c>
      <c r="M89" s="2">
        <v>16</v>
      </c>
      <c r="N89" s="2">
        <v>0</v>
      </c>
      <c r="O89" s="1" t="s">
        <v>170</v>
      </c>
      <c r="P89" s="1" t="s">
        <v>169</v>
      </c>
      <c r="Q89" s="1" t="s">
        <v>169</v>
      </c>
      <c r="R89" s="1">
        <v>0</v>
      </c>
      <c r="S89" s="2">
        <v>0</v>
      </c>
      <c r="T89" s="15" t="str">
        <f t="shared" si="7"/>
        <v>PM</v>
      </c>
      <c r="U89" s="15" t="s">
        <v>434</v>
      </c>
      <c r="V89" s="15" t="s">
        <v>435</v>
      </c>
      <c r="W89" s="15" t="s">
        <v>436</v>
      </c>
      <c r="X89" s="15" t="s">
        <v>437</v>
      </c>
      <c r="Y89" s="15"/>
    </row>
    <row r="90" spans="1:25" ht="12.75" customHeight="1" x14ac:dyDescent="0.2">
      <c r="A90" s="23" t="s">
        <v>82</v>
      </c>
      <c r="B90" s="2" t="str">
        <f>A90&amp;COUNTIF($A$2:$A90,A90)</f>
        <v>Imperial Nobility3</v>
      </c>
      <c r="C90" s="2" t="s">
        <v>241</v>
      </c>
      <c r="D90" s="2" t="str">
        <f t="shared" si="0"/>
        <v>Imperial NobilityThrower</v>
      </c>
      <c r="E90" s="2">
        <v>6</v>
      </c>
      <c r="F90" s="2">
        <v>3</v>
      </c>
      <c r="G90" s="2">
        <v>3</v>
      </c>
      <c r="H90" s="2">
        <v>3</v>
      </c>
      <c r="I90" s="2">
        <v>9</v>
      </c>
      <c r="J90" s="2" t="str">
        <f>IF('Pack Vieja Gloria'!$J$24="Español",V90,(IF('Pack Vieja Gloria'!$J$24="Deutsch",W90,(IF('Pack Vieja Gloria'!$J$24="Français",X90,U90)))))</f>
        <v>Pasar, Pase a la carrera</v>
      </c>
      <c r="K90" s="1">
        <v>75000</v>
      </c>
      <c r="L90" s="1">
        <f t="shared" si="1"/>
        <v>75</v>
      </c>
      <c r="M90" s="2">
        <v>2</v>
      </c>
      <c r="N90" s="2">
        <v>0</v>
      </c>
      <c r="O90" s="1" t="s">
        <v>170</v>
      </c>
      <c r="P90" s="1" t="s">
        <v>169</v>
      </c>
      <c r="Q90" s="1" t="s">
        <v>169</v>
      </c>
      <c r="R90" s="1" t="s">
        <v>170</v>
      </c>
      <c r="S90" s="2">
        <v>0</v>
      </c>
      <c r="T90" s="15" t="str">
        <f t="shared" si="7"/>
        <v>M</v>
      </c>
      <c r="U90" s="15" t="s">
        <v>438</v>
      </c>
      <c r="V90" s="15" t="s">
        <v>439</v>
      </c>
      <c r="W90" s="15" t="s">
        <v>440</v>
      </c>
      <c r="X90" s="15" t="s">
        <v>441</v>
      </c>
      <c r="Y90" s="15"/>
    </row>
    <row r="91" spans="1:25" ht="12.75" customHeight="1" x14ac:dyDescent="0.2">
      <c r="A91" s="23" t="s">
        <v>82</v>
      </c>
      <c r="B91" s="2" t="str">
        <f>A91&amp;COUNTIF($A$2:$A91,A91)</f>
        <v>Imperial Nobility4</v>
      </c>
      <c r="C91" s="2" t="s">
        <v>243</v>
      </c>
      <c r="D91" s="2" t="str">
        <f t="shared" si="0"/>
        <v>Imperial NobilityBlitzer</v>
      </c>
      <c r="E91" s="2">
        <v>7</v>
      </c>
      <c r="F91" s="2">
        <v>3</v>
      </c>
      <c r="G91" s="2">
        <v>3</v>
      </c>
      <c r="H91" s="2">
        <v>4</v>
      </c>
      <c r="I91" s="2">
        <v>9</v>
      </c>
      <c r="J91" s="2" t="str">
        <f>IF('Pack Vieja Gloria'!$J$24="Español",V91,(IF('Pack Vieja Gloria'!$J$24="Deutsch",W91,(IF('Pack Vieja Gloria'!$J$24="Français",X91,U91)))))</f>
        <v>Placar, Atrapar</v>
      </c>
      <c r="K91" s="1">
        <v>105000</v>
      </c>
      <c r="L91" s="1">
        <f t="shared" si="1"/>
        <v>105</v>
      </c>
      <c r="M91" s="2">
        <v>2</v>
      </c>
      <c r="N91" s="2">
        <v>0</v>
      </c>
      <c r="O91" s="1" t="s">
        <v>170</v>
      </c>
      <c r="P91" s="1" t="s">
        <v>170</v>
      </c>
      <c r="Q91" s="1" t="s">
        <v>169</v>
      </c>
      <c r="R91" s="1" t="s">
        <v>169</v>
      </c>
      <c r="S91" s="2">
        <v>0</v>
      </c>
      <c r="T91" s="15" t="str">
        <f t="shared" si="7"/>
        <v>M</v>
      </c>
      <c r="U91" s="15" t="s">
        <v>442</v>
      </c>
      <c r="V91" s="15" t="s">
        <v>443</v>
      </c>
      <c r="W91" s="15" t="s">
        <v>444</v>
      </c>
      <c r="X91" s="15" t="s">
        <v>445</v>
      </c>
      <c r="Y91" s="15"/>
    </row>
    <row r="92" spans="1:25" ht="12.75" customHeight="1" x14ac:dyDescent="0.2">
      <c r="A92" s="23" t="s">
        <v>82</v>
      </c>
      <c r="B92" s="2" t="str">
        <f>A92&amp;COUNTIF($A$2:$A92,A92)</f>
        <v>Imperial Nobility5</v>
      </c>
      <c r="C92" s="2" t="s">
        <v>446</v>
      </c>
      <c r="D92" s="2" t="str">
        <f t="shared" si="0"/>
        <v>Imperial NobilityBodyguard</v>
      </c>
      <c r="E92" s="2">
        <v>6</v>
      </c>
      <c r="F92" s="2">
        <v>3</v>
      </c>
      <c r="G92" s="2">
        <v>3</v>
      </c>
      <c r="H92" s="2">
        <v>5</v>
      </c>
      <c r="I92" s="2">
        <v>9</v>
      </c>
      <c r="J92" s="2" t="str">
        <f>IF('Pack Vieja Gloria'!$J$24="Español",V92,(IF('Pack Vieja Gloria'!$J$24="Deutsch",W92,(IF('Pack Vieja Gloria'!$J$24="Français",X92,U92)))))</f>
        <v>Mantenerse firme, Forcejear</v>
      </c>
      <c r="K92" s="1">
        <v>90000</v>
      </c>
      <c r="L92" s="1">
        <f t="shared" si="1"/>
        <v>90</v>
      </c>
      <c r="M92" s="2">
        <v>4</v>
      </c>
      <c r="N92" s="2">
        <v>0</v>
      </c>
      <c r="O92" s="1" t="s">
        <v>170</v>
      </c>
      <c r="P92" s="1" t="s">
        <v>169</v>
      </c>
      <c r="Q92" s="1" t="s">
        <v>170</v>
      </c>
      <c r="R92" s="1">
        <v>0</v>
      </c>
      <c r="S92" s="2">
        <v>0</v>
      </c>
      <c r="T92" s="15" t="str">
        <f t="shared" si="7"/>
        <v>PM</v>
      </c>
      <c r="U92" s="15" t="s">
        <v>447</v>
      </c>
      <c r="V92" s="15" t="s">
        <v>448</v>
      </c>
      <c r="W92" s="15" t="s">
        <v>449</v>
      </c>
      <c r="X92" s="15" t="s">
        <v>450</v>
      </c>
      <c r="Y92" s="15"/>
    </row>
    <row r="93" spans="1:25" ht="12.75" customHeight="1" x14ac:dyDescent="0.2">
      <c r="A93" s="23" t="s">
        <v>82</v>
      </c>
      <c r="B93" s="2" t="str">
        <f>A93&amp;COUNTIF($A$2:$A93,A93)</f>
        <v>Imperial Nobility6</v>
      </c>
      <c r="C93" s="2" t="s">
        <v>110</v>
      </c>
      <c r="D93" s="2" t="str">
        <f t="shared" si="0"/>
        <v>Imperial NobilityOgre</v>
      </c>
      <c r="E93" s="2">
        <v>5</v>
      </c>
      <c r="F93" s="2">
        <v>5</v>
      </c>
      <c r="G93" s="2">
        <v>4</v>
      </c>
      <c r="H93" s="2">
        <v>5</v>
      </c>
      <c r="I93" s="2">
        <v>10</v>
      </c>
      <c r="J93" s="2" t="str">
        <f>IF('Pack Vieja Gloria'!$J$24="Español",V93,(IF('Pack Vieja Gloria'!$J$24="Deutsch",W93,(IF('Pack Vieja Gloria'!$J$24="Français",X93,U93)))))</f>
        <v>Estúpido, Solitario (4+), Golpe mortífero (+1), Cabeza dura, Lanzar Compañero</v>
      </c>
      <c r="K93" s="1">
        <v>140000</v>
      </c>
      <c r="L93" s="1">
        <f t="shared" si="1"/>
        <v>140</v>
      </c>
      <c r="M93" s="2">
        <v>1</v>
      </c>
      <c r="N93" s="2">
        <v>1</v>
      </c>
      <c r="O93" s="1" t="s">
        <v>169</v>
      </c>
      <c r="P93" s="1" t="s">
        <v>169</v>
      </c>
      <c r="Q93" s="1" t="s">
        <v>170</v>
      </c>
      <c r="R93" s="1">
        <v>0</v>
      </c>
      <c r="S93" s="2">
        <v>0</v>
      </c>
      <c r="T93" s="15" t="str">
        <f t="shared" si="7"/>
        <v>PM</v>
      </c>
      <c r="U93" s="15" t="s">
        <v>270</v>
      </c>
      <c r="V93" s="15" t="s">
        <v>271</v>
      </c>
      <c r="W93" s="15" t="s">
        <v>272</v>
      </c>
      <c r="X93" s="15" t="s">
        <v>273</v>
      </c>
      <c r="Y93" s="15"/>
    </row>
    <row r="94" spans="1:25" ht="12.75" customHeight="1" x14ac:dyDescent="0.2">
      <c r="A94" s="23" t="s">
        <v>87</v>
      </c>
      <c r="B94" s="9" t="str">
        <f>A94&amp;COUNTIF($A$2:$A94,A94)</f>
        <v>Khorne1</v>
      </c>
      <c r="C94" s="9"/>
      <c r="D94" s="9" t="str">
        <f t="shared" si="0"/>
        <v>Khorne</v>
      </c>
      <c r="E94" s="9">
        <v>0</v>
      </c>
      <c r="F94" s="9">
        <v>0</v>
      </c>
      <c r="G94" s="9">
        <v>0</v>
      </c>
      <c r="H94" s="9">
        <v>0</v>
      </c>
      <c r="I94" s="9">
        <v>0</v>
      </c>
      <c r="J94" s="2">
        <f>IF('Pack Vieja Gloria'!$J$24="Español",V94,(IF('Pack Vieja Gloria'!$J$24="Deutsch",W94,(IF('Pack Vieja Gloria'!$J$24="Français",X94,U94)))))</f>
        <v>0</v>
      </c>
      <c r="K94" s="16">
        <v>0</v>
      </c>
      <c r="L94" s="1">
        <f t="shared" ref="L94:L150" si="10">K94/1000</f>
        <v>0</v>
      </c>
      <c r="M94" s="16">
        <v>0</v>
      </c>
      <c r="N94" s="16">
        <v>0</v>
      </c>
      <c r="O94" s="17"/>
      <c r="P94" s="17"/>
      <c r="Q94" s="17"/>
      <c r="R94" s="17"/>
      <c r="S94" s="17"/>
      <c r="T94" s="15" t="str">
        <f t="shared" si="7"/>
        <v/>
      </c>
      <c r="U94" s="15"/>
      <c r="V94" s="15"/>
      <c r="W94" s="15"/>
      <c r="X94" s="15"/>
      <c r="Y94" s="8"/>
    </row>
    <row r="95" spans="1:25" ht="12.75" customHeight="1" x14ac:dyDescent="0.2">
      <c r="A95" s="23" t="s">
        <v>87</v>
      </c>
      <c r="B95" s="9" t="str">
        <f>A95&amp;COUNTIF($A$2:$A95,A95)</f>
        <v>Khorne2</v>
      </c>
      <c r="C95" s="9" t="s">
        <v>451</v>
      </c>
      <c r="D95" s="9" t="str">
        <f t="shared" si="0"/>
        <v>KhorneBloodborn Marauder Lineman</v>
      </c>
      <c r="E95" s="9">
        <v>6</v>
      </c>
      <c r="F95" s="9">
        <v>3</v>
      </c>
      <c r="G95" s="9">
        <v>3</v>
      </c>
      <c r="H95" s="9">
        <v>4</v>
      </c>
      <c r="I95" s="9">
        <v>8</v>
      </c>
      <c r="J95" s="2" t="str">
        <f>IF('Pack Vieja Gloria'!$J$24="Español",V95,(IF('Pack Vieja Gloria'!$J$24="Deutsch",W95,(IF('Pack Vieja Gloria'!$J$24="Français",X95,U95)))))</f>
        <v>Furia</v>
      </c>
      <c r="K95" s="16">
        <v>50000</v>
      </c>
      <c r="L95" s="1">
        <f t="shared" si="10"/>
        <v>50</v>
      </c>
      <c r="M95" s="16">
        <v>16</v>
      </c>
      <c r="N95" s="16">
        <v>0</v>
      </c>
      <c r="O95" s="16" t="s">
        <v>170</v>
      </c>
      <c r="P95" s="16" t="s">
        <v>169</v>
      </c>
      <c r="Q95" s="16" t="s">
        <v>169</v>
      </c>
      <c r="R95" s="16">
        <v>0</v>
      </c>
      <c r="S95" s="16" t="s">
        <v>170</v>
      </c>
      <c r="T95" s="15" t="str">
        <f t="shared" si="7"/>
        <v>P</v>
      </c>
      <c r="U95" s="15" t="s">
        <v>315</v>
      </c>
      <c r="V95" s="15" t="s">
        <v>316</v>
      </c>
      <c r="W95" s="15" t="s">
        <v>317</v>
      </c>
      <c r="X95" s="15" t="s">
        <v>318</v>
      </c>
      <c r="Y95" s="8"/>
    </row>
    <row r="96" spans="1:25" ht="12.75" customHeight="1" x14ac:dyDescent="0.2">
      <c r="A96" s="23" t="s">
        <v>87</v>
      </c>
      <c r="B96" s="9" t="str">
        <f>A96&amp;COUNTIF($A$2:$A96,A96)</f>
        <v>Khorne3</v>
      </c>
      <c r="C96" s="9" t="s">
        <v>452</v>
      </c>
      <c r="D96" s="9" t="str">
        <f t="shared" si="0"/>
        <v>KhorneKhorngors</v>
      </c>
      <c r="E96" s="9">
        <v>6</v>
      </c>
      <c r="F96" s="9">
        <v>3</v>
      </c>
      <c r="G96" s="9">
        <v>3</v>
      </c>
      <c r="H96" s="9">
        <v>4</v>
      </c>
      <c r="I96" s="9">
        <v>9</v>
      </c>
      <c r="J96" s="2" t="str">
        <f>IF('Pack Vieja Gloria'!$J$24="Español",V96,(IF('Pack Vieja Gloria'!$J$24="Deutsch",W96,(IF('Pack Vieja Gloria'!$J$24="Français",X96,U96)))))</f>
        <v>Cuernos, Imparable</v>
      </c>
      <c r="K96" s="16">
        <v>70000</v>
      </c>
      <c r="L96" s="1">
        <f t="shared" si="10"/>
        <v>70</v>
      </c>
      <c r="M96" s="16">
        <v>4</v>
      </c>
      <c r="N96" s="16">
        <v>0</v>
      </c>
      <c r="O96" s="16" t="s">
        <v>170</v>
      </c>
      <c r="P96" s="16" t="s">
        <v>169</v>
      </c>
      <c r="Q96" s="16" t="s">
        <v>170</v>
      </c>
      <c r="R96" s="16" t="s">
        <v>169</v>
      </c>
      <c r="S96" s="16" t="s">
        <v>170</v>
      </c>
      <c r="T96" s="15" t="str">
        <f t="shared" si="7"/>
        <v>FULL</v>
      </c>
      <c r="U96" s="15" t="s">
        <v>453</v>
      </c>
      <c r="V96" s="15" t="s">
        <v>454</v>
      </c>
      <c r="W96" s="15" t="s">
        <v>455</v>
      </c>
      <c r="X96" s="15" t="s">
        <v>456</v>
      </c>
      <c r="Y96" s="8"/>
    </row>
    <row r="97" spans="1:25" ht="12.75" customHeight="1" x14ac:dyDescent="0.2">
      <c r="A97" s="23" t="s">
        <v>87</v>
      </c>
      <c r="B97" s="9" t="str">
        <f>A97&amp;COUNTIF($A$2:$A97,A97)</f>
        <v>Khorne4</v>
      </c>
      <c r="C97" s="9" t="s">
        <v>457</v>
      </c>
      <c r="D97" s="9" t="str">
        <f t="shared" si="0"/>
        <v>KhorneBloodseekers</v>
      </c>
      <c r="E97" s="9">
        <v>5</v>
      </c>
      <c r="F97" s="9">
        <v>4</v>
      </c>
      <c r="G97" s="9">
        <v>4</v>
      </c>
      <c r="H97" s="9">
        <v>6</v>
      </c>
      <c r="I97" s="9">
        <v>10</v>
      </c>
      <c r="J97" s="2" t="str">
        <f>IF('Pack Vieja Gloria'!$J$24="Español",V97,(IF('Pack Vieja Gloria'!$J$24="Deutsch",W97,(IF('Pack Vieja Gloria'!$J$24="Français",X97,U97)))))</f>
        <v>Furia</v>
      </c>
      <c r="K97" s="16">
        <v>110000</v>
      </c>
      <c r="L97" s="1">
        <f t="shared" si="10"/>
        <v>110</v>
      </c>
      <c r="M97" s="16">
        <v>4</v>
      </c>
      <c r="N97" s="16">
        <v>0</v>
      </c>
      <c r="O97" s="16" t="s">
        <v>170</v>
      </c>
      <c r="P97" s="16" t="s">
        <v>169</v>
      </c>
      <c r="Q97" s="16" t="s">
        <v>170</v>
      </c>
      <c r="R97" s="16">
        <v>0</v>
      </c>
      <c r="S97" s="16" t="s">
        <v>170</v>
      </c>
      <c r="T97" s="15" t="str">
        <f t="shared" si="7"/>
        <v>P</v>
      </c>
      <c r="U97" s="15" t="s">
        <v>315</v>
      </c>
      <c r="V97" s="15" t="s">
        <v>316</v>
      </c>
      <c r="W97" s="15" t="s">
        <v>317</v>
      </c>
      <c r="X97" s="15" t="s">
        <v>318</v>
      </c>
      <c r="Y97" s="8"/>
    </row>
    <row r="98" spans="1:25" ht="12.75" customHeight="1" x14ac:dyDescent="0.2">
      <c r="A98" s="23" t="s">
        <v>87</v>
      </c>
      <c r="B98" s="9" t="str">
        <f>A98&amp;COUNTIF($A$2:$A98,A98)</f>
        <v>Khorne5</v>
      </c>
      <c r="C98" s="9" t="s">
        <v>458</v>
      </c>
      <c r="D98" s="9" t="str">
        <f t="shared" si="0"/>
        <v>KhorneBloodspawn</v>
      </c>
      <c r="E98" s="9">
        <v>5</v>
      </c>
      <c r="F98" s="9">
        <v>5</v>
      </c>
      <c r="G98" s="9">
        <v>4</v>
      </c>
      <c r="H98" s="9">
        <v>0</v>
      </c>
      <c r="I98" s="9">
        <v>9</v>
      </c>
      <c r="J98" s="2" t="str">
        <f>IF('Pack Vieja Gloria'!$J$24="Español",V98,(IF('Pack Vieja Gloria'!$J$24="Deutsch",W98,(IF('Pack Vieja Gloria'!$J$24="Français",X98,U98)))))</f>
        <v>Garras, Furia, Solitario (4+), Golpe Mortífero (+1), Ira descontrolada</v>
      </c>
      <c r="K98" s="16">
        <v>160000</v>
      </c>
      <c r="L98" s="1">
        <f t="shared" si="10"/>
        <v>160</v>
      </c>
      <c r="M98" s="16">
        <v>1</v>
      </c>
      <c r="N98" s="16">
        <v>1</v>
      </c>
      <c r="O98" s="16" t="s">
        <v>169</v>
      </c>
      <c r="P98" s="16" t="s">
        <v>169</v>
      </c>
      <c r="Q98" s="16" t="s">
        <v>170</v>
      </c>
      <c r="R98" s="16">
        <v>0</v>
      </c>
      <c r="S98" s="16" t="s">
        <v>170</v>
      </c>
      <c r="T98" s="15" t="str">
        <f t="shared" si="7"/>
        <v>P</v>
      </c>
      <c r="U98" s="15" t="s">
        <v>459</v>
      </c>
      <c r="V98" s="15" t="s">
        <v>460</v>
      </c>
      <c r="W98" s="15" t="s">
        <v>461</v>
      </c>
      <c r="X98" s="15" t="s">
        <v>462</v>
      </c>
      <c r="Y98" s="8"/>
    </row>
    <row r="99" spans="1:25" ht="12.75" customHeight="1" x14ac:dyDescent="0.2">
      <c r="A99" s="23" t="s">
        <v>92</v>
      </c>
      <c r="B99" s="2" t="str">
        <f>A99&amp;COUNTIF($A$2:$A99,A99)</f>
        <v>Lizardman1</v>
      </c>
      <c r="C99" s="2" t="str">
        <f>""</f>
        <v/>
      </c>
      <c r="D99" s="2" t="str">
        <f t="shared" si="0"/>
        <v>Lizardman</v>
      </c>
      <c r="E99" s="2">
        <v>0</v>
      </c>
      <c r="F99" s="2">
        <v>0</v>
      </c>
      <c r="G99" s="2">
        <v>0</v>
      </c>
      <c r="H99" s="2">
        <v>0</v>
      </c>
      <c r="I99" s="2">
        <v>0</v>
      </c>
      <c r="J99" s="2">
        <f>IF('Pack Vieja Gloria'!$J$24="Español",V99,(IF('Pack Vieja Gloria'!$J$24="Deutsch",W99,(IF('Pack Vieja Gloria'!$J$24="Français",X99,U99)))))</f>
        <v>0</v>
      </c>
      <c r="K99" s="1">
        <v>0</v>
      </c>
      <c r="L99" s="1">
        <f t="shared" si="10"/>
        <v>0</v>
      </c>
      <c r="M99" s="1">
        <v>0</v>
      </c>
      <c r="N99" s="1">
        <v>0</v>
      </c>
      <c r="O99" s="1"/>
      <c r="P99" s="1"/>
      <c r="Q99" s="1"/>
      <c r="R99" s="1"/>
      <c r="S99" s="1"/>
      <c r="T99" s="15" t="str">
        <f t="shared" si="7"/>
        <v/>
      </c>
      <c r="U99" s="15">
        <v>0</v>
      </c>
      <c r="V99" s="15">
        <v>0</v>
      </c>
      <c r="W99" s="15">
        <v>0</v>
      </c>
      <c r="X99" s="15">
        <v>0</v>
      </c>
      <c r="Y99" s="15">
        <v>0</v>
      </c>
    </row>
    <row r="100" spans="1:25" ht="12.75" customHeight="1" x14ac:dyDescent="0.2">
      <c r="A100" s="23" t="s">
        <v>92</v>
      </c>
      <c r="B100" s="2" t="str">
        <f>A100&amp;COUNTIF($A$2:$A100,A100)</f>
        <v>Lizardman2</v>
      </c>
      <c r="C100" s="2" t="s">
        <v>463</v>
      </c>
      <c r="D100" s="2" t="str">
        <f t="shared" si="0"/>
        <v>LizardmanSkink</v>
      </c>
      <c r="E100" s="2">
        <v>8</v>
      </c>
      <c r="F100" s="2">
        <v>2</v>
      </c>
      <c r="G100" s="2">
        <v>3</v>
      </c>
      <c r="H100" s="2">
        <v>4</v>
      </c>
      <c r="I100" s="2">
        <v>8</v>
      </c>
      <c r="J100" s="2" t="str">
        <f>IF('Pack Vieja Gloria'!$J$24="Español",V100,(IF('Pack Vieja Gloria'!$J$24="Deutsch",W100,(IF('Pack Vieja Gloria'!$J$24="Français",X100,U100)))))</f>
        <v>Esquivar, Escurridizo</v>
      </c>
      <c r="K100" s="1">
        <v>60000</v>
      </c>
      <c r="L100" s="1">
        <f t="shared" si="10"/>
        <v>60</v>
      </c>
      <c r="M100" s="1">
        <v>16</v>
      </c>
      <c r="N100" s="1">
        <v>0</v>
      </c>
      <c r="O100" s="1" t="s">
        <v>169</v>
      </c>
      <c r="P100" s="1" t="s">
        <v>170</v>
      </c>
      <c r="Q100" s="1" t="s">
        <v>169</v>
      </c>
      <c r="R100" s="1" t="s">
        <v>169</v>
      </c>
      <c r="S100" s="1">
        <v>0</v>
      </c>
      <c r="T100" s="15" t="str">
        <f t="shared" si="7"/>
        <v>M</v>
      </c>
      <c r="U100" s="15" t="s">
        <v>464</v>
      </c>
      <c r="V100" s="15" t="s">
        <v>465</v>
      </c>
      <c r="W100" s="15" t="s">
        <v>466</v>
      </c>
      <c r="X100" s="15" t="s">
        <v>467</v>
      </c>
      <c r="Y100" s="15"/>
    </row>
    <row r="101" spans="1:25" ht="12.75" customHeight="1" x14ac:dyDescent="0.2">
      <c r="A101" s="23" t="s">
        <v>92</v>
      </c>
      <c r="B101" s="2" t="str">
        <f>A101&amp;COUNTIF($A$2:$A101,A101)</f>
        <v>Lizardman3</v>
      </c>
      <c r="C101" s="2" t="s">
        <v>468</v>
      </c>
      <c r="D101" s="2" t="str">
        <f t="shared" si="0"/>
        <v>LizardmanChameleon Skink</v>
      </c>
      <c r="E101" s="2">
        <v>7</v>
      </c>
      <c r="F101" s="2">
        <v>2</v>
      </c>
      <c r="G101" s="2">
        <v>3</v>
      </c>
      <c r="H101" s="2">
        <v>3</v>
      </c>
      <c r="I101" s="2">
        <v>8</v>
      </c>
      <c r="J101" s="2" t="str">
        <f>IF('Pack Vieja Gloria'!$J$24="Español",V101,(IF('Pack Vieja Gloria'!$J$24="Deutsch",W101,(IF('Pack Vieja Gloria'!$J$24="Français",X101,U101)))))</f>
        <v>Esquivar, Atento al balón, Perseguir, Escurridizo</v>
      </c>
      <c r="K101" s="1">
        <v>70000</v>
      </c>
      <c r="L101" s="1">
        <f t="shared" si="10"/>
        <v>70</v>
      </c>
      <c r="M101" s="2">
        <v>2</v>
      </c>
      <c r="N101" s="2">
        <v>0</v>
      </c>
      <c r="O101" s="1" t="s">
        <v>169</v>
      </c>
      <c r="P101" s="1" t="s">
        <v>170</v>
      </c>
      <c r="Q101" s="1" t="s">
        <v>169</v>
      </c>
      <c r="R101" s="1" t="s">
        <v>169</v>
      </c>
      <c r="S101" s="1">
        <v>0</v>
      </c>
      <c r="T101" s="15" t="str">
        <f t="shared" si="7"/>
        <v>M</v>
      </c>
      <c r="U101" s="15" t="s">
        <v>469</v>
      </c>
      <c r="V101" s="15" t="s">
        <v>470</v>
      </c>
      <c r="W101" s="15" t="s">
        <v>471</v>
      </c>
      <c r="X101" s="15" t="s">
        <v>472</v>
      </c>
      <c r="Y101" s="15"/>
    </row>
    <row r="102" spans="1:25" ht="12.75" customHeight="1" x14ac:dyDescent="0.2">
      <c r="A102" s="23" t="s">
        <v>92</v>
      </c>
      <c r="B102" s="2" t="str">
        <f>A102&amp;COUNTIF($A$2:$A102,A102)</f>
        <v>Lizardman4</v>
      </c>
      <c r="C102" s="2" t="s">
        <v>473</v>
      </c>
      <c r="D102" s="2" t="str">
        <f t="shared" si="0"/>
        <v>LizardmanSaurus</v>
      </c>
      <c r="E102" s="2">
        <v>6</v>
      </c>
      <c r="F102" s="2">
        <v>4</v>
      </c>
      <c r="G102" s="2">
        <v>5</v>
      </c>
      <c r="H102" s="2">
        <v>6</v>
      </c>
      <c r="I102" s="2">
        <v>10</v>
      </c>
      <c r="J102" s="2" t="str">
        <f>IF('Pack Vieja Gloria'!$J$24="Español",V102,(IF('Pack Vieja Gloria'!$J$24="Deutsch",W102,(IF('Pack Vieja Gloria'!$J$24="Français",X102,U102)))))</f>
        <v/>
      </c>
      <c r="K102" s="1">
        <v>85000</v>
      </c>
      <c r="L102" s="1">
        <f t="shared" si="10"/>
        <v>85</v>
      </c>
      <c r="M102" s="2">
        <v>6</v>
      </c>
      <c r="N102" s="2">
        <v>0</v>
      </c>
      <c r="O102" s="1" t="s">
        <v>170</v>
      </c>
      <c r="P102" s="1" t="s">
        <v>169</v>
      </c>
      <c r="Q102" s="1" t="s">
        <v>170</v>
      </c>
      <c r="R102" s="1">
        <v>0</v>
      </c>
      <c r="S102" s="1">
        <v>0</v>
      </c>
      <c r="T102" s="15" t="str">
        <f t="shared" si="7"/>
        <v>PM</v>
      </c>
      <c r="U102" s="15" t="str">
        <f t="shared" ref="U102:Y102" si="11">""</f>
        <v/>
      </c>
      <c r="V102" s="15" t="str">
        <f t="shared" si="11"/>
        <v/>
      </c>
      <c r="W102" s="15" t="str">
        <f t="shared" si="11"/>
        <v/>
      </c>
      <c r="X102" s="15" t="str">
        <f t="shared" si="11"/>
        <v/>
      </c>
      <c r="Y102" s="15" t="str">
        <f t="shared" si="11"/>
        <v/>
      </c>
    </row>
    <row r="103" spans="1:25" ht="12.75" customHeight="1" x14ac:dyDescent="0.2">
      <c r="A103" s="23" t="s">
        <v>92</v>
      </c>
      <c r="B103" s="2" t="str">
        <f>A103&amp;COUNTIF($A$2:$A103,A103)</f>
        <v>Lizardman5</v>
      </c>
      <c r="C103" s="2" t="s">
        <v>474</v>
      </c>
      <c r="D103" s="2" t="str">
        <f t="shared" si="0"/>
        <v>LizardmanKroxigor</v>
      </c>
      <c r="E103" s="2">
        <v>6</v>
      </c>
      <c r="F103" s="2">
        <v>5</v>
      </c>
      <c r="G103" s="2">
        <v>5</v>
      </c>
      <c r="H103" s="2">
        <v>0</v>
      </c>
      <c r="I103" s="2">
        <v>10</v>
      </c>
      <c r="J103" s="2" t="str">
        <f>IF('Pack Vieja Gloria'!$J$24="Español",V103,(IF('Pack Vieja Gloria'!$J$24="Deutsch",W103,(IF('Pack Vieja Gloria'!$J$24="Français",X103,U103)))))</f>
        <v>Estúpido, Solitario (4+), Golpe mortífero (+1), Cola prensil, Cabeza dura</v>
      </c>
      <c r="K103" s="1">
        <v>140000</v>
      </c>
      <c r="L103" s="1">
        <f t="shared" si="10"/>
        <v>140</v>
      </c>
      <c r="M103" s="2">
        <v>1</v>
      </c>
      <c r="N103" s="2">
        <v>1</v>
      </c>
      <c r="O103" s="1" t="s">
        <v>169</v>
      </c>
      <c r="P103" s="1" t="s">
        <v>169</v>
      </c>
      <c r="Q103" s="1" t="s">
        <v>170</v>
      </c>
      <c r="R103" s="12">
        <v>0</v>
      </c>
      <c r="S103" s="1">
        <v>0</v>
      </c>
      <c r="T103" s="15" t="str">
        <f t="shared" si="7"/>
        <v>PM</v>
      </c>
      <c r="U103" s="15" t="s">
        <v>475</v>
      </c>
      <c r="V103" s="15" t="s">
        <v>476</v>
      </c>
      <c r="W103" s="15" t="s">
        <v>477</v>
      </c>
      <c r="X103" s="15" t="s">
        <v>478</v>
      </c>
      <c r="Y103" s="15"/>
    </row>
    <row r="104" spans="1:25" ht="12.75" customHeight="1" x14ac:dyDescent="0.2">
      <c r="A104" s="23" t="s">
        <v>96</v>
      </c>
      <c r="B104" s="2" t="str">
        <f>A104&amp;COUNTIF($A$2:$A104,A104)</f>
        <v>Necromantic1</v>
      </c>
      <c r="C104" s="2" t="str">
        <f>""</f>
        <v/>
      </c>
      <c r="D104" s="2" t="str">
        <f t="shared" si="0"/>
        <v>Necromantic</v>
      </c>
      <c r="E104" s="2">
        <v>0</v>
      </c>
      <c r="F104" s="2">
        <v>0</v>
      </c>
      <c r="G104" s="2">
        <v>0</v>
      </c>
      <c r="H104" s="2">
        <v>0</v>
      </c>
      <c r="I104" s="2">
        <v>0</v>
      </c>
      <c r="J104" s="2">
        <f>IF('Pack Vieja Gloria'!$J$24="Español",V104,(IF('Pack Vieja Gloria'!$J$24="Deutsch",W104,(IF('Pack Vieja Gloria'!$J$24="Français",X104,U104)))))</f>
        <v>0</v>
      </c>
      <c r="K104" s="1">
        <v>0</v>
      </c>
      <c r="L104" s="1">
        <f t="shared" si="10"/>
        <v>0</v>
      </c>
      <c r="M104" s="1">
        <v>0</v>
      </c>
      <c r="N104" s="1">
        <v>0</v>
      </c>
      <c r="O104" s="1"/>
      <c r="P104" s="1"/>
      <c r="Q104" s="1"/>
      <c r="R104" s="1"/>
      <c r="S104" s="1"/>
      <c r="T104" s="15" t="str">
        <f t="shared" si="7"/>
        <v/>
      </c>
      <c r="U104" s="15">
        <v>0</v>
      </c>
      <c r="V104" s="15">
        <v>0</v>
      </c>
      <c r="W104" s="15">
        <v>0</v>
      </c>
      <c r="X104" s="15">
        <v>0</v>
      </c>
      <c r="Y104" s="15">
        <v>0</v>
      </c>
    </row>
    <row r="105" spans="1:25" ht="12.75" customHeight="1" x14ac:dyDescent="0.2">
      <c r="A105" s="23" t="s">
        <v>96</v>
      </c>
      <c r="B105" s="2" t="str">
        <f>A105&amp;COUNTIF($A$2:$A105,A105)</f>
        <v>Necromantic2</v>
      </c>
      <c r="C105" s="2" t="s">
        <v>479</v>
      </c>
      <c r="D105" s="2" t="str">
        <f t="shared" si="0"/>
        <v>NecromanticZombie</v>
      </c>
      <c r="E105" s="2">
        <v>4</v>
      </c>
      <c r="F105" s="2">
        <v>3</v>
      </c>
      <c r="G105" s="2">
        <v>4</v>
      </c>
      <c r="H105" s="2">
        <v>0</v>
      </c>
      <c r="I105" s="2">
        <v>9</v>
      </c>
      <c r="J105" s="2" t="str">
        <f>IF('Pack Vieja Gloria'!$J$24="Español",V105,(IF('Pack Vieja Gloria'!$J$24="Deutsch",W105,(IF('Pack Vieja Gloria'!$J$24="Français",X105,U105)))))</f>
        <v>Regeneración</v>
      </c>
      <c r="K105" s="1">
        <v>40000</v>
      </c>
      <c r="L105" s="1">
        <f t="shared" si="10"/>
        <v>40</v>
      </c>
      <c r="M105" s="1">
        <v>16</v>
      </c>
      <c r="N105" s="1">
        <v>0</v>
      </c>
      <c r="O105" s="1" t="s">
        <v>170</v>
      </c>
      <c r="P105" s="1" t="s">
        <v>169</v>
      </c>
      <c r="Q105" s="1" t="s">
        <v>169</v>
      </c>
      <c r="R105" s="12">
        <v>0</v>
      </c>
      <c r="S105" s="1">
        <v>0</v>
      </c>
      <c r="T105" s="15" t="str">
        <f t="shared" si="7"/>
        <v>PM</v>
      </c>
      <c r="U105" s="15" t="s">
        <v>480</v>
      </c>
      <c r="V105" s="15" t="s">
        <v>481</v>
      </c>
      <c r="W105" s="15" t="s">
        <v>480</v>
      </c>
      <c r="X105" s="15" t="s">
        <v>482</v>
      </c>
      <c r="Y105" s="15"/>
    </row>
    <row r="106" spans="1:25" ht="12.75" customHeight="1" x14ac:dyDescent="0.2">
      <c r="A106" s="23" t="s">
        <v>96</v>
      </c>
      <c r="B106" s="2" t="str">
        <f>A106&amp;COUNTIF($A$2:$A106,A106)</f>
        <v>Necromantic3</v>
      </c>
      <c r="C106" s="2" t="s">
        <v>483</v>
      </c>
      <c r="D106" s="2" t="str">
        <f t="shared" si="0"/>
        <v>NecromanticGhoul</v>
      </c>
      <c r="E106" s="2">
        <v>7</v>
      </c>
      <c r="F106" s="2">
        <v>3</v>
      </c>
      <c r="G106" s="2">
        <v>3</v>
      </c>
      <c r="H106" s="2">
        <v>4</v>
      </c>
      <c r="I106" s="2">
        <v>8</v>
      </c>
      <c r="J106" s="2" t="str">
        <f>IF('Pack Vieja Gloria'!$J$24="Español",V106,(IF('Pack Vieja Gloria'!$J$24="Deutsch",W106,(IF('Pack Vieja Gloria'!$J$24="Français",X106,U106)))))</f>
        <v>Esquivar</v>
      </c>
      <c r="K106" s="1">
        <v>75000</v>
      </c>
      <c r="L106" s="1">
        <f t="shared" si="10"/>
        <v>75</v>
      </c>
      <c r="M106" s="1">
        <v>2</v>
      </c>
      <c r="N106" s="1">
        <v>0</v>
      </c>
      <c r="O106" s="1" t="s">
        <v>170</v>
      </c>
      <c r="P106" s="1" t="s">
        <v>170</v>
      </c>
      <c r="Q106" s="1" t="s">
        <v>169</v>
      </c>
      <c r="R106" s="1" t="s">
        <v>169</v>
      </c>
      <c r="S106" s="1">
        <v>0</v>
      </c>
      <c r="T106" s="15" t="str">
        <f t="shared" si="7"/>
        <v>M</v>
      </c>
      <c r="U106" s="15" t="s">
        <v>237</v>
      </c>
      <c r="V106" s="15" t="s">
        <v>238</v>
      </c>
      <c r="W106" s="15" t="s">
        <v>239</v>
      </c>
      <c r="X106" s="15" t="s">
        <v>240</v>
      </c>
      <c r="Y106" s="15"/>
    </row>
    <row r="107" spans="1:25" ht="12.75" customHeight="1" x14ac:dyDescent="0.2">
      <c r="A107" s="23" t="s">
        <v>96</v>
      </c>
      <c r="B107" s="2" t="str">
        <f>A107&amp;COUNTIF($A$2:$A107,A107)</f>
        <v>Necromantic4</v>
      </c>
      <c r="C107" s="2" t="s">
        <v>484</v>
      </c>
      <c r="D107" s="2" t="str">
        <f t="shared" si="0"/>
        <v>NecromanticWraiths</v>
      </c>
      <c r="E107" s="2">
        <v>6</v>
      </c>
      <c r="F107" s="2">
        <v>3</v>
      </c>
      <c r="G107" s="2">
        <v>3</v>
      </c>
      <c r="H107" s="2">
        <v>0</v>
      </c>
      <c r="I107" s="2">
        <v>9</v>
      </c>
      <c r="J107" s="2" t="str">
        <f>IF('Pack Vieja Gloria'!$J$24="Español",V107,(IF('Pack Vieja Gloria'!$J$24="Deutsch",W107,(IF('Pack Vieja Gloria'!$J$24="Français",X107,U107)))))</f>
        <v>Placar, Apariencia asquerosa, Sin manos, Regeneración, Echarse a un lado</v>
      </c>
      <c r="K107" s="1">
        <v>95000</v>
      </c>
      <c r="L107" s="1">
        <f t="shared" si="10"/>
        <v>95</v>
      </c>
      <c r="M107" s="1">
        <v>2</v>
      </c>
      <c r="N107" s="1">
        <v>0</v>
      </c>
      <c r="O107" s="1" t="s">
        <v>170</v>
      </c>
      <c r="P107" s="1" t="s">
        <v>169</v>
      </c>
      <c r="Q107" s="1" t="s">
        <v>170</v>
      </c>
      <c r="R107" s="12">
        <v>0</v>
      </c>
      <c r="S107" s="1">
        <v>0</v>
      </c>
      <c r="T107" s="15" t="str">
        <f t="shared" si="7"/>
        <v>PM</v>
      </c>
      <c r="U107" s="15" t="s">
        <v>485</v>
      </c>
      <c r="V107" s="15" t="s">
        <v>486</v>
      </c>
      <c r="W107" s="15" t="s">
        <v>487</v>
      </c>
      <c r="X107" s="15" t="s">
        <v>488</v>
      </c>
      <c r="Y107" s="15"/>
    </row>
    <row r="108" spans="1:25" ht="12.75" customHeight="1" x14ac:dyDescent="0.2">
      <c r="A108" s="23" t="s">
        <v>96</v>
      </c>
      <c r="B108" s="2" t="str">
        <f>A108&amp;COUNTIF($A$2:$A108,A108)</f>
        <v>Necromantic5</v>
      </c>
      <c r="C108" s="2" t="s">
        <v>489</v>
      </c>
      <c r="D108" s="2" t="str">
        <f t="shared" si="0"/>
        <v>NecromanticFlesh Golem</v>
      </c>
      <c r="E108" s="2">
        <v>4</v>
      </c>
      <c r="F108" s="2">
        <v>4</v>
      </c>
      <c r="G108" s="2">
        <v>4</v>
      </c>
      <c r="H108" s="2">
        <v>0</v>
      </c>
      <c r="I108" s="2">
        <v>10</v>
      </c>
      <c r="J108" s="2" t="str">
        <f>IF('Pack Vieja Gloria'!$J$24="Español",V108,(IF('Pack Vieja Gloria'!$J$24="Deutsch",W108,(IF('Pack Vieja Gloria'!$J$24="Français",X108,U108)))))</f>
        <v>Regeneración, Mantenerse firme, Cabeza dura</v>
      </c>
      <c r="K108" s="1">
        <v>115000</v>
      </c>
      <c r="L108" s="1">
        <f t="shared" si="10"/>
        <v>115</v>
      </c>
      <c r="M108" s="1">
        <v>2</v>
      </c>
      <c r="N108" s="1">
        <v>0</v>
      </c>
      <c r="O108" s="1" t="s">
        <v>170</v>
      </c>
      <c r="P108" s="1" t="s">
        <v>169</v>
      </c>
      <c r="Q108" s="1" t="s">
        <v>170</v>
      </c>
      <c r="R108" s="12">
        <v>0</v>
      </c>
      <c r="S108" s="1">
        <v>0</v>
      </c>
      <c r="T108" s="15" t="str">
        <f t="shared" si="7"/>
        <v>PM</v>
      </c>
      <c r="U108" s="15" t="s">
        <v>490</v>
      </c>
      <c r="V108" s="15" t="s">
        <v>491</v>
      </c>
      <c r="W108" s="15" t="s">
        <v>492</v>
      </c>
      <c r="X108" s="15" t="s">
        <v>493</v>
      </c>
      <c r="Y108" s="15"/>
    </row>
    <row r="109" spans="1:25" ht="12.75" customHeight="1" x14ac:dyDescent="0.2">
      <c r="A109" s="23" t="s">
        <v>96</v>
      </c>
      <c r="B109" s="2" t="str">
        <f>A109&amp;COUNTIF($A$2:$A109,A109)</f>
        <v>Necromantic6</v>
      </c>
      <c r="C109" s="2" t="s">
        <v>494</v>
      </c>
      <c r="D109" s="2" t="str">
        <f t="shared" si="0"/>
        <v>NecromanticWerewolf</v>
      </c>
      <c r="E109" s="2">
        <v>8</v>
      </c>
      <c r="F109" s="2">
        <v>3</v>
      </c>
      <c r="G109" s="2">
        <v>3</v>
      </c>
      <c r="H109" s="2">
        <v>4</v>
      </c>
      <c r="I109" s="2">
        <v>9</v>
      </c>
      <c r="J109" s="2" t="str">
        <f>IF('Pack Vieja Gloria'!$J$24="Español",V109,(IF('Pack Vieja Gloria'!$J$24="Deutsch",W109,(IF('Pack Vieja Gloria'!$J$24="Français",X109,U109)))))</f>
        <v>Garras, Furia, Regeneración</v>
      </c>
      <c r="K109" s="1">
        <v>125000</v>
      </c>
      <c r="L109" s="1">
        <f t="shared" si="10"/>
        <v>125</v>
      </c>
      <c r="M109" s="2">
        <v>2</v>
      </c>
      <c r="N109" s="2">
        <v>0</v>
      </c>
      <c r="O109" s="1" t="s">
        <v>170</v>
      </c>
      <c r="P109" s="1" t="s">
        <v>170</v>
      </c>
      <c r="Q109" s="1" t="s">
        <v>169</v>
      </c>
      <c r="R109" s="1" t="s">
        <v>169</v>
      </c>
      <c r="S109" s="1">
        <v>0</v>
      </c>
      <c r="T109" s="15" t="str">
        <f t="shared" si="7"/>
        <v>M</v>
      </c>
      <c r="U109" s="15" t="s">
        <v>495</v>
      </c>
      <c r="V109" s="2" t="s">
        <v>496</v>
      </c>
      <c r="W109" s="15" t="s">
        <v>497</v>
      </c>
      <c r="X109" s="15" t="s">
        <v>498</v>
      </c>
      <c r="Y109" s="15"/>
    </row>
    <row r="110" spans="1:25" ht="12.75" customHeight="1" x14ac:dyDescent="0.2">
      <c r="A110" s="23" t="s">
        <v>103</v>
      </c>
      <c r="B110" s="2" t="str">
        <f>A110&amp;COUNTIF($A$2:$A110,A110)</f>
        <v>Norse1</v>
      </c>
      <c r="C110" s="2"/>
      <c r="D110" s="2" t="str">
        <f t="shared" si="0"/>
        <v>Norse</v>
      </c>
      <c r="E110" s="2">
        <v>0</v>
      </c>
      <c r="F110" s="2">
        <v>0</v>
      </c>
      <c r="G110" s="2">
        <v>0</v>
      </c>
      <c r="H110" s="2">
        <v>0</v>
      </c>
      <c r="I110" s="2">
        <v>0</v>
      </c>
      <c r="J110" s="2">
        <f>IF('Pack Vieja Gloria'!$J$24="Español",V110,(IF('Pack Vieja Gloria'!$J$24="Deutsch",W110,(IF('Pack Vieja Gloria'!$J$24="Français",X110,U110)))))</f>
        <v>0</v>
      </c>
      <c r="K110" s="1">
        <v>0</v>
      </c>
      <c r="L110" s="1">
        <f t="shared" si="10"/>
        <v>0</v>
      </c>
      <c r="M110" s="1">
        <v>0</v>
      </c>
      <c r="N110" s="1">
        <v>0</v>
      </c>
      <c r="O110" s="1"/>
      <c r="P110" s="1"/>
      <c r="Q110" s="1"/>
      <c r="R110" s="1"/>
      <c r="S110" s="1"/>
      <c r="T110" s="15" t="str">
        <f t="shared" si="7"/>
        <v/>
      </c>
      <c r="U110" s="15">
        <v>0</v>
      </c>
      <c r="V110" s="15">
        <v>0</v>
      </c>
      <c r="W110" s="15">
        <v>0</v>
      </c>
      <c r="X110" s="15">
        <v>0</v>
      </c>
      <c r="Y110" s="15">
        <v>0</v>
      </c>
    </row>
    <row r="111" spans="1:25" ht="12.75" customHeight="1" x14ac:dyDescent="0.2">
      <c r="A111" s="23" t="s">
        <v>103</v>
      </c>
      <c r="B111" s="2" t="str">
        <f>A111&amp;COUNTIF($A$2:$A111,A111)</f>
        <v>Norse2</v>
      </c>
      <c r="C111" s="2" t="s">
        <v>1133</v>
      </c>
      <c r="D111" s="2" t="str">
        <f t="shared" si="0"/>
        <v>NorseRaider Lineman</v>
      </c>
      <c r="E111" s="2">
        <v>6</v>
      </c>
      <c r="F111" s="2">
        <v>3</v>
      </c>
      <c r="G111" s="2">
        <v>3</v>
      </c>
      <c r="H111" s="2">
        <v>4</v>
      </c>
      <c r="I111" s="2">
        <v>8</v>
      </c>
      <c r="J111" s="2" t="str">
        <f>IF('Pack Vieja Gloria'!$J$24="Español",V111,(IF('Pack Vieja Gloria'!$J$24="Deutsch",W111,(IF('Pack Vieja Gloria'!$J$24="Français",X111,U111)))))</f>
        <v>Placar, Borracho, Cabeza dura</v>
      </c>
      <c r="K111" s="1">
        <v>50000</v>
      </c>
      <c r="L111" s="1">
        <f t="shared" si="10"/>
        <v>50</v>
      </c>
      <c r="M111" s="1">
        <v>16</v>
      </c>
      <c r="N111" s="1">
        <f>IF(M111&lt;10,1,0)</f>
        <v>0</v>
      </c>
      <c r="O111" s="1" t="s">
        <v>170</v>
      </c>
      <c r="P111" s="1" t="s">
        <v>169</v>
      </c>
      <c r="Q111" s="1" t="s">
        <v>169</v>
      </c>
      <c r="R111" s="1" t="s">
        <v>169</v>
      </c>
      <c r="S111" s="1">
        <v>0</v>
      </c>
      <c r="T111" s="15" t="str">
        <f t="shared" si="7"/>
        <v>M</v>
      </c>
      <c r="U111" s="15" t="s">
        <v>1134</v>
      </c>
      <c r="V111" s="15" t="s">
        <v>1135</v>
      </c>
      <c r="W111" s="15" t="s">
        <v>1136</v>
      </c>
      <c r="X111" s="15" t="s">
        <v>1137</v>
      </c>
      <c r="Y111" s="15"/>
    </row>
    <row r="112" spans="1:25" ht="12.75" customHeight="1" x14ac:dyDescent="0.2">
      <c r="A112" s="23" t="s">
        <v>103</v>
      </c>
      <c r="B112" s="2" t="str">
        <f>A112&amp;COUNTIF($A$2:$A112,A112)</f>
        <v>Norse3</v>
      </c>
      <c r="C112" s="2" t="s">
        <v>1138</v>
      </c>
      <c r="D112" s="2" t="str">
        <f t="shared" si="0"/>
        <v>NorseBeer Boar</v>
      </c>
      <c r="E112" s="2">
        <v>5</v>
      </c>
      <c r="F112" s="2">
        <v>1</v>
      </c>
      <c r="G112" s="2">
        <v>3</v>
      </c>
      <c r="H112" s="2">
        <v>0</v>
      </c>
      <c r="I112" s="2">
        <v>6</v>
      </c>
      <c r="J112" s="2" t="str">
        <f>IF('Pack Vieja Gloria'!$J$24="Español",V112,(IF('Pack Vieja Gloria'!$J$24="Deutsch",W112,(IF('Pack Vieja Gloria'!$J$24="Français",X112,U112)))))</f>
        <v>Esquivar, Sin manos, Recógeme, Escurridizo, Canijo</v>
      </c>
      <c r="K112" s="1">
        <v>20000</v>
      </c>
      <c r="L112" s="1">
        <f t="shared" si="10"/>
        <v>20</v>
      </c>
      <c r="M112" s="1">
        <v>2</v>
      </c>
      <c r="N112" s="1">
        <v>0</v>
      </c>
      <c r="O112" s="1">
        <v>0</v>
      </c>
      <c r="P112" s="1" t="s">
        <v>169</v>
      </c>
      <c r="Q112" s="1">
        <v>0</v>
      </c>
      <c r="R112" s="1">
        <v>0</v>
      </c>
      <c r="S112" s="1">
        <v>0</v>
      </c>
      <c r="T112" s="15" t="str">
        <f t="shared" si="7"/>
        <v>GPSM</v>
      </c>
      <c r="U112" s="15" t="s">
        <v>1139</v>
      </c>
      <c r="V112" s="15" t="s">
        <v>1140</v>
      </c>
      <c r="W112" s="15" t="s">
        <v>1141</v>
      </c>
      <c r="X112" s="15" t="s">
        <v>1142</v>
      </c>
      <c r="Y112" s="15"/>
    </row>
    <row r="113" spans="1:25" ht="12.75" customHeight="1" x14ac:dyDescent="0.2">
      <c r="A113" s="23" t="s">
        <v>103</v>
      </c>
      <c r="B113" s="2" t="str">
        <f>A113&amp;COUNTIF($A$2:$A113,A113)</f>
        <v>Norse4</v>
      </c>
      <c r="C113" s="2" t="s">
        <v>499</v>
      </c>
      <c r="D113" s="2" t="str">
        <f t="shared" si="0"/>
        <v>NorseBerserker</v>
      </c>
      <c r="E113" s="2">
        <v>6</v>
      </c>
      <c r="F113" s="2">
        <v>3</v>
      </c>
      <c r="G113" s="2">
        <v>3</v>
      </c>
      <c r="H113" s="2">
        <v>5</v>
      </c>
      <c r="I113" s="2">
        <v>8</v>
      </c>
      <c r="J113" s="2" t="str">
        <f>IF('Pack Vieja Gloria'!$J$24="Español",V113,(IF('Pack Vieja Gloria'!$J$24="Deutsch",W113,(IF('Pack Vieja Gloria'!$J$24="Français",X113,U113)))))</f>
        <v>Placar, Furia, En pie de un salto</v>
      </c>
      <c r="K113" s="1">
        <v>90000</v>
      </c>
      <c r="L113" s="1">
        <f t="shared" si="10"/>
        <v>90</v>
      </c>
      <c r="M113" s="1">
        <v>2</v>
      </c>
      <c r="N113" s="1">
        <v>0</v>
      </c>
      <c r="O113" s="1" t="s">
        <v>170</v>
      </c>
      <c r="P113" s="1" t="s">
        <v>169</v>
      </c>
      <c r="Q113" s="1" t="s">
        <v>170</v>
      </c>
      <c r="R113" s="1" t="s">
        <v>169</v>
      </c>
      <c r="S113" s="1">
        <v>0</v>
      </c>
      <c r="T113" s="15" t="str">
        <f t="shared" si="7"/>
        <v>M</v>
      </c>
      <c r="U113" s="15" t="s">
        <v>500</v>
      </c>
      <c r="V113" s="15" t="s">
        <v>501</v>
      </c>
      <c r="W113" s="15" t="s">
        <v>502</v>
      </c>
      <c r="X113" s="15" t="s">
        <v>503</v>
      </c>
      <c r="Y113" s="15"/>
    </row>
    <row r="114" spans="1:25" ht="12.75" customHeight="1" x14ac:dyDescent="0.2">
      <c r="A114" s="23" t="s">
        <v>103</v>
      </c>
      <c r="B114" s="2" t="str">
        <f>A114&amp;COUNTIF($A$2:$A114,A114)</f>
        <v>Norse5</v>
      </c>
      <c r="C114" s="2" t="s">
        <v>1148</v>
      </c>
      <c r="D114" s="2" t="str">
        <f t="shared" si="0"/>
        <v>NorseValkyrie</v>
      </c>
      <c r="E114" s="2">
        <v>7</v>
      </c>
      <c r="F114" s="2">
        <v>3</v>
      </c>
      <c r="G114" s="2">
        <v>3</v>
      </c>
      <c r="H114" s="2">
        <v>3</v>
      </c>
      <c r="I114" s="2">
        <v>8</v>
      </c>
      <c r="J114" s="2" t="str">
        <f>IF('Pack Vieja Gloria'!$J$24="Español",V114,(IF('Pack Vieja Gloria'!$J$24="Deutsch",W114,(IF('Pack Vieja Gloria'!$J$24="Français",X114,U114)))))</f>
        <v>Atrapar, Agallas, Pasar, Robar balón</v>
      </c>
      <c r="K114" s="1">
        <v>95000</v>
      </c>
      <c r="L114" s="1">
        <f t="shared" si="10"/>
        <v>95</v>
      </c>
      <c r="M114" s="1">
        <v>2</v>
      </c>
      <c r="N114" s="1">
        <v>0</v>
      </c>
      <c r="O114" s="1" t="s">
        <v>170</v>
      </c>
      <c r="P114" s="1" t="s">
        <v>170</v>
      </c>
      <c r="Q114" s="1" t="s">
        <v>169</v>
      </c>
      <c r="R114" s="1" t="s">
        <v>170</v>
      </c>
      <c r="S114" s="1">
        <v>0</v>
      </c>
      <c r="T114" s="15" t="str">
        <f t="shared" si="7"/>
        <v>M</v>
      </c>
      <c r="U114" s="15" t="s">
        <v>1143</v>
      </c>
      <c r="V114" s="15" t="s">
        <v>1144</v>
      </c>
      <c r="W114" s="15" t="s">
        <v>1145</v>
      </c>
      <c r="X114" s="15" t="s">
        <v>1146</v>
      </c>
      <c r="Y114" s="15"/>
    </row>
    <row r="115" spans="1:25" ht="12.75" customHeight="1" x14ac:dyDescent="0.2">
      <c r="A115" s="23" t="s">
        <v>103</v>
      </c>
      <c r="B115" s="2" t="str">
        <f>A115&amp;COUNTIF($A$2:$A115,A115)</f>
        <v>Norse6</v>
      </c>
      <c r="C115" s="2" t="s">
        <v>504</v>
      </c>
      <c r="D115" s="2" t="str">
        <f t="shared" si="0"/>
        <v>NorseUlfwerener</v>
      </c>
      <c r="E115" s="2">
        <v>6</v>
      </c>
      <c r="F115" s="2">
        <v>4</v>
      </c>
      <c r="G115" s="2">
        <v>4</v>
      </c>
      <c r="H115" s="2">
        <v>0</v>
      </c>
      <c r="I115" s="2">
        <v>9</v>
      </c>
      <c r="J115" s="2" t="str">
        <f>IF('Pack Vieja Gloria'!$J$24="Español",V115,(IF('Pack Vieja Gloria'!$J$24="Deutsch",W115,(IF('Pack Vieja Gloria'!$J$24="Français",X115,U115)))))</f>
        <v>Furia</v>
      </c>
      <c r="K115" s="1">
        <v>105000</v>
      </c>
      <c r="L115" s="1">
        <f t="shared" si="10"/>
        <v>105</v>
      </c>
      <c r="M115" s="1">
        <v>2</v>
      </c>
      <c r="N115" s="1">
        <v>0</v>
      </c>
      <c r="O115" s="1" t="s">
        <v>170</v>
      </c>
      <c r="P115" s="1" t="s">
        <v>169</v>
      </c>
      <c r="Q115" s="1" t="s">
        <v>170</v>
      </c>
      <c r="R115" s="1">
        <v>0</v>
      </c>
      <c r="S115" s="1">
        <v>0</v>
      </c>
      <c r="T115" s="15" t="str">
        <f t="shared" si="7"/>
        <v>PM</v>
      </c>
      <c r="U115" s="15" t="s">
        <v>315</v>
      </c>
      <c r="V115" s="15" t="s">
        <v>316</v>
      </c>
      <c r="W115" s="15" t="s">
        <v>317</v>
      </c>
      <c r="X115" s="15" t="s">
        <v>318</v>
      </c>
      <c r="Y115" s="15"/>
    </row>
    <row r="116" spans="1:25" ht="12.75" customHeight="1" x14ac:dyDescent="0.2">
      <c r="A116" s="23" t="s">
        <v>103</v>
      </c>
      <c r="B116" s="2" t="str">
        <f>A116&amp;COUNTIF($A$2:$A116,A116)</f>
        <v>Norse7</v>
      </c>
      <c r="C116" s="2" t="s">
        <v>1147</v>
      </c>
      <c r="D116" s="2" t="str">
        <f t="shared" si="0"/>
        <v>NorseYhetee</v>
      </c>
      <c r="E116" s="2">
        <v>5</v>
      </c>
      <c r="F116" s="2">
        <v>5</v>
      </c>
      <c r="G116" s="2">
        <v>4</v>
      </c>
      <c r="H116" s="2">
        <v>0</v>
      </c>
      <c r="I116" s="2">
        <v>9</v>
      </c>
      <c r="J116" s="2" t="str">
        <f>IF('Pack Vieja Gloria'!$J$24="Español",V116,(IF('Pack Vieja Gloria'!$J$24="Deutsch",W116,(IF('Pack Vieja Gloria'!$J$24="Français",X116,U116)))))</f>
        <v>Garras, Presencia perturbadora, Furia, Solitario (4+), Ira descontrolada</v>
      </c>
      <c r="K116" s="1">
        <v>140000</v>
      </c>
      <c r="L116" s="1">
        <f t="shared" si="10"/>
        <v>140</v>
      </c>
      <c r="M116" s="1">
        <v>1</v>
      </c>
      <c r="N116" s="1">
        <f>IF(M116&lt;10,1,0)</f>
        <v>1</v>
      </c>
      <c r="O116" s="1" t="s">
        <v>169</v>
      </c>
      <c r="P116" s="1" t="s">
        <v>170</v>
      </c>
      <c r="Q116" s="1" t="s">
        <v>170</v>
      </c>
      <c r="R116" s="1">
        <v>0</v>
      </c>
      <c r="S116" s="1">
        <v>0</v>
      </c>
      <c r="T116" s="15" t="str">
        <f t="shared" si="7"/>
        <v>PM</v>
      </c>
      <c r="U116" s="15" t="s">
        <v>505</v>
      </c>
      <c r="V116" s="15" t="s">
        <v>506</v>
      </c>
      <c r="W116" s="15" t="s">
        <v>507</v>
      </c>
      <c r="X116" s="15" t="s">
        <v>508</v>
      </c>
      <c r="Y116" s="15"/>
    </row>
    <row r="117" spans="1:25" ht="12.75" customHeight="1" x14ac:dyDescent="0.2">
      <c r="A117" s="23" t="s">
        <v>105</v>
      </c>
      <c r="B117" s="2" t="str">
        <f>A117&amp;COUNTIF($A$2:$A117,A117)</f>
        <v>Nurgle1</v>
      </c>
      <c r="C117" s="2" t="str">
        <f>""</f>
        <v/>
      </c>
      <c r="D117" s="2" t="str">
        <f t="shared" si="0"/>
        <v>Nurgle</v>
      </c>
      <c r="E117" s="2">
        <v>0</v>
      </c>
      <c r="F117" s="2">
        <v>0</v>
      </c>
      <c r="G117" s="2">
        <v>0</v>
      </c>
      <c r="H117" s="2">
        <v>0</v>
      </c>
      <c r="I117" s="2">
        <v>0</v>
      </c>
      <c r="J117" s="2">
        <f>IF('Pack Vieja Gloria'!$J$24="Español",V117,(IF('Pack Vieja Gloria'!$J$24="Deutsch",W117,(IF('Pack Vieja Gloria'!$J$24="Français",X117,U117)))))</f>
        <v>0</v>
      </c>
      <c r="K117" s="1">
        <v>0</v>
      </c>
      <c r="L117" s="1">
        <f t="shared" si="10"/>
        <v>0</v>
      </c>
      <c r="M117" s="1">
        <v>0</v>
      </c>
      <c r="N117" s="1">
        <v>0</v>
      </c>
      <c r="O117" s="1"/>
      <c r="P117" s="1"/>
      <c r="Q117" s="1"/>
      <c r="R117" s="1"/>
      <c r="S117" s="1"/>
      <c r="T117" s="15" t="str">
        <f t="shared" si="7"/>
        <v/>
      </c>
      <c r="U117" s="15">
        <v>0</v>
      </c>
      <c r="V117" s="15">
        <v>0</v>
      </c>
      <c r="W117" s="15">
        <v>0</v>
      </c>
      <c r="X117" s="15">
        <v>0</v>
      </c>
      <c r="Y117" s="15">
        <v>0</v>
      </c>
    </row>
    <row r="118" spans="1:25" ht="12.75" customHeight="1" x14ac:dyDescent="0.2">
      <c r="A118" s="23" t="s">
        <v>105</v>
      </c>
      <c r="B118" s="2" t="str">
        <f>A118&amp;COUNTIF($A$2:$A118,A118)</f>
        <v>Nurgle2</v>
      </c>
      <c r="C118" s="2" t="s">
        <v>509</v>
      </c>
      <c r="D118" s="2" t="str">
        <f t="shared" si="0"/>
        <v>NurgleRotter</v>
      </c>
      <c r="E118" s="2">
        <v>5</v>
      </c>
      <c r="F118" s="2">
        <v>3</v>
      </c>
      <c r="G118" s="2">
        <v>4</v>
      </c>
      <c r="H118" s="2">
        <v>6</v>
      </c>
      <c r="I118" s="2">
        <v>9</v>
      </c>
      <c r="J118" s="2" t="str">
        <f>IF('Pack Vieja Gloria'!$J$24="Español",V118,(IF('Pack Vieja Gloria'!$J$24="Deutsch",W118,(IF('Pack Vieja Gloria'!$J$24="Français",X118,U118)))))</f>
        <v>Descomposición, Infectado</v>
      </c>
      <c r="K118" s="1">
        <v>35000</v>
      </c>
      <c r="L118" s="1">
        <f t="shared" si="10"/>
        <v>35</v>
      </c>
      <c r="M118" s="1">
        <v>16</v>
      </c>
      <c r="N118" s="1">
        <v>0</v>
      </c>
      <c r="O118" s="1" t="s">
        <v>170</v>
      </c>
      <c r="P118" s="1" t="s">
        <v>169</v>
      </c>
      <c r="Q118" s="1" t="s">
        <v>169</v>
      </c>
      <c r="R118" s="1">
        <v>0</v>
      </c>
      <c r="S118" s="1" t="s">
        <v>170</v>
      </c>
      <c r="T118" s="15" t="str">
        <f t="shared" si="7"/>
        <v>P</v>
      </c>
      <c r="U118" s="15" t="s">
        <v>510</v>
      </c>
      <c r="V118" s="15" t="s">
        <v>511</v>
      </c>
      <c r="W118" s="15" t="s">
        <v>512</v>
      </c>
      <c r="X118" s="15" t="s">
        <v>513</v>
      </c>
      <c r="Y118" s="15"/>
    </row>
    <row r="119" spans="1:25" ht="12.75" customHeight="1" x14ac:dyDescent="0.2">
      <c r="A119" s="23" t="s">
        <v>105</v>
      </c>
      <c r="B119" s="2" t="str">
        <f>A119&amp;COUNTIF($A$2:$A119,A119)</f>
        <v>Nurgle3</v>
      </c>
      <c r="C119" s="2" t="s">
        <v>514</v>
      </c>
      <c r="D119" s="2" t="str">
        <f t="shared" si="0"/>
        <v>NurglePestigor</v>
      </c>
      <c r="E119" s="2">
        <v>6</v>
      </c>
      <c r="F119" s="2">
        <v>3</v>
      </c>
      <c r="G119" s="2">
        <v>3</v>
      </c>
      <c r="H119" s="2">
        <v>4</v>
      </c>
      <c r="I119" s="2">
        <v>9</v>
      </c>
      <c r="J119" s="2" t="str">
        <f>IF('Pack Vieja Gloria'!$J$24="Español",V119,(IF('Pack Vieja Gloria'!$J$24="Deutsch",W119,(IF('Pack Vieja Gloria'!$J$24="Français",X119,U119)))))</f>
        <v>Cuernos, Infectado, Regeneración</v>
      </c>
      <c r="K119" s="1">
        <v>75000</v>
      </c>
      <c r="L119" s="1">
        <f t="shared" si="10"/>
        <v>75</v>
      </c>
      <c r="M119" s="2">
        <v>4</v>
      </c>
      <c r="N119" s="2">
        <v>0</v>
      </c>
      <c r="O119" s="1" t="s">
        <v>170</v>
      </c>
      <c r="P119" s="1" t="s">
        <v>169</v>
      </c>
      <c r="Q119" s="1" t="s">
        <v>170</v>
      </c>
      <c r="R119" s="1" t="s">
        <v>169</v>
      </c>
      <c r="S119" s="1" t="s">
        <v>170</v>
      </c>
      <c r="T119" s="15" t="str">
        <f t="shared" si="7"/>
        <v>FULL</v>
      </c>
      <c r="U119" s="15" t="s">
        <v>515</v>
      </c>
      <c r="V119" s="15" t="s">
        <v>516</v>
      </c>
      <c r="W119" s="15" t="s">
        <v>517</v>
      </c>
      <c r="X119" s="15" t="s">
        <v>518</v>
      </c>
      <c r="Y119" s="15"/>
    </row>
    <row r="120" spans="1:25" ht="12.75" customHeight="1" x14ac:dyDescent="0.2">
      <c r="A120" s="23" t="s">
        <v>105</v>
      </c>
      <c r="B120" s="2" t="str">
        <f>A120&amp;COUNTIF($A$2:$A120,A120)</f>
        <v>Nurgle4</v>
      </c>
      <c r="C120" s="2" t="s">
        <v>519</v>
      </c>
      <c r="D120" s="2" t="str">
        <f t="shared" si="0"/>
        <v>NurgleBloater</v>
      </c>
      <c r="E120" s="2">
        <v>4</v>
      </c>
      <c r="F120" s="2">
        <v>4</v>
      </c>
      <c r="G120" s="2">
        <v>4</v>
      </c>
      <c r="H120" s="2">
        <v>6</v>
      </c>
      <c r="I120" s="2">
        <v>10</v>
      </c>
      <c r="J120" s="2" t="str">
        <f>IF('Pack Vieja Gloria'!$J$24="Español",V120,(IF('Pack Vieja Gloria'!$J$24="Deutsch",W120,(IF('Pack Vieja Gloria'!$J$24="Français",X120,U120)))))</f>
        <v>Presencia perturbadora, Apariencia asquerosa, Infectado, Regeneración</v>
      </c>
      <c r="K120" s="1">
        <v>115000</v>
      </c>
      <c r="L120" s="1">
        <f t="shared" si="10"/>
        <v>115</v>
      </c>
      <c r="M120" s="2">
        <v>4</v>
      </c>
      <c r="N120" s="2">
        <v>0</v>
      </c>
      <c r="O120" s="1" t="s">
        <v>170</v>
      </c>
      <c r="P120" s="1" t="s">
        <v>169</v>
      </c>
      <c r="Q120" s="1" t="s">
        <v>170</v>
      </c>
      <c r="R120" s="1">
        <v>0</v>
      </c>
      <c r="S120" s="1" t="s">
        <v>170</v>
      </c>
      <c r="T120" s="15" t="str">
        <f t="shared" si="7"/>
        <v>P</v>
      </c>
      <c r="U120" s="15" t="s">
        <v>520</v>
      </c>
      <c r="V120" s="15" t="s">
        <v>521</v>
      </c>
      <c r="W120" s="15" t="s">
        <v>522</v>
      </c>
      <c r="X120" s="15" t="s">
        <v>523</v>
      </c>
      <c r="Y120" s="15"/>
    </row>
    <row r="121" spans="1:25" ht="12.75" customHeight="1" x14ac:dyDescent="0.2">
      <c r="A121" s="23" t="s">
        <v>105</v>
      </c>
      <c r="B121" s="2" t="str">
        <f>A121&amp;COUNTIF($A$2:$A121,A121)</f>
        <v>Nurgle5</v>
      </c>
      <c r="C121" s="2" t="s">
        <v>524</v>
      </c>
      <c r="D121" s="2" t="str">
        <f t="shared" si="0"/>
        <v>NurgleRotspawn</v>
      </c>
      <c r="E121" s="2">
        <v>4</v>
      </c>
      <c r="F121" s="2">
        <v>5</v>
      </c>
      <c r="G121" s="2">
        <v>5</v>
      </c>
      <c r="H121" s="2">
        <v>0</v>
      </c>
      <c r="I121" s="2">
        <v>10</v>
      </c>
      <c r="J121" s="2" t="str">
        <f>IF('Pack Vieja Gloria'!$J$24="Español",V121,(IF('Pack Vieja Gloria'!$J$24="Deutsch",W121,(IF('Pack Vieja Gloria'!$J$24="Français",X121,U121)))))</f>
        <v>Presencia perturbadora, Apariencia asquerosa, Solitario (4+), Golpe mortífero (+1), Infectado, Realmente estúpido, Regeneración, Tentáculos</v>
      </c>
      <c r="K121" s="1">
        <v>140000</v>
      </c>
      <c r="L121" s="1">
        <f t="shared" si="10"/>
        <v>140</v>
      </c>
      <c r="M121" s="2">
        <v>1</v>
      </c>
      <c r="N121" s="2">
        <v>1</v>
      </c>
      <c r="O121" s="1" t="s">
        <v>169</v>
      </c>
      <c r="P121" s="1" t="s">
        <v>169</v>
      </c>
      <c r="Q121" s="1" t="s">
        <v>170</v>
      </c>
      <c r="R121" s="12">
        <v>0</v>
      </c>
      <c r="S121" s="1" t="s">
        <v>169</v>
      </c>
      <c r="T121" s="15" t="str">
        <f t="shared" si="7"/>
        <v>P</v>
      </c>
      <c r="U121" s="15" t="s">
        <v>525</v>
      </c>
      <c r="V121" s="15" t="s">
        <v>1544</v>
      </c>
      <c r="W121" s="15" t="s">
        <v>526</v>
      </c>
      <c r="X121" s="15" t="s">
        <v>527</v>
      </c>
      <c r="Y121" s="15"/>
    </row>
    <row r="122" spans="1:25" ht="12.75" customHeight="1" x14ac:dyDescent="0.2">
      <c r="A122" s="23" t="s">
        <v>110</v>
      </c>
      <c r="B122" s="2" t="str">
        <f>A122&amp;COUNTIF($A$2:$A122,A122)</f>
        <v>Ogre1</v>
      </c>
      <c r="C122" s="2" t="str">
        <f>""</f>
        <v/>
      </c>
      <c r="D122" s="2" t="str">
        <f t="shared" si="0"/>
        <v>Ogre</v>
      </c>
      <c r="E122" s="2">
        <v>0</v>
      </c>
      <c r="F122" s="2">
        <v>0</v>
      </c>
      <c r="G122" s="2">
        <v>0</v>
      </c>
      <c r="H122" s="2">
        <v>0</v>
      </c>
      <c r="I122" s="2">
        <v>0</v>
      </c>
      <c r="J122" s="2">
        <f>IF('Pack Vieja Gloria'!$J$24="Español",V122,(IF('Pack Vieja Gloria'!$J$24="Deutsch",W122,(IF('Pack Vieja Gloria'!$J$24="Français",X122,U122)))))</f>
        <v>0</v>
      </c>
      <c r="K122" s="1">
        <v>0</v>
      </c>
      <c r="L122" s="1">
        <f t="shared" si="10"/>
        <v>0</v>
      </c>
      <c r="M122" s="1">
        <v>0</v>
      </c>
      <c r="N122" s="1">
        <v>0</v>
      </c>
      <c r="O122" s="1"/>
      <c r="P122" s="1"/>
      <c r="Q122" s="1"/>
      <c r="R122" s="1"/>
      <c r="S122" s="1"/>
      <c r="T122" s="15" t="str">
        <f t="shared" si="7"/>
        <v/>
      </c>
      <c r="U122" s="15">
        <v>0</v>
      </c>
      <c r="V122" s="15">
        <v>0</v>
      </c>
      <c r="W122" s="15">
        <v>0</v>
      </c>
      <c r="X122" s="15">
        <v>0</v>
      </c>
      <c r="Y122" s="15">
        <v>0</v>
      </c>
    </row>
    <row r="123" spans="1:25" ht="12.75" customHeight="1" x14ac:dyDescent="0.2">
      <c r="A123" s="23" t="s">
        <v>110</v>
      </c>
      <c r="B123" s="2" t="str">
        <f>A123&amp;COUNTIF($A$2:$A123,A123)</f>
        <v>Ogre2</v>
      </c>
      <c r="C123" s="2" t="s">
        <v>528</v>
      </c>
      <c r="D123" s="2" t="str">
        <f t="shared" si="0"/>
        <v>OgreGnoblar</v>
      </c>
      <c r="E123" s="2">
        <v>5</v>
      </c>
      <c r="F123" s="2">
        <v>1</v>
      </c>
      <c r="G123" s="2">
        <v>3</v>
      </c>
      <c r="H123" s="2">
        <v>5</v>
      </c>
      <c r="I123" s="2">
        <v>6</v>
      </c>
      <c r="J123" s="2" t="str">
        <f>IF('Pack Vieja Gloria'!$J$24="Español",V123,(IF('Pack Vieja Gloria'!$J$24="Deutsch",W123,(IF('Pack Vieja Gloria'!$J$24="Français",X123,U123)))))</f>
        <v>Esquivar, Humanoide bala, Echarse a un lado, Escurridizo, Canijo</v>
      </c>
      <c r="K123" s="1">
        <v>15000</v>
      </c>
      <c r="L123" s="1">
        <v>0</v>
      </c>
      <c r="M123" s="2">
        <v>16</v>
      </c>
      <c r="N123" s="2">
        <v>0</v>
      </c>
      <c r="O123" s="1" t="s">
        <v>169</v>
      </c>
      <c r="P123" s="1" t="s">
        <v>170</v>
      </c>
      <c r="Q123" s="1" t="s">
        <v>169</v>
      </c>
      <c r="R123" s="1">
        <v>0</v>
      </c>
      <c r="S123" s="1">
        <v>0</v>
      </c>
      <c r="T123" s="15" t="str">
        <f t="shared" si="7"/>
        <v>PM</v>
      </c>
      <c r="U123" s="15" t="s">
        <v>529</v>
      </c>
      <c r="V123" s="15" t="s">
        <v>530</v>
      </c>
      <c r="W123" s="15" t="s">
        <v>531</v>
      </c>
      <c r="X123" s="15" t="s">
        <v>532</v>
      </c>
      <c r="Y123" s="15"/>
    </row>
    <row r="124" spans="1:25" ht="12.75" customHeight="1" x14ac:dyDescent="0.2">
      <c r="A124" s="23" t="s">
        <v>110</v>
      </c>
      <c r="B124" s="2" t="str">
        <f>A124&amp;COUNTIF($A$2:$A124,A124)</f>
        <v>Ogre3</v>
      </c>
      <c r="C124" s="2" t="s">
        <v>533</v>
      </c>
      <c r="D124" s="2" t="str">
        <f t="shared" si="0"/>
        <v xml:space="preserve">OgreOgre </v>
      </c>
      <c r="E124" s="2">
        <v>5</v>
      </c>
      <c r="F124" s="2">
        <v>5</v>
      </c>
      <c r="G124" s="2">
        <v>4</v>
      </c>
      <c r="H124" s="2">
        <v>5</v>
      </c>
      <c r="I124" s="2">
        <v>10</v>
      </c>
      <c r="J124" s="2" t="str">
        <f>IF('Pack Vieja Gloria'!$J$24="Español",V124,(IF('Pack Vieja Gloria'!$J$24="Deutsch",W124,(IF('Pack Vieja Gloria'!$J$24="Français",X124,U124)))))</f>
        <v>Estúpido, Golpe mortífero (+1), Cabeza dura, Lanzar Compañero</v>
      </c>
      <c r="K124" s="1">
        <v>140000</v>
      </c>
      <c r="L124" s="1">
        <f t="shared" si="10"/>
        <v>140</v>
      </c>
      <c r="M124" s="2">
        <v>5</v>
      </c>
      <c r="N124" s="2">
        <v>1</v>
      </c>
      <c r="O124" s="1" t="s">
        <v>169</v>
      </c>
      <c r="P124" s="1" t="s">
        <v>169</v>
      </c>
      <c r="Q124" s="1" t="s">
        <v>170</v>
      </c>
      <c r="R124" s="1" t="s">
        <v>169</v>
      </c>
      <c r="S124" s="1">
        <v>0</v>
      </c>
      <c r="T124" s="15" t="str">
        <f t="shared" si="7"/>
        <v>M</v>
      </c>
      <c r="U124" s="15" t="s">
        <v>534</v>
      </c>
      <c r="V124" s="2" t="s">
        <v>535</v>
      </c>
      <c r="W124" s="15" t="s">
        <v>536</v>
      </c>
      <c r="X124" s="15" t="s">
        <v>537</v>
      </c>
      <c r="Y124" s="15"/>
    </row>
    <row r="125" spans="1:25" ht="12.75" customHeight="1" x14ac:dyDescent="0.2">
      <c r="A125" s="23" t="s">
        <v>110</v>
      </c>
      <c r="B125" s="2" t="str">
        <f>A125&amp;COUNTIF($A$2:$A125,A125)</f>
        <v>Ogre4</v>
      </c>
      <c r="C125" s="2" t="s">
        <v>538</v>
      </c>
      <c r="D125" s="2" t="str">
        <f t="shared" si="0"/>
        <v>OgreRunt Punter</v>
      </c>
      <c r="E125" s="2">
        <v>5</v>
      </c>
      <c r="F125" s="2">
        <v>5</v>
      </c>
      <c r="G125" s="2">
        <v>4</v>
      </c>
      <c r="H125" s="2">
        <v>4</v>
      </c>
      <c r="I125" s="2">
        <v>10</v>
      </c>
      <c r="J125" s="2" t="str">
        <f>IF('Pack Vieja Gloria'!$J$24="Español",V125,(IF('Pack Vieja Gloria'!$J$24="Deutsch",W125,(IF('Pack Vieja Gloria'!$J$24="Français",X125,U125)))))</f>
        <v>Estúpido, Patear compañero, Golpe mortífero (+1), Cabeza dura</v>
      </c>
      <c r="K125" s="1">
        <v>145000</v>
      </c>
      <c r="L125" s="1">
        <f t="shared" si="10"/>
        <v>145</v>
      </c>
      <c r="M125" s="2">
        <v>1</v>
      </c>
      <c r="N125" s="2">
        <v>1</v>
      </c>
      <c r="O125" s="1" t="s">
        <v>169</v>
      </c>
      <c r="P125" s="1" t="s">
        <v>169</v>
      </c>
      <c r="Q125" s="1" t="s">
        <v>170</v>
      </c>
      <c r="R125" s="1" t="s">
        <v>170</v>
      </c>
      <c r="S125" s="1">
        <v>0</v>
      </c>
      <c r="T125" s="15" t="str">
        <f t="shared" si="7"/>
        <v>M</v>
      </c>
      <c r="U125" s="15" t="s">
        <v>539</v>
      </c>
      <c r="V125" s="2" t="s">
        <v>540</v>
      </c>
      <c r="W125" s="15" t="s">
        <v>541</v>
      </c>
      <c r="X125" s="15" t="s">
        <v>542</v>
      </c>
      <c r="Y125" s="15"/>
    </row>
    <row r="126" spans="1:25" ht="12.75" customHeight="1" x14ac:dyDescent="0.2">
      <c r="A126" s="23" t="s">
        <v>118</v>
      </c>
      <c r="B126" s="2" t="str">
        <f>A126&amp;COUNTIF($A$2:$A126,A126)</f>
        <v>Old World Alliance1</v>
      </c>
      <c r="C126" s="2" t="str">
        <f>""</f>
        <v/>
      </c>
      <c r="D126" s="2" t="str">
        <f t="shared" si="0"/>
        <v>Old World Alliance</v>
      </c>
      <c r="E126" s="2">
        <v>0</v>
      </c>
      <c r="F126" s="2">
        <v>0</v>
      </c>
      <c r="G126" s="2">
        <v>0</v>
      </c>
      <c r="H126" s="2">
        <v>0</v>
      </c>
      <c r="I126" s="2">
        <v>0</v>
      </c>
      <c r="J126" s="2">
        <f>IF('Pack Vieja Gloria'!$J$24="Español",V126,(IF('Pack Vieja Gloria'!$J$24="Deutsch",W126,(IF('Pack Vieja Gloria'!$J$24="Français",X126,U126)))))</f>
        <v>0</v>
      </c>
      <c r="K126" s="1">
        <v>0</v>
      </c>
      <c r="L126" s="1">
        <f t="shared" si="10"/>
        <v>0</v>
      </c>
      <c r="M126" s="1">
        <v>0</v>
      </c>
      <c r="N126" s="1">
        <v>0</v>
      </c>
      <c r="O126" s="2"/>
      <c r="P126" s="2"/>
      <c r="Q126" s="2"/>
      <c r="R126" s="2"/>
      <c r="S126" s="2"/>
      <c r="T126" s="15" t="str">
        <f t="shared" si="7"/>
        <v/>
      </c>
      <c r="U126" s="15">
        <v>0</v>
      </c>
      <c r="V126" s="15">
        <v>0</v>
      </c>
      <c r="W126" s="15">
        <v>0</v>
      </c>
      <c r="X126" s="15">
        <v>0</v>
      </c>
      <c r="Y126" s="15">
        <v>0</v>
      </c>
    </row>
    <row r="127" spans="1:25" ht="12.75" customHeight="1" x14ac:dyDescent="0.2">
      <c r="A127" s="23" t="s">
        <v>118</v>
      </c>
      <c r="B127" s="2" t="str">
        <f>A127&amp;COUNTIF($A$2:$A127,A127)</f>
        <v>Old World Alliance2</v>
      </c>
      <c r="C127" s="2" t="s">
        <v>319</v>
      </c>
      <c r="D127" s="2" t="str">
        <f t="shared" si="0"/>
        <v>Old World AllianceLineman</v>
      </c>
      <c r="E127" s="2">
        <v>6</v>
      </c>
      <c r="F127" s="2">
        <v>3</v>
      </c>
      <c r="G127" s="2">
        <v>3</v>
      </c>
      <c r="H127" s="2">
        <v>4</v>
      </c>
      <c r="I127" s="2">
        <v>9</v>
      </c>
      <c r="J127" s="2" t="str">
        <f>IF('Pack Vieja Gloria'!$J$24="Español",V127,(IF('Pack Vieja Gloria'!$J$24="Deutsch",W127,(IF('Pack Vieja Gloria'!$J$24="Français",X127,U127)))))</f>
        <v/>
      </c>
      <c r="K127" s="1">
        <v>50000</v>
      </c>
      <c r="L127" s="1">
        <f t="shared" si="10"/>
        <v>50</v>
      </c>
      <c r="M127" s="2">
        <v>12</v>
      </c>
      <c r="N127" s="2">
        <v>0</v>
      </c>
      <c r="O127" s="1" t="s">
        <v>170</v>
      </c>
      <c r="P127" s="1" t="s">
        <v>169</v>
      </c>
      <c r="Q127" s="1" t="s">
        <v>169</v>
      </c>
      <c r="R127" s="1">
        <v>0</v>
      </c>
      <c r="S127" s="1">
        <v>0</v>
      </c>
      <c r="T127" s="15" t="str">
        <f t="shared" si="7"/>
        <v>PM</v>
      </c>
      <c r="U127" s="15" t="str">
        <f t="shared" ref="U127:Y127" si="12">""</f>
        <v/>
      </c>
      <c r="V127" s="15" t="str">
        <f t="shared" si="12"/>
        <v/>
      </c>
      <c r="W127" s="15" t="str">
        <f t="shared" si="12"/>
        <v/>
      </c>
      <c r="X127" s="15" t="str">
        <f t="shared" si="12"/>
        <v/>
      </c>
      <c r="Y127" s="15" t="str">
        <f t="shared" si="12"/>
        <v/>
      </c>
    </row>
    <row r="128" spans="1:25" ht="12.75" customHeight="1" x14ac:dyDescent="0.2">
      <c r="A128" s="23" t="s">
        <v>118</v>
      </c>
      <c r="B128" s="2" t="str">
        <f>A128&amp;COUNTIF($A$2:$A128,A128)</f>
        <v>Old World Alliance3</v>
      </c>
      <c r="C128" s="2" t="s">
        <v>242</v>
      </c>
      <c r="D128" s="2" t="str">
        <f t="shared" si="0"/>
        <v>Old World AllianceCatcher</v>
      </c>
      <c r="E128" s="2">
        <v>8</v>
      </c>
      <c r="F128" s="2">
        <v>2</v>
      </c>
      <c r="G128" s="2">
        <v>3</v>
      </c>
      <c r="H128" s="2">
        <v>5</v>
      </c>
      <c r="I128" s="2">
        <v>8</v>
      </c>
      <c r="J128" s="2" t="str">
        <f>IF('Pack Vieja Gloria'!$J$24="Español",V128,(IF('Pack Vieja Gloria'!$J$24="Deutsch",W128,(IF('Pack Vieja Gloria'!$J$24="Français",X128,U128)))))</f>
        <v>Animosidad (todos los Enanos y Halflings), Atrapar, Esquivar</v>
      </c>
      <c r="K128" s="1">
        <v>65000</v>
      </c>
      <c r="L128" s="1">
        <f t="shared" si="10"/>
        <v>65</v>
      </c>
      <c r="M128" s="2">
        <v>1</v>
      </c>
      <c r="N128" s="2">
        <v>0</v>
      </c>
      <c r="O128" s="1" t="s">
        <v>170</v>
      </c>
      <c r="P128" s="1" t="s">
        <v>170</v>
      </c>
      <c r="Q128" s="1" t="s">
        <v>169</v>
      </c>
      <c r="R128" s="1">
        <v>0</v>
      </c>
      <c r="S128" s="1">
        <v>0</v>
      </c>
      <c r="T128" s="15" t="str">
        <f t="shared" si="7"/>
        <v>PM</v>
      </c>
      <c r="U128" s="15" t="s">
        <v>543</v>
      </c>
      <c r="V128" s="2" t="s">
        <v>544</v>
      </c>
      <c r="W128" s="15" t="s">
        <v>545</v>
      </c>
      <c r="X128" s="15" t="s">
        <v>546</v>
      </c>
      <c r="Y128" s="15"/>
    </row>
    <row r="129" spans="1:25" ht="12.75" customHeight="1" x14ac:dyDescent="0.2">
      <c r="A129" s="23" t="s">
        <v>118</v>
      </c>
      <c r="B129" s="2" t="str">
        <f>A129&amp;COUNTIF($A$2:$A129,A129)</f>
        <v>Old World Alliance4</v>
      </c>
      <c r="C129" s="2" t="s">
        <v>241</v>
      </c>
      <c r="D129" s="2" t="str">
        <f t="shared" si="0"/>
        <v>Old World AllianceThrower</v>
      </c>
      <c r="E129" s="2">
        <v>6</v>
      </c>
      <c r="F129" s="2">
        <v>3</v>
      </c>
      <c r="G129" s="2">
        <v>3</v>
      </c>
      <c r="H129" s="2">
        <v>3</v>
      </c>
      <c r="I129" s="2">
        <v>9</v>
      </c>
      <c r="J129" s="2" t="str">
        <f>IF('Pack Vieja Gloria'!$J$24="Español",V129,(IF('Pack Vieja Gloria'!$J$24="Deutsch",W129,(IF('Pack Vieja Gloria'!$J$24="Français",X129,U129)))))</f>
        <v>Animosidad (todos los Enanos y Halflings), Pasar, Manos seguras</v>
      </c>
      <c r="K129" s="1">
        <v>80000</v>
      </c>
      <c r="L129" s="1">
        <f t="shared" si="10"/>
        <v>80</v>
      </c>
      <c r="M129" s="2">
        <v>1</v>
      </c>
      <c r="N129" s="2">
        <v>0</v>
      </c>
      <c r="O129" s="1" t="s">
        <v>170</v>
      </c>
      <c r="P129" s="1" t="s">
        <v>169</v>
      </c>
      <c r="Q129" s="1" t="s">
        <v>169</v>
      </c>
      <c r="R129" s="1" t="s">
        <v>170</v>
      </c>
      <c r="S129" s="1">
        <v>0</v>
      </c>
      <c r="T129" s="15" t="str">
        <f t="shared" si="7"/>
        <v>M</v>
      </c>
      <c r="U129" s="15" t="s">
        <v>547</v>
      </c>
      <c r="V129" s="2" t="s">
        <v>548</v>
      </c>
      <c r="W129" s="15" t="s">
        <v>549</v>
      </c>
      <c r="X129" s="15" t="s">
        <v>550</v>
      </c>
      <c r="Y129" s="15"/>
    </row>
    <row r="130" spans="1:25" ht="12.75" customHeight="1" x14ac:dyDescent="0.2">
      <c r="A130" s="23" t="s">
        <v>118</v>
      </c>
      <c r="B130" s="2" t="str">
        <f>A130&amp;COUNTIF($A$2:$A130,A130)</f>
        <v>Old World Alliance5</v>
      </c>
      <c r="C130" s="2" t="s">
        <v>243</v>
      </c>
      <c r="D130" s="2" t="str">
        <f t="shared" si="0"/>
        <v>Old World AllianceBlitzer</v>
      </c>
      <c r="E130" s="2">
        <v>7</v>
      </c>
      <c r="F130" s="2">
        <v>3</v>
      </c>
      <c r="G130" s="2">
        <v>3</v>
      </c>
      <c r="H130" s="2">
        <v>4</v>
      </c>
      <c r="I130" s="2">
        <v>9</v>
      </c>
      <c r="J130" s="2" t="str">
        <f>IF('Pack Vieja Gloria'!$J$24="Español",V130,(IF('Pack Vieja Gloria'!$J$24="Deutsch",W130,(IF('Pack Vieja Gloria'!$J$24="Français",X130,U130)))))</f>
        <v>Animosidad (todos los Enanos y Halflings), Placar</v>
      </c>
      <c r="K130" s="1">
        <v>90000</v>
      </c>
      <c r="L130" s="1">
        <f t="shared" si="10"/>
        <v>90</v>
      </c>
      <c r="M130" s="2">
        <v>1</v>
      </c>
      <c r="N130" s="2">
        <v>0</v>
      </c>
      <c r="O130" s="1" t="s">
        <v>170</v>
      </c>
      <c r="P130" s="1" t="s">
        <v>169</v>
      </c>
      <c r="Q130" s="1" t="s">
        <v>170</v>
      </c>
      <c r="R130" s="1">
        <v>0</v>
      </c>
      <c r="S130" s="1">
        <v>0</v>
      </c>
      <c r="T130" s="15" t="str">
        <f t="shared" si="7"/>
        <v>PM</v>
      </c>
      <c r="U130" s="15" t="s">
        <v>551</v>
      </c>
      <c r="V130" s="2" t="s">
        <v>552</v>
      </c>
      <c r="W130" s="15" t="s">
        <v>553</v>
      </c>
      <c r="X130" s="15" t="s">
        <v>554</v>
      </c>
      <c r="Y130" s="15"/>
    </row>
    <row r="131" spans="1:25" ht="12.75" customHeight="1" x14ac:dyDescent="0.2">
      <c r="A131" s="23" t="s">
        <v>118</v>
      </c>
      <c r="B131" s="2" t="str">
        <f>A131&amp;COUNTIF($A$2:$A131,A131)</f>
        <v>Old World Alliance6</v>
      </c>
      <c r="C131" s="2" t="s">
        <v>403</v>
      </c>
      <c r="D131" s="2" t="str">
        <f t="shared" si="0"/>
        <v>Old World AllianceHalfling Hopeful</v>
      </c>
      <c r="E131" s="2">
        <v>5</v>
      </c>
      <c r="F131" s="2">
        <v>2</v>
      </c>
      <c r="G131" s="2">
        <v>3</v>
      </c>
      <c r="H131" s="2">
        <v>4</v>
      </c>
      <c r="I131" s="2">
        <v>7</v>
      </c>
      <c r="J131" s="2" t="str">
        <f>IF('Pack Vieja Gloria'!$J$24="Español",V131,(IF('Pack Vieja Gloria'!$J$24="Deutsch",W131,(IF('Pack Vieja Gloria'!$J$24="Français",X131,U131)))))</f>
        <v>Animosidad (todos los Enanos y Humanos), Esquivar, Humanoide bala, Escurridizo</v>
      </c>
      <c r="K131" s="1">
        <v>30000</v>
      </c>
      <c r="L131" s="1">
        <f t="shared" si="10"/>
        <v>30</v>
      </c>
      <c r="M131" s="2">
        <v>2</v>
      </c>
      <c r="N131" s="2">
        <v>0</v>
      </c>
      <c r="O131" s="1" t="s">
        <v>169</v>
      </c>
      <c r="P131" s="1" t="s">
        <v>170</v>
      </c>
      <c r="Q131" s="1" t="s">
        <v>169</v>
      </c>
      <c r="R131" s="1">
        <v>0</v>
      </c>
      <c r="S131" s="1">
        <v>0</v>
      </c>
      <c r="T131" s="15" t="str">
        <f t="shared" ref="T131:T194" si="13">IF(K131=0,"",(IF(O131=0,"GPSM",(IF(AND(R131=0,S131=0),"PM",(IF(S131=0,"M",(IF(R131=0,"P","FULL")))))))))</f>
        <v>PM</v>
      </c>
      <c r="U131" s="15" t="s">
        <v>555</v>
      </c>
      <c r="V131" s="2" t="s">
        <v>556</v>
      </c>
      <c r="W131" s="15" t="s">
        <v>557</v>
      </c>
      <c r="X131" s="15" t="s">
        <v>558</v>
      </c>
      <c r="Y131" s="15"/>
    </row>
    <row r="132" spans="1:25" ht="12.75" customHeight="1" x14ac:dyDescent="0.2">
      <c r="A132" s="23" t="s">
        <v>118</v>
      </c>
      <c r="B132" s="2" t="str">
        <f>A132&amp;COUNTIF($A$2:$A132,A132)</f>
        <v>Old World Alliance7</v>
      </c>
      <c r="C132" s="2" t="s">
        <v>559</v>
      </c>
      <c r="D132" s="2" t="str">
        <f t="shared" si="0"/>
        <v>Old World AllianceDwarf Blocker</v>
      </c>
      <c r="E132" s="2">
        <v>4</v>
      </c>
      <c r="F132" s="2">
        <v>3</v>
      </c>
      <c r="G132" s="2">
        <v>4</v>
      </c>
      <c r="H132" s="2">
        <v>5</v>
      </c>
      <c r="I132" s="2">
        <v>10</v>
      </c>
      <c r="J132" s="2" t="str">
        <f>IF('Pack Vieja Gloria'!$J$24="Español",V132,(IF('Pack Vieja Gloria'!$J$24="Deutsch",W132,(IF('Pack Vieja Gloria'!$J$24="Français",X132,U132)))))</f>
        <v>Llave de brazo, Luchador, Solitario (3+), Cabeza dura</v>
      </c>
      <c r="K132" s="1">
        <v>75000</v>
      </c>
      <c r="L132" s="1">
        <f t="shared" si="10"/>
        <v>75</v>
      </c>
      <c r="M132" s="7">
        <v>2</v>
      </c>
      <c r="N132" s="7">
        <v>0</v>
      </c>
      <c r="O132" s="1" t="s">
        <v>170</v>
      </c>
      <c r="P132" s="1" t="s">
        <v>169</v>
      </c>
      <c r="Q132" s="1" t="s">
        <v>170</v>
      </c>
      <c r="R132" s="1">
        <v>0</v>
      </c>
      <c r="S132" s="1">
        <v>0</v>
      </c>
      <c r="T132" s="15" t="str">
        <f t="shared" si="13"/>
        <v>PM</v>
      </c>
      <c r="U132" s="15" t="s">
        <v>560</v>
      </c>
      <c r="V132" s="2" t="s">
        <v>561</v>
      </c>
      <c r="W132" s="15" t="s">
        <v>562</v>
      </c>
      <c r="X132" s="15" t="s">
        <v>563</v>
      </c>
      <c r="Y132" s="15"/>
    </row>
    <row r="133" spans="1:25" ht="12.75" customHeight="1" x14ac:dyDescent="0.2">
      <c r="A133" s="23" t="s">
        <v>118</v>
      </c>
      <c r="B133" s="2" t="str">
        <f>A133&amp;COUNTIF($A$2:$A133,A133)</f>
        <v>Old World Alliance8</v>
      </c>
      <c r="C133" s="2" t="s">
        <v>564</v>
      </c>
      <c r="D133" s="2" t="str">
        <f t="shared" si="0"/>
        <v>Old World AllianceDwarf Runner</v>
      </c>
      <c r="E133" s="2">
        <v>6</v>
      </c>
      <c r="F133" s="2">
        <v>3</v>
      </c>
      <c r="G133" s="2">
        <v>3</v>
      </c>
      <c r="H133" s="2">
        <v>4</v>
      </c>
      <c r="I133" s="2">
        <v>9</v>
      </c>
      <c r="J133" s="2" t="str">
        <f>IF('Pack Vieja Gloria'!$J$24="Español",V133,(IF('Pack Vieja Gloria'!$J$24="Deutsch",W133,(IF('Pack Vieja Gloria'!$J$24="Français",X133,U133)))))</f>
        <v>Solitario (3+), Manos seguras, Cabeza dura</v>
      </c>
      <c r="K133" s="1">
        <v>85000</v>
      </c>
      <c r="L133" s="1">
        <f t="shared" si="10"/>
        <v>85</v>
      </c>
      <c r="M133" s="1">
        <v>1</v>
      </c>
      <c r="N133" s="1">
        <v>0</v>
      </c>
      <c r="O133" s="1" t="s">
        <v>170</v>
      </c>
      <c r="P133" s="1" t="s">
        <v>169</v>
      </c>
      <c r="Q133" s="1" t="s">
        <v>169</v>
      </c>
      <c r="R133" s="1" t="s">
        <v>170</v>
      </c>
      <c r="S133" s="1">
        <v>0</v>
      </c>
      <c r="T133" s="15" t="str">
        <f t="shared" si="13"/>
        <v>M</v>
      </c>
      <c r="U133" s="15" t="s">
        <v>565</v>
      </c>
      <c r="V133" s="2" t="s">
        <v>566</v>
      </c>
      <c r="W133" s="15" t="s">
        <v>567</v>
      </c>
      <c r="X133" s="15" t="s">
        <v>568</v>
      </c>
      <c r="Y133" s="15"/>
    </row>
    <row r="134" spans="1:25" ht="12.75" customHeight="1" x14ac:dyDescent="0.2">
      <c r="A134" s="23" t="s">
        <v>118</v>
      </c>
      <c r="B134" s="2" t="str">
        <f>A134&amp;COUNTIF($A$2:$A134,A134)</f>
        <v>Old World Alliance9</v>
      </c>
      <c r="C134" s="2" t="s">
        <v>569</v>
      </c>
      <c r="D134" s="2" t="str">
        <f t="shared" si="0"/>
        <v>Old World AllianceDwarf Blitzer</v>
      </c>
      <c r="E134" s="2">
        <v>5</v>
      </c>
      <c r="F134" s="2">
        <v>3</v>
      </c>
      <c r="G134" s="2">
        <v>3</v>
      </c>
      <c r="H134" s="2">
        <v>4</v>
      </c>
      <c r="I134" s="2">
        <v>10</v>
      </c>
      <c r="J134" s="2" t="str">
        <f>IF('Pack Vieja Gloria'!$J$24="Español",V134,(IF('Pack Vieja Gloria'!$J$24="Deutsch",W134,(IF('Pack Vieja Gloria'!$J$24="Français",X134,U134)))))</f>
        <v>Placar, Solitario (3+), Cabeza dura</v>
      </c>
      <c r="K134" s="1">
        <v>80000</v>
      </c>
      <c r="L134" s="1">
        <f t="shared" si="10"/>
        <v>80</v>
      </c>
      <c r="M134" s="1">
        <v>1</v>
      </c>
      <c r="N134" s="1">
        <v>0</v>
      </c>
      <c r="O134" s="1" t="s">
        <v>170</v>
      </c>
      <c r="P134" s="1" t="s">
        <v>169</v>
      </c>
      <c r="Q134" s="1" t="s">
        <v>170</v>
      </c>
      <c r="R134" s="1">
        <v>0</v>
      </c>
      <c r="S134" s="1">
        <v>0</v>
      </c>
      <c r="T134" s="15" t="str">
        <f t="shared" si="13"/>
        <v>PM</v>
      </c>
      <c r="U134" s="15" t="s">
        <v>570</v>
      </c>
      <c r="V134" s="2" t="s">
        <v>571</v>
      </c>
      <c r="W134" s="15" t="s">
        <v>572</v>
      </c>
      <c r="X134" s="15" t="s">
        <v>573</v>
      </c>
      <c r="Y134" s="15"/>
    </row>
    <row r="135" spans="1:25" ht="12.75" customHeight="1" x14ac:dyDescent="0.2">
      <c r="A135" s="23" t="s">
        <v>118</v>
      </c>
      <c r="B135" s="2" t="str">
        <f>A135&amp;COUNTIF($A$2:$A135,A135)</f>
        <v>Old World Alliance10</v>
      </c>
      <c r="C135" s="2" t="s">
        <v>574</v>
      </c>
      <c r="D135" s="2" t="str">
        <f t="shared" si="0"/>
        <v>Old World AllianceDwarf Troll Slayer</v>
      </c>
      <c r="E135" s="2">
        <v>5</v>
      </c>
      <c r="F135" s="2">
        <v>3</v>
      </c>
      <c r="G135" s="2">
        <v>4</v>
      </c>
      <c r="H135" s="2">
        <v>0</v>
      </c>
      <c r="I135" s="2">
        <v>9</v>
      </c>
      <c r="J135" s="2" t="str">
        <f>IF('Pack Vieja Gloria'!$J$24="Español",V135,(IF('Pack Vieja Gloria'!$J$24="Deutsch",W135,(IF('Pack Vieja Gloria'!$J$24="Français",X135,U135)))))</f>
        <v>Placar, Furia, Agallas, Solitario (3+), Cabeza dura</v>
      </c>
      <c r="K135" s="1">
        <v>95000</v>
      </c>
      <c r="L135" s="1">
        <f t="shared" si="10"/>
        <v>95</v>
      </c>
      <c r="M135" s="1">
        <v>1</v>
      </c>
      <c r="N135" s="1">
        <v>0</v>
      </c>
      <c r="O135" s="1" t="s">
        <v>170</v>
      </c>
      <c r="P135" s="1" t="s">
        <v>169</v>
      </c>
      <c r="Q135" s="1" t="s">
        <v>170</v>
      </c>
      <c r="R135" s="12">
        <v>0</v>
      </c>
      <c r="S135" s="1">
        <v>0</v>
      </c>
      <c r="T135" s="15" t="str">
        <f t="shared" si="13"/>
        <v>PM</v>
      </c>
      <c r="U135" s="15" t="s">
        <v>575</v>
      </c>
      <c r="V135" s="15" t="s">
        <v>576</v>
      </c>
      <c r="W135" s="15" t="s">
        <v>577</v>
      </c>
      <c r="X135" s="15" t="s">
        <v>578</v>
      </c>
      <c r="Y135" s="15"/>
    </row>
    <row r="136" spans="1:25" ht="12.75" customHeight="1" x14ac:dyDescent="0.2">
      <c r="A136" s="23" t="s">
        <v>118</v>
      </c>
      <c r="B136" s="2" t="str">
        <f>A136&amp;COUNTIF($A$2:$A136,A136)</f>
        <v>Old World Alliance11</v>
      </c>
      <c r="C136" s="2" t="s">
        <v>110</v>
      </c>
      <c r="D136" s="2" t="str">
        <f t="shared" si="0"/>
        <v>Old World AllianceOgre</v>
      </c>
      <c r="E136" s="2">
        <v>5</v>
      </c>
      <c r="F136" s="2">
        <v>5</v>
      </c>
      <c r="G136" s="2">
        <v>4</v>
      </c>
      <c r="H136" s="2">
        <v>5</v>
      </c>
      <c r="I136" s="2">
        <v>10</v>
      </c>
      <c r="J136" s="2" t="str">
        <f>IF('Pack Vieja Gloria'!$J$24="Español",V136,(IF('Pack Vieja Gloria'!$J$24="Deutsch",W136,(IF('Pack Vieja Gloria'!$J$24="Français",X136,U136)))))</f>
        <v>Estúpido, Solitario (4+), Golpe mortífero (+1), Cabeza dura, Lanzar Compañero</v>
      </c>
      <c r="K136" s="1">
        <v>140000</v>
      </c>
      <c r="L136" s="1">
        <f t="shared" si="10"/>
        <v>140</v>
      </c>
      <c r="M136" s="2">
        <v>1</v>
      </c>
      <c r="N136" s="2">
        <v>1</v>
      </c>
      <c r="O136" s="1" t="s">
        <v>169</v>
      </c>
      <c r="P136" s="1" t="s">
        <v>169</v>
      </c>
      <c r="Q136" s="1" t="s">
        <v>170</v>
      </c>
      <c r="R136" s="1">
        <v>0</v>
      </c>
      <c r="S136" s="1">
        <v>0</v>
      </c>
      <c r="T136" s="15" t="str">
        <f t="shared" si="13"/>
        <v>PM</v>
      </c>
      <c r="U136" s="15" t="s">
        <v>270</v>
      </c>
      <c r="V136" s="15" t="s">
        <v>271</v>
      </c>
      <c r="W136" s="15" t="s">
        <v>272</v>
      </c>
      <c r="X136" s="15" t="s">
        <v>273</v>
      </c>
      <c r="Y136" s="15"/>
    </row>
    <row r="137" spans="1:25" ht="12.75" customHeight="1" x14ac:dyDescent="0.2">
      <c r="A137" s="23" t="s">
        <v>118</v>
      </c>
      <c r="B137" s="2" t="str">
        <f>A137&amp;COUNTIF($A$2:$A137,A137)</f>
        <v>Old World Alliance12</v>
      </c>
      <c r="C137" s="2" t="s">
        <v>414</v>
      </c>
      <c r="D137" s="2" t="str">
        <f t="shared" si="0"/>
        <v>Old World AllianceForest Treeman</v>
      </c>
      <c r="E137" s="2">
        <v>2</v>
      </c>
      <c r="F137" s="2">
        <v>6</v>
      </c>
      <c r="G137" s="2">
        <v>5</v>
      </c>
      <c r="H137" s="2">
        <v>5</v>
      </c>
      <c r="I137" s="2">
        <v>11</v>
      </c>
      <c r="J137" s="2" t="str">
        <f>IF('Pack Vieja Gloria'!$J$24="Español",V137,(IF('Pack Vieja Gloria'!$J$24="Deutsch",W137,(IF('Pack Vieja Gloria'!$J$24="Français",X137,U137)))))</f>
        <v>Golpe mortífero (+1), Solitario (4+), Mantenerse firme, Brazo fuerte, Echar raíces, Cabeza dura, Lanzar compañero, ¡Tronco va!</v>
      </c>
      <c r="K137" s="1">
        <v>120000</v>
      </c>
      <c r="L137" s="1">
        <f t="shared" si="10"/>
        <v>120</v>
      </c>
      <c r="M137" s="1">
        <v>1</v>
      </c>
      <c r="N137" s="1">
        <v>1</v>
      </c>
      <c r="O137" s="1" t="s">
        <v>169</v>
      </c>
      <c r="P137" s="1" t="s">
        <v>169</v>
      </c>
      <c r="Q137" s="1" t="s">
        <v>170</v>
      </c>
      <c r="R137" s="1" t="s">
        <v>169</v>
      </c>
      <c r="S137" s="1">
        <v>0</v>
      </c>
      <c r="T137" s="15" t="str">
        <f t="shared" si="13"/>
        <v>M</v>
      </c>
      <c r="U137" s="11" t="s">
        <v>579</v>
      </c>
      <c r="V137" s="11" t="s">
        <v>580</v>
      </c>
      <c r="W137" s="11" t="s">
        <v>581</v>
      </c>
      <c r="X137" s="18" t="s">
        <v>582</v>
      </c>
      <c r="Y137" s="15"/>
    </row>
    <row r="138" spans="1:25" ht="12.75" customHeight="1" x14ac:dyDescent="0.2">
      <c r="A138" s="23" t="s">
        <v>123</v>
      </c>
      <c r="B138" s="2" t="str">
        <f>A138&amp;COUNTIF($A$2:$A138,A138)</f>
        <v>Orc1</v>
      </c>
      <c r="C138" s="2" t="str">
        <f>""</f>
        <v/>
      </c>
      <c r="D138" s="2" t="str">
        <f t="shared" si="0"/>
        <v>Orc</v>
      </c>
      <c r="E138" s="2">
        <v>0</v>
      </c>
      <c r="F138" s="2">
        <v>0</v>
      </c>
      <c r="G138" s="2">
        <v>0</v>
      </c>
      <c r="H138" s="2">
        <v>0</v>
      </c>
      <c r="I138" s="2">
        <v>0</v>
      </c>
      <c r="J138" s="2">
        <f>IF('Pack Vieja Gloria'!$J$24="Español",V138,(IF('Pack Vieja Gloria'!$J$24="Deutsch",W138,(IF('Pack Vieja Gloria'!$J$24="Français",X138,U138)))))</f>
        <v>0</v>
      </c>
      <c r="K138" s="1">
        <v>0</v>
      </c>
      <c r="L138" s="1">
        <f t="shared" si="10"/>
        <v>0</v>
      </c>
      <c r="M138" s="1">
        <v>0</v>
      </c>
      <c r="N138" s="1">
        <v>0</v>
      </c>
      <c r="O138" s="1"/>
      <c r="P138" s="1"/>
      <c r="Q138" s="1"/>
      <c r="R138" s="1"/>
      <c r="S138" s="1"/>
      <c r="T138" s="15" t="str">
        <f t="shared" si="13"/>
        <v/>
      </c>
      <c r="U138" s="15">
        <v>0</v>
      </c>
      <c r="V138" s="15">
        <v>0</v>
      </c>
      <c r="W138" s="15">
        <v>0</v>
      </c>
      <c r="X138" s="15">
        <v>0</v>
      </c>
      <c r="Y138" s="15">
        <v>0</v>
      </c>
    </row>
    <row r="139" spans="1:25" ht="12.75" customHeight="1" x14ac:dyDescent="0.2">
      <c r="A139" s="23" t="s">
        <v>123</v>
      </c>
      <c r="B139" s="2" t="str">
        <f>A139&amp;COUNTIF($A$2:$A139,A139)</f>
        <v>Orc2</v>
      </c>
      <c r="C139" s="2" t="s">
        <v>319</v>
      </c>
      <c r="D139" s="2" t="str">
        <f t="shared" si="0"/>
        <v>OrcLineman</v>
      </c>
      <c r="E139" s="2">
        <v>5</v>
      </c>
      <c r="F139" s="2">
        <v>3</v>
      </c>
      <c r="G139" s="2">
        <v>3</v>
      </c>
      <c r="H139" s="2">
        <v>4</v>
      </c>
      <c r="I139" s="2">
        <v>10</v>
      </c>
      <c r="J139" s="2" t="str">
        <f>IF('Pack Vieja Gloria'!$J$24="Español",V139,(IF('Pack Vieja Gloria'!$J$24="Deutsch",W139,(IF('Pack Vieja Gloria'!$J$24="Français",X139,U139)))))</f>
        <v>Animosidad (Orc Linemen)</v>
      </c>
      <c r="K139" s="1">
        <v>50000</v>
      </c>
      <c r="L139" s="1">
        <f t="shared" si="10"/>
        <v>50</v>
      </c>
      <c r="M139" s="2">
        <v>16</v>
      </c>
      <c r="N139" s="2">
        <v>0</v>
      </c>
      <c r="O139" s="1" t="s">
        <v>170</v>
      </c>
      <c r="P139" s="1" t="s">
        <v>169</v>
      </c>
      <c r="Q139" s="1" t="s">
        <v>169</v>
      </c>
      <c r="R139" s="1">
        <v>0</v>
      </c>
      <c r="S139" s="1">
        <v>0</v>
      </c>
      <c r="T139" s="15" t="str">
        <f t="shared" si="13"/>
        <v>PM</v>
      </c>
      <c r="U139" s="15" t="s">
        <v>583</v>
      </c>
      <c r="V139" s="15" t="s">
        <v>584</v>
      </c>
      <c r="W139" s="15" t="s">
        <v>585</v>
      </c>
      <c r="X139" s="15" t="s">
        <v>586</v>
      </c>
      <c r="Y139" s="15"/>
    </row>
    <row r="140" spans="1:25" ht="12.75" customHeight="1" x14ac:dyDescent="0.2">
      <c r="A140" s="23" t="s">
        <v>123</v>
      </c>
      <c r="B140" s="2" t="str">
        <f>A140&amp;COUNTIF($A$2:$A140,A140)</f>
        <v>Orc3</v>
      </c>
      <c r="C140" s="2" t="s">
        <v>587</v>
      </c>
      <c r="D140" s="2" t="str">
        <f t="shared" si="0"/>
        <v xml:space="preserve">OrcGoblin </v>
      </c>
      <c r="E140" s="2">
        <v>6</v>
      </c>
      <c r="F140" s="2">
        <v>2</v>
      </c>
      <c r="G140" s="2">
        <v>3</v>
      </c>
      <c r="H140" s="2">
        <v>4</v>
      </c>
      <c r="I140" s="2">
        <v>8</v>
      </c>
      <c r="J140" s="2" t="str">
        <f>IF('Pack Vieja Gloria'!$J$24="Español",V140,(IF('Pack Vieja Gloria'!$J$24="Deutsch",W140,(IF('Pack Vieja Gloria'!$J$24="Français",X140,U140)))))</f>
        <v>Esquivar, Humanoide bala, Escurridizo</v>
      </c>
      <c r="K140" s="1">
        <v>40000</v>
      </c>
      <c r="L140" s="1">
        <f t="shared" si="10"/>
        <v>40</v>
      </c>
      <c r="M140" s="2">
        <v>4</v>
      </c>
      <c r="N140" s="2">
        <v>0</v>
      </c>
      <c r="O140" s="1" t="s">
        <v>169</v>
      </c>
      <c r="P140" s="1" t="s">
        <v>170</v>
      </c>
      <c r="Q140" s="1" t="s">
        <v>169</v>
      </c>
      <c r="R140" s="1">
        <v>0</v>
      </c>
      <c r="S140" s="1">
        <v>0</v>
      </c>
      <c r="T140" s="15" t="str">
        <f t="shared" si="13"/>
        <v>PM</v>
      </c>
      <c r="U140" s="15" t="s">
        <v>368</v>
      </c>
      <c r="V140" s="15" t="s">
        <v>369</v>
      </c>
      <c r="W140" s="15" t="s">
        <v>370</v>
      </c>
      <c r="X140" s="15" t="s">
        <v>371</v>
      </c>
      <c r="Y140" s="15"/>
    </row>
    <row r="141" spans="1:25" ht="12.75" customHeight="1" x14ac:dyDescent="0.2">
      <c r="A141" s="23" t="s">
        <v>123</v>
      </c>
      <c r="B141" s="2" t="str">
        <f>A141&amp;COUNTIF($A$2:$A141,A141)</f>
        <v>Orc4</v>
      </c>
      <c r="C141" s="2" t="s">
        <v>241</v>
      </c>
      <c r="D141" s="2" t="str">
        <f t="shared" si="0"/>
        <v>OrcThrower</v>
      </c>
      <c r="E141" s="2">
        <v>5</v>
      </c>
      <c r="F141" s="2">
        <v>3</v>
      </c>
      <c r="G141" s="2">
        <v>3</v>
      </c>
      <c r="H141" s="2">
        <v>3</v>
      </c>
      <c r="I141" s="2">
        <v>9</v>
      </c>
      <c r="J141" s="2" t="str">
        <f>IF('Pack Vieja Gloria'!$J$24="Español",V141,(IF('Pack Vieja Gloria'!$J$24="Deutsch",W141,(IF('Pack Vieja Gloria'!$J$24="Français",X141,U141)))))</f>
        <v>Animosidad (todo el equipo), Pasar, Manos seguras</v>
      </c>
      <c r="K141" s="1">
        <v>65000</v>
      </c>
      <c r="L141" s="1">
        <f t="shared" si="10"/>
        <v>65</v>
      </c>
      <c r="M141" s="2">
        <v>2</v>
      </c>
      <c r="N141" s="2">
        <v>0</v>
      </c>
      <c r="O141" s="1" t="s">
        <v>170</v>
      </c>
      <c r="P141" s="1" t="s">
        <v>169</v>
      </c>
      <c r="Q141" s="1" t="s">
        <v>170</v>
      </c>
      <c r="R141" s="1" t="s">
        <v>170</v>
      </c>
      <c r="S141" s="1">
        <v>0</v>
      </c>
      <c r="T141" s="15" t="str">
        <f t="shared" si="13"/>
        <v>M</v>
      </c>
      <c r="U141" s="15" t="s">
        <v>1131</v>
      </c>
      <c r="V141" s="15" t="s">
        <v>588</v>
      </c>
      <c r="W141" s="15" t="s">
        <v>589</v>
      </c>
      <c r="X141" s="15" t="s">
        <v>590</v>
      </c>
      <c r="Y141" s="15"/>
    </row>
    <row r="142" spans="1:25" ht="12.75" customHeight="1" x14ac:dyDescent="0.2">
      <c r="A142" s="23" t="s">
        <v>123</v>
      </c>
      <c r="B142" s="2" t="str">
        <f>A142&amp;COUNTIF($A$2:$A142,A142)</f>
        <v>Orc5</v>
      </c>
      <c r="C142" s="2" t="s">
        <v>591</v>
      </c>
      <c r="D142" s="2" t="str">
        <f t="shared" si="0"/>
        <v>OrcBig Un</v>
      </c>
      <c r="E142" s="2">
        <v>5</v>
      </c>
      <c r="F142" s="2">
        <v>4</v>
      </c>
      <c r="G142" s="2">
        <v>4</v>
      </c>
      <c r="H142" s="2">
        <v>0</v>
      </c>
      <c r="I142" s="2">
        <v>10</v>
      </c>
      <c r="J142" s="2" t="str">
        <f>IF('Pack Vieja Gloria'!$J$24="Español",V142,(IF('Pack Vieja Gloria'!$J$24="Deutsch",W142,(IF('Pack Vieja Gloria'!$J$24="Français",X142,U142)))))</f>
        <v>Animosidad (Big Un Blockers)</v>
      </c>
      <c r="K142" s="1">
        <v>90000</v>
      </c>
      <c r="L142" s="1">
        <f t="shared" si="10"/>
        <v>90</v>
      </c>
      <c r="M142" s="2">
        <v>4</v>
      </c>
      <c r="N142" s="2">
        <v>0</v>
      </c>
      <c r="O142" s="1" t="s">
        <v>170</v>
      </c>
      <c r="P142" s="1" t="s">
        <v>169</v>
      </c>
      <c r="Q142" s="1" t="s">
        <v>170</v>
      </c>
      <c r="R142" s="12">
        <v>0</v>
      </c>
      <c r="S142" s="1">
        <v>0</v>
      </c>
      <c r="T142" s="15" t="str">
        <f t="shared" si="13"/>
        <v>PM</v>
      </c>
      <c r="U142" s="15" t="s">
        <v>592</v>
      </c>
      <c r="V142" s="15" t="s">
        <v>593</v>
      </c>
      <c r="W142" s="15" t="s">
        <v>594</v>
      </c>
      <c r="X142" s="15" t="s">
        <v>595</v>
      </c>
      <c r="Y142" s="15"/>
    </row>
    <row r="143" spans="1:25" ht="12.75" customHeight="1" x14ac:dyDescent="0.2">
      <c r="A143" s="23" t="s">
        <v>123</v>
      </c>
      <c r="B143" s="2" t="str">
        <f>A143&amp;COUNTIF($A$2:$A143,A143)</f>
        <v>Orc6</v>
      </c>
      <c r="C143" s="2" t="s">
        <v>243</v>
      </c>
      <c r="D143" s="2" t="str">
        <f t="shared" si="0"/>
        <v>OrcBlitzer</v>
      </c>
      <c r="E143" s="2">
        <v>6</v>
      </c>
      <c r="F143" s="2">
        <v>3</v>
      </c>
      <c r="G143" s="2">
        <v>3</v>
      </c>
      <c r="H143" s="2">
        <v>4</v>
      </c>
      <c r="I143" s="2">
        <v>10</v>
      </c>
      <c r="J143" s="2" t="str">
        <f>IF('Pack Vieja Gloria'!$J$24="Español",V143,(IF('Pack Vieja Gloria'!$J$24="Deutsch",W143,(IF('Pack Vieja Gloria'!$J$24="Français",X143,U143)))))</f>
        <v>Animosidad (todo el equipo), Placar</v>
      </c>
      <c r="K143" s="1">
        <v>80000</v>
      </c>
      <c r="L143" s="1">
        <f t="shared" si="10"/>
        <v>80</v>
      </c>
      <c r="M143" s="2">
        <v>4</v>
      </c>
      <c r="N143" s="2">
        <v>0</v>
      </c>
      <c r="O143" s="1" t="s">
        <v>170</v>
      </c>
      <c r="P143" s="1" t="s">
        <v>169</v>
      </c>
      <c r="Q143" s="1" t="s">
        <v>170</v>
      </c>
      <c r="R143" s="1" t="s">
        <v>169</v>
      </c>
      <c r="S143" s="1">
        <v>0</v>
      </c>
      <c r="T143" s="15" t="str">
        <f t="shared" si="13"/>
        <v>M</v>
      </c>
      <c r="U143" s="15" t="s">
        <v>1132</v>
      </c>
      <c r="V143" s="2" t="s">
        <v>596</v>
      </c>
      <c r="W143" s="15" t="s">
        <v>597</v>
      </c>
      <c r="X143" s="15" t="s">
        <v>598</v>
      </c>
      <c r="Y143" s="15"/>
    </row>
    <row r="144" spans="1:25" ht="12.75" customHeight="1" x14ac:dyDescent="0.2">
      <c r="A144" s="23" t="s">
        <v>123</v>
      </c>
      <c r="B144" s="2" t="str">
        <f>A144&amp;COUNTIF($A$2:$A144,A144)</f>
        <v>Orc7</v>
      </c>
      <c r="C144" s="2" t="s">
        <v>599</v>
      </c>
      <c r="D144" s="2" t="str">
        <f t="shared" si="0"/>
        <v>OrcUntrained Troll</v>
      </c>
      <c r="E144" s="2">
        <v>4</v>
      </c>
      <c r="F144" s="2">
        <v>5</v>
      </c>
      <c r="G144" s="2">
        <v>5</v>
      </c>
      <c r="H144" s="2">
        <v>5</v>
      </c>
      <c r="I144" s="2">
        <v>10</v>
      </c>
      <c r="J144" s="2" t="str">
        <f>IF('Pack Vieja Gloria'!$J$24="Español",V144,(IF('Pack Vieja Gloria'!$J$24="Deutsch",W144,(IF('Pack Vieja Gloria'!$J$24="Français",X144,U144)))))</f>
        <v>Siempre hambriento, Solitario (4+), Golpe mortífero (+1), Proyectil de vómito, Realmente estúpido, Regeneración, Lanzar compañero</v>
      </c>
      <c r="K144" s="1">
        <v>115000</v>
      </c>
      <c r="L144" s="1">
        <f t="shared" si="10"/>
        <v>115</v>
      </c>
      <c r="M144" s="2">
        <v>1</v>
      </c>
      <c r="N144" s="2">
        <v>1</v>
      </c>
      <c r="O144" s="1" t="s">
        <v>169</v>
      </c>
      <c r="P144" s="1" t="s">
        <v>169</v>
      </c>
      <c r="Q144" s="1" t="s">
        <v>170</v>
      </c>
      <c r="R144" s="1" t="s">
        <v>169</v>
      </c>
      <c r="S144" s="1">
        <v>0</v>
      </c>
      <c r="T144" s="15" t="str">
        <f t="shared" si="13"/>
        <v>M</v>
      </c>
      <c r="U144" s="15" t="s">
        <v>265</v>
      </c>
      <c r="V144" s="2" t="s">
        <v>266</v>
      </c>
      <c r="W144" s="15" t="s">
        <v>267</v>
      </c>
      <c r="X144" s="15" t="s">
        <v>268</v>
      </c>
      <c r="Y144" s="15"/>
    </row>
    <row r="145" spans="1:25" ht="12.75" customHeight="1" x14ac:dyDescent="0.2">
      <c r="A145" s="23" t="s">
        <v>128</v>
      </c>
      <c r="B145" s="2" t="str">
        <f>A145&amp;COUNTIF($A$2:$A145,A145)</f>
        <v>Shambling Undead1</v>
      </c>
      <c r="C145" s="2" t="str">
        <f>""</f>
        <v/>
      </c>
      <c r="D145" s="2" t="str">
        <f t="shared" si="0"/>
        <v>Shambling Undead</v>
      </c>
      <c r="E145" s="2">
        <v>0</v>
      </c>
      <c r="F145" s="2">
        <v>0</v>
      </c>
      <c r="G145" s="2">
        <v>0</v>
      </c>
      <c r="H145" s="2">
        <v>0</v>
      </c>
      <c r="I145" s="2">
        <v>0</v>
      </c>
      <c r="J145" s="2">
        <f>IF('Pack Vieja Gloria'!$J$24="Español",V145,(IF('Pack Vieja Gloria'!$J$24="Deutsch",W145,(IF('Pack Vieja Gloria'!$J$24="Français",X145,U145)))))</f>
        <v>0</v>
      </c>
      <c r="K145" s="1">
        <v>0</v>
      </c>
      <c r="L145" s="1">
        <f t="shared" si="10"/>
        <v>0</v>
      </c>
      <c r="M145" s="1">
        <v>0</v>
      </c>
      <c r="N145" s="1">
        <v>0</v>
      </c>
      <c r="O145" s="1"/>
      <c r="P145" s="1"/>
      <c r="Q145" s="1"/>
      <c r="R145" s="1"/>
      <c r="S145" s="1"/>
      <c r="T145" s="15" t="str">
        <f t="shared" si="13"/>
        <v/>
      </c>
      <c r="U145" s="15">
        <v>0</v>
      </c>
      <c r="V145" s="15">
        <v>0</v>
      </c>
      <c r="W145" s="15">
        <v>0</v>
      </c>
      <c r="X145" s="15">
        <v>0</v>
      </c>
      <c r="Y145" s="15">
        <v>0</v>
      </c>
    </row>
    <row r="146" spans="1:25" ht="12.75" customHeight="1" x14ac:dyDescent="0.2">
      <c r="A146" s="23" t="s">
        <v>128</v>
      </c>
      <c r="B146" s="2" t="str">
        <f>A146&amp;COUNTIF($A$2:$A146,A146)</f>
        <v>Shambling Undead2</v>
      </c>
      <c r="C146" s="2" t="s">
        <v>600</v>
      </c>
      <c r="D146" s="2" t="str">
        <f t="shared" si="0"/>
        <v>Shambling UndeadSkeleton</v>
      </c>
      <c r="E146" s="2">
        <v>5</v>
      </c>
      <c r="F146" s="2">
        <v>3</v>
      </c>
      <c r="G146" s="2">
        <v>4</v>
      </c>
      <c r="H146" s="2">
        <v>6</v>
      </c>
      <c r="I146" s="2">
        <v>8</v>
      </c>
      <c r="J146" s="2" t="str">
        <f>IF('Pack Vieja Gloria'!$J$24="Español",V146,(IF('Pack Vieja Gloria'!$J$24="Deutsch",W146,(IF('Pack Vieja Gloria'!$J$24="Français",X146,U146)))))</f>
        <v>Regeneración, Cabeza dura</v>
      </c>
      <c r="K146" s="1">
        <v>40000</v>
      </c>
      <c r="L146" s="1">
        <f t="shared" si="10"/>
        <v>40</v>
      </c>
      <c r="M146" s="2">
        <v>16</v>
      </c>
      <c r="N146" s="2">
        <v>0</v>
      </c>
      <c r="O146" s="1" t="s">
        <v>170</v>
      </c>
      <c r="P146" s="1" t="s">
        <v>169</v>
      </c>
      <c r="Q146" s="1" t="s">
        <v>169</v>
      </c>
      <c r="R146" s="1">
        <v>0</v>
      </c>
      <c r="S146" s="1">
        <v>0</v>
      </c>
      <c r="T146" s="15" t="str">
        <f t="shared" si="13"/>
        <v>PM</v>
      </c>
      <c r="U146" s="15" t="s">
        <v>601</v>
      </c>
      <c r="V146" s="2" t="s">
        <v>602</v>
      </c>
      <c r="W146" s="15" t="s">
        <v>603</v>
      </c>
      <c r="X146" s="15" t="s">
        <v>604</v>
      </c>
      <c r="Y146" s="15"/>
    </row>
    <row r="147" spans="1:25" ht="12.75" customHeight="1" x14ac:dyDescent="0.2">
      <c r="A147" s="23" t="s">
        <v>128</v>
      </c>
      <c r="B147" s="2" t="str">
        <f>A147&amp;COUNTIF($A$2:$A147,A147)</f>
        <v>Shambling Undead3</v>
      </c>
      <c r="C147" s="2" t="s">
        <v>479</v>
      </c>
      <c r="D147" s="2" t="str">
        <f t="shared" si="0"/>
        <v>Shambling UndeadZombie</v>
      </c>
      <c r="E147" s="2">
        <v>4</v>
      </c>
      <c r="F147" s="2">
        <v>3</v>
      </c>
      <c r="G147" s="2">
        <v>4</v>
      </c>
      <c r="H147" s="2">
        <v>0</v>
      </c>
      <c r="I147" s="2">
        <v>9</v>
      </c>
      <c r="J147" s="2" t="str">
        <f>IF('Pack Vieja Gloria'!$J$24="Español",V147,(IF('Pack Vieja Gloria'!$J$24="Deutsch",W147,(IF('Pack Vieja Gloria'!$J$24="Français",X147,U147)))))</f>
        <v>Regeneración</v>
      </c>
      <c r="K147" s="1">
        <v>40000</v>
      </c>
      <c r="L147" s="1">
        <f t="shared" si="10"/>
        <v>40</v>
      </c>
      <c r="M147" s="2">
        <v>16</v>
      </c>
      <c r="N147" s="2">
        <v>0</v>
      </c>
      <c r="O147" s="1" t="s">
        <v>170</v>
      </c>
      <c r="P147" s="1" t="s">
        <v>169</v>
      </c>
      <c r="Q147" s="1" t="s">
        <v>169</v>
      </c>
      <c r="R147" s="12">
        <v>0</v>
      </c>
      <c r="S147" s="1">
        <v>0</v>
      </c>
      <c r="T147" s="15" t="str">
        <f t="shared" si="13"/>
        <v>PM</v>
      </c>
      <c r="U147" s="15" t="s">
        <v>480</v>
      </c>
      <c r="V147" s="2" t="s">
        <v>481</v>
      </c>
      <c r="W147" s="15" t="s">
        <v>480</v>
      </c>
      <c r="X147" s="15" t="s">
        <v>482</v>
      </c>
      <c r="Y147" s="15"/>
    </row>
    <row r="148" spans="1:25" ht="12.75" customHeight="1" x14ac:dyDescent="0.2">
      <c r="A148" s="23" t="s">
        <v>128</v>
      </c>
      <c r="B148" s="2" t="str">
        <f>A148&amp;COUNTIF($A$2:$A148,A148)</f>
        <v>Shambling Undead4</v>
      </c>
      <c r="C148" s="2" t="s">
        <v>483</v>
      </c>
      <c r="D148" s="2" t="str">
        <f t="shared" si="0"/>
        <v>Shambling UndeadGhoul</v>
      </c>
      <c r="E148" s="2">
        <v>7</v>
      </c>
      <c r="F148" s="2">
        <v>3</v>
      </c>
      <c r="G148" s="2">
        <v>3</v>
      </c>
      <c r="H148" s="2">
        <v>4</v>
      </c>
      <c r="I148" s="2">
        <v>8</v>
      </c>
      <c r="J148" s="2" t="str">
        <f>IF('Pack Vieja Gloria'!$J$24="Español",V148,(IF('Pack Vieja Gloria'!$J$24="Deutsch",W148,(IF('Pack Vieja Gloria'!$J$24="Français",X148,U148)))))</f>
        <v>Esquivar</v>
      </c>
      <c r="K148" s="1">
        <v>75000</v>
      </c>
      <c r="L148" s="1">
        <f t="shared" si="10"/>
        <v>75</v>
      </c>
      <c r="M148" s="2">
        <v>4</v>
      </c>
      <c r="N148" s="2">
        <v>0</v>
      </c>
      <c r="O148" s="1" t="s">
        <v>170</v>
      </c>
      <c r="P148" s="1" t="s">
        <v>170</v>
      </c>
      <c r="Q148" s="1" t="s">
        <v>169</v>
      </c>
      <c r="R148" s="1" t="s">
        <v>169</v>
      </c>
      <c r="S148" s="1">
        <v>0</v>
      </c>
      <c r="T148" s="15" t="str">
        <f t="shared" si="13"/>
        <v>M</v>
      </c>
      <c r="U148" s="15" t="s">
        <v>237</v>
      </c>
      <c r="V148" s="15" t="s">
        <v>238</v>
      </c>
      <c r="W148" s="15" t="s">
        <v>239</v>
      </c>
      <c r="X148" s="15" t="s">
        <v>240</v>
      </c>
      <c r="Y148" s="15"/>
    </row>
    <row r="149" spans="1:25" ht="12.75" customHeight="1" x14ac:dyDescent="0.2">
      <c r="A149" s="23" t="s">
        <v>128</v>
      </c>
      <c r="B149" s="2" t="str">
        <f>A149&amp;COUNTIF($A$2:$A149,A149)</f>
        <v>Shambling Undead5</v>
      </c>
      <c r="C149" s="2" t="s">
        <v>605</v>
      </c>
      <c r="D149" s="2" t="str">
        <f t="shared" si="0"/>
        <v>Shambling UndeadWight</v>
      </c>
      <c r="E149" s="2">
        <v>6</v>
      </c>
      <c r="F149" s="2">
        <v>3</v>
      </c>
      <c r="G149" s="2">
        <v>3</v>
      </c>
      <c r="H149" s="2">
        <v>5</v>
      </c>
      <c r="I149" s="2">
        <v>9</v>
      </c>
      <c r="J149" s="2" t="str">
        <f>IF('Pack Vieja Gloria'!$J$24="Español",V149,(IF('Pack Vieja Gloria'!$J$24="Deutsch",W149,(IF('Pack Vieja Gloria'!$J$24="Français",X149,U149)))))</f>
        <v>Placar, Regeneración</v>
      </c>
      <c r="K149" s="1">
        <v>90000</v>
      </c>
      <c r="L149" s="1">
        <f t="shared" si="10"/>
        <v>90</v>
      </c>
      <c r="M149" s="2">
        <v>2</v>
      </c>
      <c r="N149" s="2">
        <v>0</v>
      </c>
      <c r="O149" s="1" t="s">
        <v>170</v>
      </c>
      <c r="P149" s="1" t="s">
        <v>169</v>
      </c>
      <c r="Q149" s="1" t="s">
        <v>170</v>
      </c>
      <c r="R149" s="1" t="s">
        <v>169</v>
      </c>
      <c r="S149" s="1">
        <v>0</v>
      </c>
      <c r="T149" s="15" t="str">
        <f t="shared" si="13"/>
        <v>M</v>
      </c>
      <c r="U149" s="15" t="s">
        <v>606</v>
      </c>
      <c r="V149" s="15" t="s">
        <v>607</v>
      </c>
      <c r="W149" s="15" t="s">
        <v>606</v>
      </c>
      <c r="X149" s="15" t="s">
        <v>608</v>
      </c>
      <c r="Y149" s="15"/>
    </row>
    <row r="150" spans="1:25" ht="12.75" customHeight="1" x14ac:dyDescent="0.2">
      <c r="A150" s="23" t="s">
        <v>128</v>
      </c>
      <c r="B150" s="2" t="str">
        <f>A150&amp;COUNTIF($A$2:$A150,A150)</f>
        <v>Shambling Undead6</v>
      </c>
      <c r="C150" s="2" t="s">
        <v>609</v>
      </c>
      <c r="D150" s="2" t="str">
        <f t="shared" si="0"/>
        <v>Shambling UndeadMummy</v>
      </c>
      <c r="E150" s="2">
        <v>3</v>
      </c>
      <c r="F150" s="2">
        <v>5</v>
      </c>
      <c r="G150" s="2">
        <v>5</v>
      </c>
      <c r="H150" s="2">
        <v>0</v>
      </c>
      <c r="I150" s="2">
        <v>10</v>
      </c>
      <c r="J150" s="2" t="str">
        <f>IF('Pack Vieja Gloria'!$J$24="Español",V150,(IF('Pack Vieja Gloria'!$J$24="Deutsch",W150,(IF('Pack Vieja Gloria'!$J$24="Français",X150,U150)))))</f>
        <v>Golpe mortífero (+1), Regeneración</v>
      </c>
      <c r="K150" s="1">
        <v>125000</v>
      </c>
      <c r="L150" s="1">
        <f t="shared" si="10"/>
        <v>125</v>
      </c>
      <c r="M150" s="1">
        <v>2</v>
      </c>
      <c r="N150" s="1">
        <v>0</v>
      </c>
      <c r="O150" s="1" t="s">
        <v>169</v>
      </c>
      <c r="P150" s="1" t="s">
        <v>169</v>
      </c>
      <c r="Q150" s="1" t="s">
        <v>170</v>
      </c>
      <c r="R150" s="12">
        <v>0</v>
      </c>
      <c r="S150" s="1">
        <v>0</v>
      </c>
      <c r="T150" s="15" t="str">
        <f t="shared" si="13"/>
        <v>PM</v>
      </c>
      <c r="U150" s="15" t="s">
        <v>610</v>
      </c>
      <c r="V150" s="2" t="s">
        <v>611</v>
      </c>
      <c r="W150" s="15" t="s">
        <v>612</v>
      </c>
      <c r="X150" s="15" t="s">
        <v>613</v>
      </c>
      <c r="Y150" s="15"/>
    </row>
    <row r="151" spans="1:25" ht="12.75" customHeight="1" x14ac:dyDescent="0.2">
      <c r="A151" s="23" t="s">
        <v>134</v>
      </c>
      <c r="B151" s="2" t="str">
        <f>A151&amp;COUNTIF($A$2:$A151,A151)</f>
        <v>Slann1</v>
      </c>
      <c r="C151" s="2" t="str">
        <f>""</f>
        <v/>
      </c>
      <c r="D151" s="2" t="str">
        <f t="shared" si="0"/>
        <v>Slann</v>
      </c>
      <c r="E151" s="2">
        <v>0</v>
      </c>
      <c r="F151" s="2">
        <v>0</v>
      </c>
      <c r="G151" s="2">
        <v>0</v>
      </c>
      <c r="H151" s="2">
        <v>0</v>
      </c>
      <c r="I151" s="2">
        <v>0</v>
      </c>
      <c r="J151" s="2" t="str">
        <f>IF('Pack Vieja Gloria'!$J$24="Español",V151,(IF('Pack Vieja Gloria'!$J$24="Deutsch",W151,(IF('Pack Vieja Gloria'!$J$24="Français",X151,U151)))))</f>
        <v>Regeneración</v>
      </c>
      <c r="K151" s="1">
        <v>0</v>
      </c>
      <c r="L151" s="1">
        <f t="shared" ref="L151:L194" si="14">K151/1000</f>
        <v>0</v>
      </c>
      <c r="M151" s="1">
        <v>0</v>
      </c>
      <c r="N151" s="1">
        <v>0</v>
      </c>
      <c r="O151" s="1"/>
      <c r="P151" s="1"/>
      <c r="Q151" s="1"/>
      <c r="R151" s="12"/>
      <c r="S151" s="1"/>
      <c r="T151" s="15" t="str">
        <f t="shared" si="13"/>
        <v/>
      </c>
      <c r="U151" s="15" t="s">
        <v>480</v>
      </c>
      <c r="V151" s="2" t="s">
        <v>481</v>
      </c>
      <c r="W151" s="15" t="s">
        <v>480</v>
      </c>
      <c r="X151" s="15" t="s">
        <v>482</v>
      </c>
      <c r="Y151" s="15">
        <v>0</v>
      </c>
    </row>
    <row r="152" spans="1:25" ht="12.75" customHeight="1" x14ac:dyDescent="0.2">
      <c r="A152" s="23" t="s">
        <v>134</v>
      </c>
      <c r="B152" s="2" t="str">
        <f>A152&amp;COUNTIF($A$2:$A152,A152)</f>
        <v>Slann2</v>
      </c>
      <c r="C152" s="2" t="s">
        <v>319</v>
      </c>
      <c r="D152" s="2" t="str">
        <f t="shared" si="0"/>
        <v>SlannLineman</v>
      </c>
      <c r="E152" s="2">
        <v>6</v>
      </c>
      <c r="F152" s="2">
        <v>3</v>
      </c>
      <c r="G152" s="2">
        <v>3</v>
      </c>
      <c r="H152" s="2">
        <v>4</v>
      </c>
      <c r="I152" s="2">
        <v>9</v>
      </c>
      <c r="J152" s="2" t="str">
        <f>IF('Pack Vieja Gloria'!$J$24="Español",V152,(IF('Pack Vieja Gloria'!$J$24="Deutsch",W152,(IF('Pack Vieja Gloria'!$J$24="Français",X152,U152)))))</f>
        <v>Pogo saltarín, Piernas muy largas</v>
      </c>
      <c r="K152" s="1">
        <v>60000</v>
      </c>
      <c r="L152" s="1">
        <f t="shared" si="14"/>
        <v>60</v>
      </c>
      <c r="M152" s="2">
        <v>16</v>
      </c>
      <c r="N152" s="2">
        <v>0</v>
      </c>
      <c r="O152" s="1" t="s">
        <v>170</v>
      </c>
      <c r="P152" s="1" t="s">
        <v>169</v>
      </c>
      <c r="Q152" s="1" t="s">
        <v>169</v>
      </c>
      <c r="R152" s="1">
        <v>0</v>
      </c>
      <c r="S152" s="1">
        <v>0</v>
      </c>
      <c r="T152" s="15" t="str">
        <f t="shared" si="13"/>
        <v>PM</v>
      </c>
      <c r="U152" s="15" t="s">
        <v>614</v>
      </c>
      <c r="V152" s="2" t="s">
        <v>615</v>
      </c>
      <c r="W152" s="15" t="s">
        <v>616</v>
      </c>
      <c r="X152" s="15" t="s">
        <v>617</v>
      </c>
      <c r="Y152" s="15"/>
    </row>
    <row r="153" spans="1:25" ht="12.75" customHeight="1" x14ac:dyDescent="0.2">
      <c r="A153" s="23" t="s">
        <v>134</v>
      </c>
      <c r="B153" s="2" t="str">
        <f>A153&amp;COUNTIF($A$2:$A153,A153)</f>
        <v>Slann3</v>
      </c>
      <c r="C153" s="2" t="s">
        <v>242</v>
      </c>
      <c r="D153" s="2" t="str">
        <f t="shared" si="0"/>
        <v>SlannCatcher</v>
      </c>
      <c r="E153" s="2">
        <v>7</v>
      </c>
      <c r="F153" s="2">
        <v>2</v>
      </c>
      <c r="G153" s="2">
        <v>2</v>
      </c>
      <c r="H153" s="2">
        <v>4</v>
      </c>
      <c r="I153" s="2">
        <v>8</v>
      </c>
      <c r="J153" s="2" t="str">
        <f>IF('Pack Vieja Gloria'!$J$24="Español",V153,(IF('Pack Vieja Gloria'!$J$24="Deutsch",W153,(IF('Pack Vieja Gloria'!$J$24="Français",X153,U153)))))</f>
        <v>Recepción heroica, Pogo saltarín, Piernas muy largas</v>
      </c>
      <c r="K153" s="1">
        <v>80000</v>
      </c>
      <c r="L153" s="1">
        <f t="shared" si="14"/>
        <v>80</v>
      </c>
      <c r="M153" s="2">
        <v>4</v>
      </c>
      <c r="N153" s="2">
        <v>0</v>
      </c>
      <c r="O153" s="1" t="s">
        <v>170</v>
      </c>
      <c r="P153" s="1" t="s">
        <v>170</v>
      </c>
      <c r="Q153" s="1" t="s">
        <v>169</v>
      </c>
      <c r="R153" s="1" t="s">
        <v>169</v>
      </c>
      <c r="S153" s="1">
        <v>0</v>
      </c>
      <c r="T153" s="15" t="str">
        <f t="shared" si="13"/>
        <v>M</v>
      </c>
      <c r="U153" s="15" t="s">
        <v>618</v>
      </c>
      <c r="V153" s="15" t="s">
        <v>619</v>
      </c>
      <c r="W153" s="15" t="s">
        <v>620</v>
      </c>
      <c r="X153" s="15" t="s">
        <v>621</v>
      </c>
      <c r="Y153" s="15"/>
    </row>
    <row r="154" spans="1:25" ht="12.75" customHeight="1" x14ac:dyDescent="0.2">
      <c r="A154" s="23" t="s">
        <v>134</v>
      </c>
      <c r="B154" s="2" t="str">
        <f>A154&amp;COUNTIF($A$2:$A154,A154)</f>
        <v>Slann4</v>
      </c>
      <c r="C154" s="2" t="s">
        <v>243</v>
      </c>
      <c r="D154" s="2" t="str">
        <f t="shared" si="0"/>
        <v>SlannBlitzer</v>
      </c>
      <c r="E154" s="2">
        <v>7</v>
      </c>
      <c r="F154" s="2">
        <v>3</v>
      </c>
      <c r="G154" s="2">
        <v>3</v>
      </c>
      <c r="H154" s="2">
        <v>4</v>
      </c>
      <c r="I154" s="2">
        <v>9</v>
      </c>
      <c r="J154" s="2" t="str">
        <f>IF('Pack Vieja Gloria'!$J$24="Español",V154,(IF('Pack Vieja Gloria'!$J$24="Deutsch",W154,(IF('Pack Vieja Gloria'!$J$24="Français",X154,U154)))))</f>
        <v>Placaje heroico, En pie de un salto, Pogo saltarín, Piernas muy largas</v>
      </c>
      <c r="K154" s="1">
        <v>110000</v>
      </c>
      <c r="L154" s="1">
        <f t="shared" si="14"/>
        <v>110</v>
      </c>
      <c r="M154" s="2">
        <v>4</v>
      </c>
      <c r="N154" s="2">
        <v>0</v>
      </c>
      <c r="O154" s="1" t="s">
        <v>170</v>
      </c>
      <c r="P154" s="1" t="s">
        <v>170</v>
      </c>
      <c r="Q154" s="1" t="s">
        <v>170</v>
      </c>
      <c r="R154" s="1" t="s">
        <v>169</v>
      </c>
      <c r="S154" s="1">
        <v>0</v>
      </c>
      <c r="T154" s="15" t="str">
        <f t="shared" si="13"/>
        <v>M</v>
      </c>
      <c r="U154" s="15" t="s">
        <v>622</v>
      </c>
      <c r="V154" s="15" t="s">
        <v>623</v>
      </c>
      <c r="W154" s="15" t="s">
        <v>624</v>
      </c>
      <c r="X154" s="15" t="s">
        <v>625</v>
      </c>
      <c r="Y154" s="15"/>
    </row>
    <row r="155" spans="1:25" ht="12.75" customHeight="1" x14ac:dyDescent="0.2">
      <c r="A155" s="23" t="s">
        <v>134</v>
      </c>
      <c r="B155" s="2" t="str">
        <f>A155&amp;COUNTIF($A$2:$A155,A155)</f>
        <v>Slann5</v>
      </c>
      <c r="C155" s="2" t="s">
        <v>474</v>
      </c>
      <c r="D155" s="2" t="str">
        <f t="shared" si="0"/>
        <v>SlannKroxigor</v>
      </c>
      <c r="E155" s="2">
        <v>6</v>
      </c>
      <c r="F155" s="2">
        <v>5</v>
      </c>
      <c r="G155" s="2">
        <v>5</v>
      </c>
      <c r="H155" s="2">
        <v>0</v>
      </c>
      <c r="I155" s="2">
        <v>10</v>
      </c>
      <c r="J155" s="2" t="str">
        <f>IF('Pack Vieja Gloria'!$J$24="Español",V155,(IF('Pack Vieja Gloria'!$J$24="Deutsch",W155,(IF('Pack Vieja Gloria'!$J$24="Français",X155,U155)))))</f>
        <v>Estúpido, Solitario (4+), Golpe mortífero (+1), Cola prensil, Cabeza dura</v>
      </c>
      <c r="K155" s="1">
        <v>140000</v>
      </c>
      <c r="L155" s="1">
        <f t="shared" si="14"/>
        <v>140</v>
      </c>
      <c r="M155" s="2">
        <v>1</v>
      </c>
      <c r="N155" s="2">
        <v>1</v>
      </c>
      <c r="O155" s="1" t="s">
        <v>169</v>
      </c>
      <c r="P155" s="1" t="s">
        <v>169</v>
      </c>
      <c r="Q155" s="1" t="s">
        <v>170</v>
      </c>
      <c r="R155" s="12">
        <v>0</v>
      </c>
      <c r="S155" s="1">
        <v>0</v>
      </c>
      <c r="T155" s="15" t="str">
        <f t="shared" si="13"/>
        <v>PM</v>
      </c>
      <c r="U155" s="15" t="s">
        <v>626</v>
      </c>
      <c r="V155" s="15" t="s">
        <v>476</v>
      </c>
      <c r="W155" s="15" t="s">
        <v>627</v>
      </c>
      <c r="X155" s="15" t="s">
        <v>628</v>
      </c>
      <c r="Y155" s="15"/>
    </row>
    <row r="156" spans="1:25" ht="12.75" customHeight="1" x14ac:dyDescent="0.2">
      <c r="A156" s="23" t="s">
        <v>138</v>
      </c>
      <c r="B156" s="2" t="str">
        <f>A156&amp;COUNTIF($A$2:$A156,A156)</f>
        <v>Skaven1</v>
      </c>
      <c r="C156" s="2" t="str">
        <f>""</f>
        <v/>
      </c>
      <c r="D156" s="2" t="str">
        <f t="shared" si="0"/>
        <v>Skaven</v>
      </c>
      <c r="E156" s="2">
        <v>0</v>
      </c>
      <c r="F156" s="2">
        <v>0</v>
      </c>
      <c r="G156" s="2">
        <v>0</v>
      </c>
      <c r="H156" s="2">
        <v>0</v>
      </c>
      <c r="I156" s="2">
        <v>0</v>
      </c>
      <c r="J156" s="2">
        <f>IF('Pack Vieja Gloria'!$J$24="Español",V156,(IF('Pack Vieja Gloria'!$J$24="Deutsch",W156,(IF('Pack Vieja Gloria'!$J$24="Français",X156,U156)))))</f>
        <v>0</v>
      </c>
      <c r="K156" s="1">
        <v>0</v>
      </c>
      <c r="L156" s="1">
        <f t="shared" si="14"/>
        <v>0</v>
      </c>
      <c r="M156" s="1">
        <v>0</v>
      </c>
      <c r="N156" s="1">
        <v>0</v>
      </c>
      <c r="O156" s="1"/>
      <c r="P156" s="1"/>
      <c r="Q156" s="1"/>
      <c r="R156" s="1"/>
      <c r="S156" s="1"/>
      <c r="T156" s="15" t="str">
        <f t="shared" si="13"/>
        <v/>
      </c>
      <c r="U156" s="15">
        <v>0</v>
      </c>
      <c r="V156" s="15">
        <v>0</v>
      </c>
      <c r="W156" s="15">
        <v>0</v>
      </c>
      <c r="X156" s="15">
        <v>0</v>
      </c>
      <c r="Y156" s="15">
        <v>0</v>
      </c>
    </row>
    <row r="157" spans="1:25" ht="12.75" customHeight="1" x14ac:dyDescent="0.2">
      <c r="A157" s="23" t="s">
        <v>138</v>
      </c>
      <c r="B157" s="2" t="str">
        <f>A157&amp;COUNTIF($A$2:$A157,A157)</f>
        <v>Skaven2</v>
      </c>
      <c r="C157" s="2" t="s">
        <v>319</v>
      </c>
      <c r="D157" s="2" t="str">
        <f t="shared" si="0"/>
        <v>SkavenLineman</v>
      </c>
      <c r="E157" s="2">
        <v>7</v>
      </c>
      <c r="F157" s="2">
        <v>3</v>
      </c>
      <c r="G157" s="2">
        <v>3</v>
      </c>
      <c r="H157" s="2">
        <v>4</v>
      </c>
      <c r="I157" s="2">
        <v>8</v>
      </c>
      <c r="J157" s="2" t="str">
        <f>IF('Pack Vieja Gloria'!$J$24="Español",V157,(IF('Pack Vieja Gloria'!$J$24="Deutsch",W157,(IF('Pack Vieja Gloria'!$J$24="Français",X157,U157)))))</f>
        <v/>
      </c>
      <c r="K157" s="1">
        <v>50000</v>
      </c>
      <c r="L157" s="1">
        <f t="shared" si="14"/>
        <v>50</v>
      </c>
      <c r="M157" s="2">
        <v>16</v>
      </c>
      <c r="N157" s="2">
        <v>0</v>
      </c>
      <c r="O157" s="1" t="s">
        <v>170</v>
      </c>
      <c r="P157" s="1" t="s">
        <v>169</v>
      </c>
      <c r="Q157" s="1" t="s">
        <v>169</v>
      </c>
      <c r="R157" s="1">
        <v>0</v>
      </c>
      <c r="S157" s="1" t="s">
        <v>169</v>
      </c>
      <c r="T157" s="15" t="str">
        <f t="shared" si="13"/>
        <v>P</v>
      </c>
      <c r="U157" s="15" t="str">
        <f t="shared" ref="U157:Y157" si="15">""</f>
        <v/>
      </c>
      <c r="V157" s="15" t="str">
        <f t="shared" si="15"/>
        <v/>
      </c>
      <c r="W157" s="15" t="str">
        <f t="shared" si="15"/>
        <v/>
      </c>
      <c r="X157" s="15" t="str">
        <f t="shared" si="15"/>
        <v/>
      </c>
      <c r="Y157" s="15" t="str">
        <f t="shared" si="15"/>
        <v/>
      </c>
    </row>
    <row r="158" spans="1:25" ht="12.75" customHeight="1" x14ac:dyDescent="0.2">
      <c r="A158" s="23" t="s">
        <v>138</v>
      </c>
      <c r="B158" s="2" t="str">
        <f>A158&amp;COUNTIF($A$2:$A158,A158)</f>
        <v>Skaven3</v>
      </c>
      <c r="C158" s="2" t="s">
        <v>241</v>
      </c>
      <c r="D158" s="2" t="str">
        <f t="shared" si="0"/>
        <v>SkavenThrower</v>
      </c>
      <c r="E158" s="2">
        <v>7</v>
      </c>
      <c r="F158" s="2">
        <v>3</v>
      </c>
      <c r="G158" s="2">
        <v>3</v>
      </c>
      <c r="H158" s="2">
        <v>2</v>
      </c>
      <c r="I158" s="2">
        <v>8</v>
      </c>
      <c r="J158" s="2" t="str">
        <f>IF('Pack Vieja Gloria'!$J$24="Español",V158,(IF('Pack Vieja Gloria'!$J$24="Deutsch",W158,(IF('Pack Vieja Gloria'!$J$24="Français",X158,U158)))))</f>
        <v>Pasar, Manos seguras</v>
      </c>
      <c r="K158" s="1">
        <v>85000</v>
      </c>
      <c r="L158" s="1">
        <f t="shared" si="14"/>
        <v>85</v>
      </c>
      <c r="M158" s="2">
        <v>2</v>
      </c>
      <c r="N158" s="2">
        <v>0</v>
      </c>
      <c r="O158" s="1" t="s">
        <v>170</v>
      </c>
      <c r="P158" s="1" t="s">
        <v>169</v>
      </c>
      <c r="Q158" s="1" t="s">
        <v>169</v>
      </c>
      <c r="R158" s="1" t="s">
        <v>170</v>
      </c>
      <c r="S158" s="1" t="s">
        <v>169</v>
      </c>
      <c r="T158" s="15" t="str">
        <f t="shared" si="13"/>
        <v>FULL</v>
      </c>
      <c r="U158" s="15" t="s">
        <v>430</v>
      </c>
      <c r="V158" s="2" t="s">
        <v>431</v>
      </c>
      <c r="W158" s="15" t="s">
        <v>432</v>
      </c>
      <c r="X158" s="15" t="s">
        <v>433</v>
      </c>
      <c r="Y158" s="15"/>
    </row>
    <row r="159" spans="1:25" ht="12.75" customHeight="1" x14ac:dyDescent="0.2">
      <c r="A159" s="23" t="s">
        <v>138</v>
      </c>
      <c r="B159" s="2" t="str">
        <f>A159&amp;COUNTIF($A$2:$A159,A159)</f>
        <v>Skaven4</v>
      </c>
      <c r="C159" s="2" t="s">
        <v>629</v>
      </c>
      <c r="D159" s="2" t="str">
        <f t="shared" si="0"/>
        <v>SkavenGutter Runner</v>
      </c>
      <c r="E159" s="2">
        <v>9</v>
      </c>
      <c r="F159" s="2">
        <v>2</v>
      </c>
      <c r="G159" s="2">
        <v>2</v>
      </c>
      <c r="H159" s="2">
        <v>4</v>
      </c>
      <c r="I159" s="2">
        <v>8</v>
      </c>
      <c r="J159" s="2" t="str">
        <f>IF('Pack Vieja Gloria'!$J$24="Español",V159,(IF('Pack Vieja Gloria'!$J$24="Deutsch",W159,(IF('Pack Vieja Gloria'!$J$24="Français",X159,U159)))))</f>
        <v>Esquivar</v>
      </c>
      <c r="K159" s="1">
        <v>85000</v>
      </c>
      <c r="L159" s="1">
        <f t="shared" si="14"/>
        <v>85</v>
      </c>
      <c r="M159" s="2">
        <v>4</v>
      </c>
      <c r="N159" s="2">
        <v>0</v>
      </c>
      <c r="O159" s="1" t="s">
        <v>170</v>
      </c>
      <c r="P159" s="1" t="s">
        <v>170</v>
      </c>
      <c r="Q159" s="1" t="s">
        <v>169</v>
      </c>
      <c r="R159" s="1" t="s">
        <v>169</v>
      </c>
      <c r="S159" s="1" t="s">
        <v>169</v>
      </c>
      <c r="T159" s="15" t="str">
        <f t="shared" si="13"/>
        <v>FULL</v>
      </c>
      <c r="U159" s="15" t="s">
        <v>237</v>
      </c>
      <c r="V159" s="15" t="s">
        <v>238</v>
      </c>
      <c r="W159" s="15" t="s">
        <v>239</v>
      </c>
      <c r="X159" s="15" t="s">
        <v>240</v>
      </c>
      <c r="Y159" s="15"/>
    </row>
    <row r="160" spans="1:25" ht="12.75" customHeight="1" x14ac:dyDescent="0.2">
      <c r="A160" s="23" t="s">
        <v>138</v>
      </c>
      <c r="B160" s="2" t="str">
        <f>A160&amp;COUNTIF($A$2:$A160,A160)</f>
        <v>Skaven5</v>
      </c>
      <c r="C160" s="2" t="s">
        <v>243</v>
      </c>
      <c r="D160" s="2" t="str">
        <f t="shared" si="0"/>
        <v>SkavenBlitzer</v>
      </c>
      <c r="E160" s="2">
        <v>7</v>
      </c>
      <c r="F160" s="2">
        <v>3</v>
      </c>
      <c r="G160" s="2">
        <v>3</v>
      </c>
      <c r="H160" s="2">
        <v>5</v>
      </c>
      <c r="I160" s="2">
        <v>9</v>
      </c>
      <c r="J160" s="2" t="str">
        <f>IF('Pack Vieja Gloria'!$J$24="Español",V160,(IF('Pack Vieja Gloria'!$J$24="Deutsch",W160,(IF('Pack Vieja Gloria'!$J$24="Français",X160,U160)))))</f>
        <v>Placar</v>
      </c>
      <c r="K160" s="1">
        <v>90000</v>
      </c>
      <c r="L160" s="1">
        <f t="shared" si="14"/>
        <v>90</v>
      </c>
      <c r="M160" s="2">
        <v>2</v>
      </c>
      <c r="N160" s="2">
        <v>0</v>
      </c>
      <c r="O160" s="1" t="s">
        <v>170</v>
      </c>
      <c r="P160" s="1" t="s">
        <v>169</v>
      </c>
      <c r="Q160" s="1" t="s">
        <v>170</v>
      </c>
      <c r="R160" s="1" t="s">
        <v>169</v>
      </c>
      <c r="S160" s="1" t="s">
        <v>169</v>
      </c>
      <c r="T160" s="15" t="str">
        <f t="shared" si="13"/>
        <v>FULL</v>
      </c>
      <c r="U160" s="15" t="s">
        <v>330</v>
      </c>
      <c r="V160" s="2" t="s">
        <v>331</v>
      </c>
      <c r="W160" s="15" t="s">
        <v>330</v>
      </c>
      <c r="X160" s="15" t="s">
        <v>332</v>
      </c>
      <c r="Y160" s="15"/>
    </row>
    <row r="161" spans="1:25" ht="12.75" customHeight="1" x14ac:dyDescent="0.2">
      <c r="A161" s="23" t="s">
        <v>138</v>
      </c>
      <c r="B161" s="2" t="str">
        <f>A161&amp;COUNTIF($A$2:$A161,A161)</f>
        <v>Skaven6</v>
      </c>
      <c r="C161" s="2" t="s">
        <v>630</v>
      </c>
      <c r="D161" s="2" t="str">
        <f t="shared" si="0"/>
        <v>SkavenRat Ogre</v>
      </c>
      <c r="E161" s="2">
        <v>6</v>
      </c>
      <c r="F161" s="2">
        <v>5</v>
      </c>
      <c r="G161" s="2">
        <v>4</v>
      </c>
      <c r="H161" s="2">
        <v>0</v>
      </c>
      <c r="I161" s="2">
        <v>9</v>
      </c>
      <c r="J161" s="2" t="str">
        <f>IF('Pack Vieja Gloria'!$J$24="Español",V161,(IF('Pack Vieja Gloria'!$J$24="Deutsch",W161,(IF('Pack Vieja Gloria'!$J$24="Français",X161,U161)))))</f>
        <v>Ferocidad animal, Furia, Solitario (4+), Golpe mortífero (+1), Cola prensil</v>
      </c>
      <c r="K161" s="1">
        <v>150000</v>
      </c>
      <c r="L161" s="1">
        <f t="shared" si="14"/>
        <v>150</v>
      </c>
      <c r="M161" s="2">
        <v>1</v>
      </c>
      <c r="N161" s="2">
        <v>1</v>
      </c>
      <c r="O161" s="1" t="s">
        <v>169</v>
      </c>
      <c r="P161" s="1" t="s">
        <v>169</v>
      </c>
      <c r="Q161" s="1" t="s">
        <v>170</v>
      </c>
      <c r="R161" s="12">
        <v>0</v>
      </c>
      <c r="S161" s="1" t="s">
        <v>169</v>
      </c>
      <c r="T161" s="15" t="str">
        <f t="shared" si="13"/>
        <v>P</v>
      </c>
      <c r="U161" s="15" t="s">
        <v>311</v>
      </c>
      <c r="V161" s="2" t="s">
        <v>312</v>
      </c>
      <c r="W161" s="15" t="s">
        <v>313</v>
      </c>
      <c r="X161" s="15" t="s">
        <v>314</v>
      </c>
      <c r="Y161" s="15"/>
    </row>
    <row r="162" spans="1:25" ht="12.75" customHeight="1" x14ac:dyDescent="0.2">
      <c r="A162" s="23" t="s">
        <v>149</v>
      </c>
      <c r="B162" s="2" t="str">
        <f>A162&amp;COUNTIF($A$2:$A162,A162)</f>
        <v>Tomb King1</v>
      </c>
      <c r="C162" s="2" t="str">
        <f>""</f>
        <v/>
      </c>
      <c r="D162" s="2" t="str">
        <f t="shared" si="0"/>
        <v>Tomb King</v>
      </c>
      <c r="E162" s="2">
        <v>0</v>
      </c>
      <c r="F162" s="2">
        <v>0</v>
      </c>
      <c r="G162" s="2">
        <v>0</v>
      </c>
      <c r="H162" s="2">
        <v>0</v>
      </c>
      <c r="I162" s="2">
        <v>0</v>
      </c>
      <c r="J162" s="2">
        <f>IF('Pack Vieja Gloria'!$J$24="Español",V162,(IF('Pack Vieja Gloria'!$J$24="Deutsch",W162,(IF('Pack Vieja Gloria'!$J$24="Français",X162,U162)))))</f>
        <v>0</v>
      </c>
      <c r="K162" s="1">
        <v>0</v>
      </c>
      <c r="L162" s="1">
        <f t="shared" si="14"/>
        <v>0</v>
      </c>
      <c r="M162" s="1">
        <v>0</v>
      </c>
      <c r="N162" s="1">
        <v>0</v>
      </c>
      <c r="O162" s="1"/>
      <c r="P162" s="1"/>
      <c r="Q162" s="1"/>
      <c r="R162" s="1"/>
      <c r="S162" s="1"/>
      <c r="T162" s="15" t="str">
        <f t="shared" si="13"/>
        <v/>
      </c>
      <c r="U162" s="15">
        <v>0</v>
      </c>
      <c r="V162" s="15">
        <v>0</v>
      </c>
      <c r="W162" s="15">
        <v>0</v>
      </c>
      <c r="X162" s="15">
        <v>0</v>
      </c>
      <c r="Y162" s="15">
        <v>0</v>
      </c>
    </row>
    <row r="163" spans="1:25" ht="12.75" customHeight="1" x14ac:dyDescent="0.2">
      <c r="A163" s="23" t="s">
        <v>149</v>
      </c>
      <c r="B163" s="2" t="str">
        <f>A163&amp;COUNTIF($A$2:$A163,A163)</f>
        <v>Tomb King2</v>
      </c>
      <c r="C163" s="2" t="s">
        <v>600</v>
      </c>
      <c r="D163" s="2" t="str">
        <f t="shared" si="0"/>
        <v>Tomb KingSkeleton</v>
      </c>
      <c r="E163" s="2">
        <v>5</v>
      </c>
      <c r="F163" s="2">
        <v>3</v>
      </c>
      <c r="G163" s="2">
        <v>4</v>
      </c>
      <c r="H163" s="2">
        <v>6</v>
      </c>
      <c r="I163" s="2">
        <v>8</v>
      </c>
      <c r="J163" s="2" t="str">
        <f>IF('Pack Vieja Gloria'!$J$24="Español",V163,(IF('Pack Vieja Gloria'!$J$24="Deutsch",W163,(IF('Pack Vieja Gloria'!$J$24="Français",X163,U163)))))</f>
        <v>Regeneración, Cabeza dura</v>
      </c>
      <c r="K163" s="1">
        <v>40000</v>
      </c>
      <c r="L163" s="1">
        <f t="shared" si="14"/>
        <v>40</v>
      </c>
      <c r="M163" s="2">
        <v>16</v>
      </c>
      <c r="N163" s="2">
        <v>0</v>
      </c>
      <c r="O163" s="1" t="s">
        <v>170</v>
      </c>
      <c r="P163" s="1" t="s">
        <v>169</v>
      </c>
      <c r="Q163" s="1" t="s">
        <v>169</v>
      </c>
      <c r="R163" s="1">
        <v>0</v>
      </c>
      <c r="S163" s="1">
        <v>0</v>
      </c>
      <c r="T163" s="15" t="str">
        <f t="shared" si="13"/>
        <v>PM</v>
      </c>
      <c r="U163" s="15" t="s">
        <v>601</v>
      </c>
      <c r="V163" s="2" t="s">
        <v>602</v>
      </c>
      <c r="W163" s="15" t="s">
        <v>603</v>
      </c>
      <c r="X163" s="15" t="s">
        <v>604</v>
      </c>
      <c r="Y163" s="15"/>
    </row>
    <row r="164" spans="1:25" ht="12.75" customHeight="1" x14ac:dyDescent="0.2">
      <c r="A164" s="23" t="s">
        <v>149</v>
      </c>
      <c r="B164" s="2" t="str">
        <f>A164&amp;COUNTIF($A$2:$A164,A164)</f>
        <v>Tomb King3</v>
      </c>
      <c r="C164" s="2" t="s">
        <v>631</v>
      </c>
      <c r="D164" s="2" t="str">
        <f t="shared" si="0"/>
        <v>Tomb KingAnointed Throwers</v>
      </c>
      <c r="E164" s="2">
        <v>6</v>
      </c>
      <c r="F164" s="2">
        <v>3</v>
      </c>
      <c r="G164" s="2">
        <v>4</v>
      </c>
      <c r="H164" s="2">
        <v>3</v>
      </c>
      <c r="I164" s="2">
        <v>8</v>
      </c>
      <c r="J164" s="2" t="str">
        <f>IF('Pack Vieja Gloria'!$J$24="Español",V164,(IF('Pack Vieja Gloria'!$J$24="Deutsch",W164,(IF('Pack Vieja Gloria'!$J$24="Français",X164,U164)))))</f>
        <v>Pasar, Regeneración, Manos seguras, Cabeza dura</v>
      </c>
      <c r="K164" s="1">
        <v>70000</v>
      </c>
      <c r="L164" s="1">
        <f t="shared" si="14"/>
        <v>70</v>
      </c>
      <c r="M164" s="2">
        <v>2</v>
      </c>
      <c r="N164" s="2">
        <v>0</v>
      </c>
      <c r="O164" s="1" t="s">
        <v>170</v>
      </c>
      <c r="P164" s="1" t="s">
        <v>169</v>
      </c>
      <c r="Q164" s="1" t="s">
        <v>169</v>
      </c>
      <c r="R164" s="1" t="s">
        <v>170</v>
      </c>
      <c r="S164" s="1">
        <v>0</v>
      </c>
      <c r="T164" s="15" t="str">
        <f t="shared" si="13"/>
        <v>M</v>
      </c>
      <c r="U164" s="15" t="s">
        <v>632</v>
      </c>
      <c r="V164" s="15" t="s">
        <v>633</v>
      </c>
      <c r="W164" s="15" t="s">
        <v>634</v>
      </c>
      <c r="X164" s="15" t="s">
        <v>635</v>
      </c>
      <c r="Y164" s="15"/>
    </row>
    <row r="165" spans="1:25" ht="12.75" customHeight="1" x14ac:dyDescent="0.2">
      <c r="A165" s="23" t="s">
        <v>149</v>
      </c>
      <c r="B165" s="2" t="str">
        <f>A165&amp;COUNTIF($A$2:$A165,A165)</f>
        <v>Tomb King4</v>
      </c>
      <c r="C165" s="2" t="s">
        <v>636</v>
      </c>
      <c r="D165" s="2" t="str">
        <f t="shared" si="0"/>
        <v>Tomb KingAnointed Blitzers</v>
      </c>
      <c r="E165" s="2">
        <v>6</v>
      </c>
      <c r="F165" s="2">
        <v>3</v>
      </c>
      <c r="G165" s="2">
        <v>4</v>
      </c>
      <c r="H165" s="2">
        <v>6</v>
      </c>
      <c r="I165" s="2">
        <v>9</v>
      </c>
      <c r="J165" s="2" t="str">
        <f>IF('Pack Vieja Gloria'!$J$24="Español",V165,(IF('Pack Vieja Gloria'!$J$24="Deutsch",W165,(IF('Pack Vieja Gloria'!$J$24="Français",X165,U165)))))</f>
        <v>Placar, Regeneración, Cabeza dura</v>
      </c>
      <c r="K165" s="1">
        <v>90000</v>
      </c>
      <c r="L165" s="1">
        <f t="shared" si="14"/>
        <v>90</v>
      </c>
      <c r="M165" s="1">
        <v>2</v>
      </c>
      <c r="N165" s="1">
        <v>0</v>
      </c>
      <c r="O165" s="1" t="s">
        <v>170</v>
      </c>
      <c r="P165" s="1" t="s">
        <v>169</v>
      </c>
      <c r="Q165" s="1" t="s">
        <v>170</v>
      </c>
      <c r="R165" s="1" t="s">
        <v>169</v>
      </c>
      <c r="S165" s="1">
        <v>0</v>
      </c>
      <c r="T165" s="15" t="str">
        <f t="shared" si="13"/>
        <v>M</v>
      </c>
      <c r="U165" s="15" t="s">
        <v>637</v>
      </c>
      <c r="V165" s="2" t="s">
        <v>638</v>
      </c>
      <c r="W165" s="15" t="s">
        <v>639</v>
      </c>
      <c r="X165" s="15" t="s">
        <v>640</v>
      </c>
      <c r="Y165" s="15"/>
    </row>
    <row r="166" spans="1:25" ht="12.75" customHeight="1" x14ac:dyDescent="0.2">
      <c r="A166" s="23" t="s">
        <v>149</v>
      </c>
      <c r="B166" s="2" t="str">
        <f>A166&amp;COUNTIF($A$2:$A166,A166)</f>
        <v>Tomb King5</v>
      </c>
      <c r="C166" s="2" t="s">
        <v>641</v>
      </c>
      <c r="D166" s="2" t="str">
        <f t="shared" si="0"/>
        <v>Tomb KingTomb Guardian</v>
      </c>
      <c r="E166" s="2">
        <v>4</v>
      </c>
      <c r="F166" s="2">
        <v>5</v>
      </c>
      <c r="G166" s="2">
        <v>5</v>
      </c>
      <c r="H166" s="2">
        <v>0</v>
      </c>
      <c r="I166" s="2">
        <v>10</v>
      </c>
      <c r="J166" s="2" t="str">
        <f>IF('Pack Vieja Gloria'!$J$24="Español",V166,(IF('Pack Vieja Gloria'!$J$24="Deutsch",W166,(IF('Pack Vieja Gloria'!$J$24="Français",X166,U166)))))</f>
        <v>Descomposición, Regeneración</v>
      </c>
      <c r="K166" s="1">
        <v>100000</v>
      </c>
      <c r="L166" s="1">
        <f t="shared" si="14"/>
        <v>100</v>
      </c>
      <c r="M166" s="1">
        <v>4</v>
      </c>
      <c r="N166" s="1">
        <v>0</v>
      </c>
      <c r="O166" s="1" t="s">
        <v>169</v>
      </c>
      <c r="P166" s="1" t="s">
        <v>169</v>
      </c>
      <c r="Q166" s="1" t="s">
        <v>170</v>
      </c>
      <c r="R166" s="12">
        <v>0</v>
      </c>
      <c r="S166" s="1">
        <v>0</v>
      </c>
      <c r="T166" s="15" t="str">
        <f t="shared" si="13"/>
        <v>PM</v>
      </c>
      <c r="U166" s="15" t="s">
        <v>642</v>
      </c>
      <c r="V166" s="2" t="s">
        <v>643</v>
      </c>
      <c r="W166" s="15" t="s">
        <v>644</v>
      </c>
      <c r="X166" s="15" t="s">
        <v>645</v>
      </c>
      <c r="Y166" s="15"/>
    </row>
    <row r="167" spans="1:25" ht="12.75" customHeight="1" x14ac:dyDescent="0.2">
      <c r="A167" s="23" t="s">
        <v>144</v>
      </c>
      <c r="B167" s="2" t="str">
        <f>A167&amp;COUNTIF($A$2:$A167,A167)</f>
        <v>Snotling1</v>
      </c>
      <c r="C167" s="2" t="str">
        <f>""</f>
        <v/>
      </c>
      <c r="D167" s="2" t="str">
        <f t="shared" si="0"/>
        <v>Snotling</v>
      </c>
      <c r="E167" s="2">
        <v>0</v>
      </c>
      <c r="F167" s="2">
        <v>0</v>
      </c>
      <c r="G167" s="2">
        <v>0</v>
      </c>
      <c r="H167" s="2">
        <v>0</v>
      </c>
      <c r="I167" s="2">
        <v>0</v>
      </c>
      <c r="J167" s="2">
        <f>IF('Pack Vieja Gloria'!$J$24="Español",V167,(IF('Pack Vieja Gloria'!$J$24="Deutsch",W167,(IF('Pack Vieja Gloria'!$J$24="Français",X167,U167)))))</f>
        <v>0</v>
      </c>
      <c r="K167" s="1">
        <v>0</v>
      </c>
      <c r="L167" s="1">
        <f t="shared" si="14"/>
        <v>0</v>
      </c>
      <c r="M167" s="1">
        <v>0</v>
      </c>
      <c r="N167" s="1">
        <v>0</v>
      </c>
      <c r="O167" s="1"/>
      <c r="P167" s="1"/>
      <c r="Q167" s="1"/>
      <c r="R167" s="1"/>
      <c r="S167" s="1"/>
      <c r="T167" s="15" t="str">
        <f t="shared" si="13"/>
        <v/>
      </c>
      <c r="U167" s="15">
        <v>0</v>
      </c>
      <c r="V167" s="15">
        <v>0</v>
      </c>
      <c r="W167" s="15">
        <v>0</v>
      </c>
      <c r="X167" s="15">
        <v>0</v>
      </c>
      <c r="Y167" s="15">
        <v>0</v>
      </c>
    </row>
    <row r="168" spans="1:25" ht="12.75" customHeight="1" x14ac:dyDescent="0.2">
      <c r="A168" s="23" t="s">
        <v>144</v>
      </c>
      <c r="B168" s="2" t="str">
        <f>A168&amp;COUNTIF($A$2:$A168,A168)</f>
        <v>Snotling2</v>
      </c>
      <c r="C168" s="2" t="s">
        <v>144</v>
      </c>
      <c r="D168" s="2" t="str">
        <f t="shared" si="0"/>
        <v>SnotlingSnotling</v>
      </c>
      <c r="E168" s="2">
        <v>5</v>
      </c>
      <c r="F168" s="2">
        <v>1</v>
      </c>
      <c r="G168" s="2">
        <v>3</v>
      </c>
      <c r="H168" s="2">
        <v>5</v>
      </c>
      <c r="I168" s="2">
        <v>6</v>
      </c>
      <c r="J168" s="2" t="str">
        <f>IF('Pack Vieja Gloria'!$J$24="Español",V168,(IF('Pack Vieja Gloria'!$J$24="Deutsch",W168,(IF('Pack Vieja Gloria'!$J$24="Français",X168,U168)))))</f>
        <v>Esquivar, Humanoide bala, Echarse a un lado, Escurridizo, Colocarse, Canijo</v>
      </c>
      <c r="K168" s="1">
        <v>15000</v>
      </c>
      <c r="L168" s="1">
        <f t="shared" si="14"/>
        <v>15</v>
      </c>
      <c r="M168" s="1">
        <v>16</v>
      </c>
      <c r="N168" s="1">
        <v>0</v>
      </c>
      <c r="O168" s="1" t="s">
        <v>169</v>
      </c>
      <c r="P168" s="1" t="s">
        <v>170</v>
      </c>
      <c r="Q168" s="1" t="s">
        <v>169</v>
      </c>
      <c r="R168" s="1">
        <v>0</v>
      </c>
      <c r="S168" s="1">
        <v>0</v>
      </c>
      <c r="T168" s="15" t="str">
        <f t="shared" si="13"/>
        <v>PM</v>
      </c>
      <c r="U168" s="15" t="s">
        <v>646</v>
      </c>
      <c r="V168" s="2" t="s">
        <v>647</v>
      </c>
      <c r="W168" s="15" t="s">
        <v>648</v>
      </c>
      <c r="X168" s="15" t="s">
        <v>649</v>
      </c>
      <c r="Y168" s="15"/>
    </row>
    <row r="169" spans="1:25" ht="12.75" customHeight="1" x14ac:dyDescent="0.2">
      <c r="A169" s="23" t="s">
        <v>144</v>
      </c>
      <c r="B169" s="2" t="str">
        <f>A169&amp;COUNTIF($A$2:$A169,A169)</f>
        <v>Snotling3</v>
      </c>
      <c r="C169" s="2" t="s">
        <v>650</v>
      </c>
      <c r="D169" s="2" t="str">
        <f t="shared" si="0"/>
        <v>SnotlingFungus Flinga</v>
      </c>
      <c r="E169" s="2">
        <v>5</v>
      </c>
      <c r="F169" s="2">
        <v>1</v>
      </c>
      <c r="G169" s="2">
        <v>3</v>
      </c>
      <c r="H169" s="2">
        <v>4</v>
      </c>
      <c r="I169" s="2">
        <v>6</v>
      </c>
      <c r="J169" s="2" t="str">
        <f>IF('Pack Vieja Gloria'!$J$24="Español",V169,(IF('Pack Vieja Gloria'!$J$24="Deutsch",W169,(IF('Pack Vieja Gloria'!$J$24="Français",X169,U169)))))</f>
        <v>Bombardero, Esquivar, Humanoide bala, Arma secreta, Echarse a un lado, Escurridizo</v>
      </c>
      <c r="K169" s="1">
        <v>30000</v>
      </c>
      <c r="L169" s="1">
        <f t="shared" si="14"/>
        <v>30</v>
      </c>
      <c r="M169" s="1">
        <v>2</v>
      </c>
      <c r="N169" s="1">
        <v>0</v>
      </c>
      <c r="O169" s="1" t="s">
        <v>169</v>
      </c>
      <c r="P169" s="1" t="s">
        <v>170</v>
      </c>
      <c r="Q169" s="1" t="s">
        <v>169</v>
      </c>
      <c r="R169" s="1" t="s">
        <v>170</v>
      </c>
      <c r="S169" s="1">
        <v>0</v>
      </c>
      <c r="T169" s="15" t="str">
        <f t="shared" si="13"/>
        <v>M</v>
      </c>
      <c r="U169" s="15" t="s">
        <v>651</v>
      </c>
      <c r="V169" s="2" t="s">
        <v>652</v>
      </c>
      <c r="W169" s="15" t="s">
        <v>653</v>
      </c>
      <c r="X169" s="15" t="s">
        <v>654</v>
      </c>
      <c r="Y169" s="15"/>
    </row>
    <row r="170" spans="1:25" ht="12.75" customHeight="1" x14ac:dyDescent="0.2">
      <c r="A170" s="23" t="s">
        <v>144</v>
      </c>
      <c r="B170" s="2" t="str">
        <f>A170&amp;COUNTIF($A$2:$A170,A170)</f>
        <v>Snotling4</v>
      </c>
      <c r="C170" s="2" t="s">
        <v>655</v>
      </c>
      <c r="D170" s="2" t="str">
        <f t="shared" si="0"/>
        <v>SnotlingFun-hoppa</v>
      </c>
      <c r="E170" s="2">
        <v>6</v>
      </c>
      <c r="F170" s="2">
        <v>1</v>
      </c>
      <c r="G170" s="2">
        <v>3</v>
      </c>
      <c r="H170" s="2">
        <v>5</v>
      </c>
      <c r="I170" s="2">
        <v>6</v>
      </c>
      <c r="J170" s="2" t="str">
        <f>IF('Pack Vieja Gloria'!$J$24="Español",V170,(IF('Pack Vieja Gloria'!$J$24="Deutsch",W170,(IF('Pack Vieja Gloria'!$J$24="Français",X170,U170)))))</f>
        <v>Esquivar, Pogo saltarín, Humanoide bala, Echarse a un lado, Escurridizo</v>
      </c>
      <c r="K170" s="1">
        <v>20000</v>
      </c>
      <c r="L170" s="1">
        <f t="shared" si="14"/>
        <v>20</v>
      </c>
      <c r="M170" s="1">
        <v>2</v>
      </c>
      <c r="N170" s="1">
        <v>0</v>
      </c>
      <c r="O170" s="1" t="s">
        <v>169</v>
      </c>
      <c r="P170" s="1" t="s">
        <v>170</v>
      </c>
      <c r="Q170" s="1" t="s">
        <v>169</v>
      </c>
      <c r="R170" s="1">
        <v>0</v>
      </c>
      <c r="S170" s="1">
        <v>0</v>
      </c>
      <c r="T170" s="15" t="str">
        <f t="shared" si="13"/>
        <v>PM</v>
      </c>
      <c r="U170" s="15" t="s">
        <v>656</v>
      </c>
      <c r="V170" s="2" t="s">
        <v>657</v>
      </c>
      <c r="W170" s="15" t="s">
        <v>658</v>
      </c>
      <c r="X170" s="15" t="s">
        <v>659</v>
      </c>
      <c r="Y170" s="15"/>
    </row>
    <row r="171" spans="1:25" ht="12.75" customHeight="1" x14ac:dyDescent="0.2">
      <c r="A171" s="23" t="s">
        <v>144</v>
      </c>
      <c r="B171" s="2" t="str">
        <f>A171&amp;COUNTIF($A$2:$A171,A171)</f>
        <v>Snotling5</v>
      </c>
      <c r="C171" s="2" t="s">
        <v>660</v>
      </c>
      <c r="D171" s="2" t="str">
        <f t="shared" si="0"/>
        <v>SnotlingStilty Runna</v>
      </c>
      <c r="E171" s="2">
        <v>6</v>
      </c>
      <c r="F171" s="2">
        <v>1</v>
      </c>
      <c r="G171" s="2">
        <v>3</v>
      </c>
      <c r="H171" s="2">
        <v>5</v>
      </c>
      <c r="I171" s="2">
        <v>6</v>
      </c>
      <c r="J171" s="2" t="str">
        <f>IF('Pack Vieja Gloria'!$J$24="Español",V171,(IF('Pack Vieja Gloria'!$J$24="Deutsch",W171,(IF('Pack Vieja Gloria'!$J$24="Français",X171,U171)))))</f>
        <v>Esquivar, Humanoide bala, Echarse a un lado, Carrera, Escurridizo</v>
      </c>
      <c r="K171" s="1">
        <v>20000</v>
      </c>
      <c r="L171" s="1">
        <f t="shared" si="14"/>
        <v>20</v>
      </c>
      <c r="M171" s="1">
        <v>2</v>
      </c>
      <c r="N171" s="1">
        <v>0</v>
      </c>
      <c r="O171" s="1" t="s">
        <v>169</v>
      </c>
      <c r="P171" s="1" t="s">
        <v>170</v>
      </c>
      <c r="Q171" s="1" t="s">
        <v>169</v>
      </c>
      <c r="R171" s="1">
        <v>0</v>
      </c>
      <c r="S171" s="1">
        <v>0</v>
      </c>
      <c r="T171" s="15" t="str">
        <f t="shared" si="13"/>
        <v>PM</v>
      </c>
      <c r="U171" s="15" t="s">
        <v>661</v>
      </c>
      <c r="V171" s="15" t="s">
        <v>662</v>
      </c>
      <c r="W171" s="15" t="s">
        <v>663</v>
      </c>
      <c r="X171" s="15" t="s">
        <v>664</v>
      </c>
      <c r="Y171" s="15"/>
    </row>
    <row r="172" spans="1:25" ht="12.75" customHeight="1" x14ac:dyDescent="0.2">
      <c r="A172" s="23" t="s">
        <v>144</v>
      </c>
      <c r="B172" s="2" t="str">
        <f>A172&amp;COUNTIF($A$2:$A172,A172)</f>
        <v>Snotling6</v>
      </c>
      <c r="C172" s="2" t="s">
        <v>665</v>
      </c>
      <c r="D172" s="2" t="str">
        <f t="shared" si="0"/>
        <v>SnotlingPump Wagon</v>
      </c>
      <c r="E172" s="2">
        <v>4</v>
      </c>
      <c r="F172" s="2">
        <v>5</v>
      </c>
      <c r="G172" s="2">
        <v>5</v>
      </c>
      <c r="H172" s="2">
        <v>0</v>
      </c>
      <c r="I172" s="2">
        <v>9</v>
      </c>
      <c r="J172" s="2" t="str">
        <f>IF('Pack Vieja Gloria'!$J$24="Español",V172,(IF('Pack Vieja Gloria'!$J$24="Deutsch",W172,(IF('Pack Vieja Gloria'!$J$24="Français",X172,U172)))))</f>
        <v>Juego sucio (+1), Imparable, Golpe mortífero (+1), Realmente estúpido, Arma secreta, Mantenerse firme</v>
      </c>
      <c r="K172" s="1">
        <v>105000</v>
      </c>
      <c r="L172" s="1">
        <f t="shared" si="14"/>
        <v>105</v>
      </c>
      <c r="M172" s="1">
        <v>2</v>
      </c>
      <c r="N172" s="1">
        <v>1</v>
      </c>
      <c r="O172" s="1" t="s">
        <v>169</v>
      </c>
      <c r="P172" s="1" t="s">
        <v>169</v>
      </c>
      <c r="Q172" s="1" t="s">
        <v>170</v>
      </c>
      <c r="R172" s="12">
        <v>0</v>
      </c>
      <c r="S172" s="1">
        <v>0</v>
      </c>
      <c r="T172" s="15" t="str">
        <f t="shared" si="13"/>
        <v>PM</v>
      </c>
      <c r="U172" s="15" t="s">
        <v>666</v>
      </c>
      <c r="V172" s="2" t="s">
        <v>667</v>
      </c>
      <c r="W172" s="15" t="s">
        <v>668</v>
      </c>
      <c r="X172" s="15" t="s">
        <v>669</v>
      </c>
      <c r="Y172" s="15"/>
    </row>
    <row r="173" spans="1:25" ht="12.75" customHeight="1" x14ac:dyDescent="0.2">
      <c r="A173" s="23" t="s">
        <v>144</v>
      </c>
      <c r="B173" s="2" t="str">
        <f>A173&amp;COUNTIF($A$2:$A173,A173)</f>
        <v>Snotling7</v>
      </c>
      <c r="C173" s="2" t="s">
        <v>253</v>
      </c>
      <c r="D173" s="2" t="str">
        <f t="shared" si="0"/>
        <v>SnotlingTrained Troll</v>
      </c>
      <c r="E173" s="2">
        <v>4</v>
      </c>
      <c r="F173" s="2">
        <v>5</v>
      </c>
      <c r="G173" s="2">
        <v>5</v>
      </c>
      <c r="H173" s="2">
        <v>5</v>
      </c>
      <c r="I173" s="2">
        <v>10</v>
      </c>
      <c r="J173" s="2" t="str">
        <f>IF('Pack Vieja Gloria'!$J$24="Español",V173,(IF('Pack Vieja Gloria'!$J$24="Deutsch",W173,(IF('Pack Vieja Gloria'!$J$24="Français",X173,U173)))))</f>
        <v>Siempre hambriento, Solitario (3+), Golpe mortífero (+1), Proyectil de vómito, Realmente estúpido, Regeneración, Lanzar compañero</v>
      </c>
      <c r="K173" s="1">
        <v>115000</v>
      </c>
      <c r="L173" s="1">
        <f t="shared" si="14"/>
        <v>115</v>
      </c>
      <c r="M173" s="1">
        <v>2</v>
      </c>
      <c r="N173" s="1">
        <v>1</v>
      </c>
      <c r="O173" s="1" t="s">
        <v>169</v>
      </c>
      <c r="P173" s="1" t="s">
        <v>169</v>
      </c>
      <c r="Q173" s="1" t="s">
        <v>170</v>
      </c>
      <c r="R173" s="1" t="s">
        <v>169</v>
      </c>
      <c r="S173" s="1">
        <v>0</v>
      </c>
      <c r="T173" s="15" t="str">
        <f t="shared" si="13"/>
        <v>M</v>
      </c>
      <c r="U173" s="15" t="s">
        <v>254</v>
      </c>
      <c r="V173" s="2" t="s">
        <v>255</v>
      </c>
      <c r="W173" s="15" t="s">
        <v>256</v>
      </c>
      <c r="X173" s="15" t="s">
        <v>257</v>
      </c>
      <c r="Y173" s="15"/>
    </row>
    <row r="174" spans="1:25" ht="12.75" customHeight="1" x14ac:dyDescent="0.2">
      <c r="A174" s="23" t="s">
        <v>154</v>
      </c>
      <c r="B174" s="2" t="str">
        <f>A174&amp;COUNTIF($A$2:$A174,A174)</f>
        <v>Underworld Denizens1</v>
      </c>
      <c r="C174" s="2" t="str">
        <f>""</f>
        <v/>
      </c>
      <c r="D174" s="2" t="str">
        <f t="shared" si="0"/>
        <v>Underworld Denizens</v>
      </c>
      <c r="E174" s="2">
        <v>0</v>
      </c>
      <c r="F174" s="2">
        <v>0</v>
      </c>
      <c r="G174" s="2">
        <v>0</v>
      </c>
      <c r="H174" s="2">
        <v>0</v>
      </c>
      <c r="I174" s="2">
        <v>0</v>
      </c>
      <c r="J174" s="2">
        <f>IF('Pack Vieja Gloria'!$J$24="Español",V174,(IF('Pack Vieja Gloria'!$J$24="Deutsch",W174,(IF('Pack Vieja Gloria'!$J$24="Français",X174,U174)))))</f>
        <v>0</v>
      </c>
      <c r="K174" s="1">
        <v>0</v>
      </c>
      <c r="L174" s="1">
        <f t="shared" si="14"/>
        <v>0</v>
      </c>
      <c r="M174" s="1">
        <v>0</v>
      </c>
      <c r="N174" s="1">
        <v>0</v>
      </c>
      <c r="O174" s="1"/>
      <c r="P174" s="1"/>
      <c r="Q174" s="1"/>
      <c r="R174" s="1"/>
      <c r="S174" s="1"/>
      <c r="T174" s="15" t="str">
        <f t="shared" si="13"/>
        <v/>
      </c>
      <c r="U174" s="15">
        <v>0</v>
      </c>
      <c r="V174" s="15">
        <v>0</v>
      </c>
      <c r="W174" s="15">
        <v>0</v>
      </c>
      <c r="X174" s="15">
        <v>0</v>
      </c>
      <c r="Y174" s="15">
        <v>0</v>
      </c>
    </row>
    <row r="175" spans="1:25" ht="12.75" customHeight="1" x14ac:dyDescent="0.2">
      <c r="A175" s="23" t="s">
        <v>154</v>
      </c>
      <c r="B175" s="2" t="str">
        <f>A175&amp;COUNTIF($A$2:$A175,A175)</f>
        <v>Underworld Denizens2</v>
      </c>
      <c r="C175" s="2" t="s">
        <v>62</v>
      </c>
      <c r="D175" s="2" t="str">
        <f t="shared" si="0"/>
        <v>Underworld DenizensGoblin</v>
      </c>
      <c r="E175" s="2">
        <v>6</v>
      </c>
      <c r="F175" s="2">
        <v>2</v>
      </c>
      <c r="G175" s="2">
        <v>3</v>
      </c>
      <c r="H175" s="2">
        <v>4</v>
      </c>
      <c r="I175" s="2">
        <v>8</v>
      </c>
      <c r="J175" s="2" t="str">
        <f>IF('Pack Vieja Gloria'!$J$24="Español",V175,(IF('Pack Vieja Gloria'!$J$24="Deutsch",W175,(IF('Pack Vieja Gloria'!$J$24="Français",X175,U175)))))</f>
        <v>Esquivar, Humanoide bala, Escurridizo</v>
      </c>
      <c r="K175" s="1">
        <v>40000</v>
      </c>
      <c r="L175" s="1">
        <f t="shared" si="14"/>
        <v>40</v>
      </c>
      <c r="M175" s="2">
        <v>12</v>
      </c>
      <c r="N175" s="2">
        <v>0</v>
      </c>
      <c r="O175" s="1" t="s">
        <v>169</v>
      </c>
      <c r="P175" s="1" t="s">
        <v>170</v>
      </c>
      <c r="Q175" s="1" t="s">
        <v>169</v>
      </c>
      <c r="R175" s="1">
        <v>0</v>
      </c>
      <c r="S175" s="1" t="s">
        <v>170</v>
      </c>
      <c r="T175" s="15" t="str">
        <f t="shared" si="13"/>
        <v>P</v>
      </c>
      <c r="U175" s="15" t="s">
        <v>368</v>
      </c>
      <c r="V175" s="2" t="s">
        <v>369</v>
      </c>
      <c r="W175" s="15" t="s">
        <v>370</v>
      </c>
      <c r="X175" s="15" t="s">
        <v>371</v>
      </c>
      <c r="Y175" s="15"/>
    </row>
    <row r="176" spans="1:25" ht="12.75" customHeight="1" x14ac:dyDescent="0.2">
      <c r="A176" s="23" t="s">
        <v>154</v>
      </c>
      <c r="B176" s="2" t="str">
        <f>A176&amp;COUNTIF($A$2:$A176,A176)</f>
        <v>Underworld Denizens3</v>
      </c>
      <c r="C176" s="2" t="s">
        <v>144</v>
      </c>
      <c r="D176" s="2" t="str">
        <f t="shared" si="0"/>
        <v>Underworld DenizensSnotling</v>
      </c>
      <c r="E176" s="2">
        <v>5</v>
      </c>
      <c r="F176" s="2">
        <v>1</v>
      </c>
      <c r="G176" s="2">
        <v>3</v>
      </c>
      <c r="H176" s="2">
        <v>5</v>
      </c>
      <c r="I176" s="2">
        <v>6</v>
      </c>
      <c r="J176" s="2" t="str">
        <f>IF('Pack Vieja Gloria'!$J$24="Español",V176,(IF('Pack Vieja Gloria'!$J$24="Deutsch",W176,(IF('Pack Vieja Gloria'!$J$24="Français",X176,U176)))))</f>
        <v>Esquivar, Humanoide bala, Echarse a un lado, Escurridizo, Colocarse, Canijo</v>
      </c>
      <c r="K176" s="1">
        <v>15000</v>
      </c>
      <c r="L176" s="1">
        <f t="shared" si="14"/>
        <v>15</v>
      </c>
      <c r="M176" s="1">
        <v>6</v>
      </c>
      <c r="N176" s="1">
        <v>0</v>
      </c>
      <c r="O176" s="1" t="s">
        <v>169</v>
      </c>
      <c r="P176" s="1" t="s">
        <v>170</v>
      </c>
      <c r="Q176" s="1" t="s">
        <v>169</v>
      </c>
      <c r="R176" s="1">
        <v>0</v>
      </c>
      <c r="S176" s="1" t="s">
        <v>170</v>
      </c>
      <c r="T176" s="15" t="str">
        <f t="shared" si="13"/>
        <v>P</v>
      </c>
      <c r="U176" s="15" t="s">
        <v>646</v>
      </c>
      <c r="V176" s="15" t="s">
        <v>647</v>
      </c>
      <c r="W176" s="15" t="s">
        <v>648</v>
      </c>
      <c r="X176" s="15" t="s">
        <v>649</v>
      </c>
      <c r="Y176" s="15"/>
    </row>
    <row r="177" spans="1:25" ht="12.75" customHeight="1" x14ac:dyDescent="0.2">
      <c r="A177" s="23" t="s">
        <v>154</v>
      </c>
      <c r="B177" s="2" t="str">
        <f>A177&amp;COUNTIF($A$2:$A177,A177)</f>
        <v>Underworld Denizens4</v>
      </c>
      <c r="C177" s="2" t="s">
        <v>670</v>
      </c>
      <c r="D177" s="2" t="str">
        <f t="shared" si="0"/>
        <v>Underworld DenizensSkaven Clanrat</v>
      </c>
      <c r="E177" s="2">
        <v>7</v>
      </c>
      <c r="F177" s="2">
        <v>3</v>
      </c>
      <c r="G177" s="2">
        <v>3</v>
      </c>
      <c r="H177" s="2">
        <v>4</v>
      </c>
      <c r="I177" s="2">
        <v>8</v>
      </c>
      <c r="J177" s="2" t="str">
        <f>IF('Pack Vieja Gloria'!$J$24="Español",V177,(IF('Pack Vieja Gloria'!$J$24="Deutsch",W177,(IF('Pack Vieja Gloria'!$J$24="Français",X177,U177)))))</f>
        <v>Animosidad (Underworld Goblin Linemen)</v>
      </c>
      <c r="K177" s="1">
        <v>50000</v>
      </c>
      <c r="L177" s="1">
        <f t="shared" si="14"/>
        <v>50</v>
      </c>
      <c r="M177" s="2">
        <v>3</v>
      </c>
      <c r="N177" s="2">
        <v>0</v>
      </c>
      <c r="O177" s="1" t="s">
        <v>170</v>
      </c>
      <c r="P177" s="1" t="s">
        <v>169</v>
      </c>
      <c r="Q177" s="1" t="s">
        <v>169</v>
      </c>
      <c r="R177" s="1">
        <v>0</v>
      </c>
      <c r="S177" s="1" t="s">
        <v>170</v>
      </c>
      <c r="T177" s="15" t="str">
        <f t="shared" si="13"/>
        <v>P</v>
      </c>
      <c r="U177" s="15" t="s">
        <v>671</v>
      </c>
      <c r="V177" s="15" t="s">
        <v>672</v>
      </c>
      <c r="W177" s="15" t="s">
        <v>673</v>
      </c>
      <c r="X177" s="15" t="s">
        <v>674</v>
      </c>
      <c r="Y177" s="15"/>
    </row>
    <row r="178" spans="1:25" ht="12.75" customHeight="1" x14ac:dyDescent="0.2">
      <c r="A178" s="23" t="s">
        <v>154</v>
      </c>
      <c r="B178" s="2" t="str">
        <f>A178&amp;COUNTIF($A$2:$A178,A178)</f>
        <v>Underworld Denizens5</v>
      </c>
      <c r="C178" s="2" t="s">
        <v>675</v>
      </c>
      <c r="D178" s="2" t="str">
        <f t="shared" si="0"/>
        <v>Underworld DenizensSkaven Thrower</v>
      </c>
      <c r="E178" s="2">
        <v>7</v>
      </c>
      <c r="F178" s="2">
        <v>3</v>
      </c>
      <c r="G178" s="2">
        <v>3</v>
      </c>
      <c r="H178" s="2">
        <v>2</v>
      </c>
      <c r="I178" s="2">
        <v>8</v>
      </c>
      <c r="J178" s="2" t="str">
        <f>IF('Pack Vieja Gloria'!$J$24="Español",V178,(IF('Pack Vieja Gloria'!$J$24="Deutsch",W178,(IF('Pack Vieja Gloria'!$J$24="Français",X178,U178)))))</f>
        <v>Animosidad (Underworld Goblin Linemen), Pasar, Manos seguras</v>
      </c>
      <c r="K178" s="1">
        <v>85000</v>
      </c>
      <c r="L178" s="1">
        <f t="shared" si="14"/>
        <v>85</v>
      </c>
      <c r="M178" s="2">
        <v>1</v>
      </c>
      <c r="N178" s="2">
        <v>0</v>
      </c>
      <c r="O178" s="1" t="s">
        <v>170</v>
      </c>
      <c r="P178" s="1" t="s">
        <v>169</v>
      </c>
      <c r="Q178" s="1" t="s">
        <v>169</v>
      </c>
      <c r="R178" s="1" t="s">
        <v>170</v>
      </c>
      <c r="S178" s="1" t="s">
        <v>170</v>
      </c>
      <c r="T178" s="15" t="str">
        <f t="shared" si="13"/>
        <v>FULL</v>
      </c>
      <c r="U178" s="15" t="s">
        <v>676</v>
      </c>
      <c r="V178" s="2" t="s">
        <v>677</v>
      </c>
      <c r="W178" s="15" t="s">
        <v>678</v>
      </c>
      <c r="X178" s="15" t="s">
        <v>679</v>
      </c>
      <c r="Y178" s="15"/>
    </row>
    <row r="179" spans="1:25" ht="12.75" customHeight="1" x14ac:dyDescent="0.2">
      <c r="A179" s="23" t="s">
        <v>154</v>
      </c>
      <c r="B179" s="2" t="str">
        <f>A179&amp;COUNTIF($A$2:$A179,A179)</f>
        <v>Underworld Denizens6</v>
      </c>
      <c r="C179" s="2" t="s">
        <v>629</v>
      </c>
      <c r="D179" s="2" t="str">
        <f t="shared" si="0"/>
        <v>Underworld DenizensGutter Runner</v>
      </c>
      <c r="E179" s="2">
        <v>9</v>
      </c>
      <c r="F179" s="2">
        <v>2</v>
      </c>
      <c r="G179" s="2">
        <v>2</v>
      </c>
      <c r="H179" s="2">
        <v>4</v>
      </c>
      <c r="I179" s="2">
        <v>8</v>
      </c>
      <c r="J179" s="2" t="str">
        <f>IF('Pack Vieja Gloria'!$J$24="Español",V179,(IF('Pack Vieja Gloria'!$J$24="Deutsch",W179,(IF('Pack Vieja Gloria'!$J$24="Français",X179,U179)))))</f>
        <v>Animosidad (Underworld Goblin Linemen), Esquivar</v>
      </c>
      <c r="K179" s="1">
        <v>85000</v>
      </c>
      <c r="L179" s="1">
        <f t="shared" si="14"/>
        <v>85</v>
      </c>
      <c r="M179" s="2">
        <v>1</v>
      </c>
      <c r="N179" s="2">
        <v>0</v>
      </c>
      <c r="O179" s="1" t="s">
        <v>170</v>
      </c>
      <c r="P179" s="1" t="s">
        <v>170</v>
      </c>
      <c r="Q179" s="1" t="s">
        <v>169</v>
      </c>
      <c r="R179" s="1" t="s">
        <v>169</v>
      </c>
      <c r="S179" s="1" t="s">
        <v>170</v>
      </c>
      <c r="T179" s="15" t="str">
        <f t="shared" si="13"/>
        <v>FULL</v>
      </c>
      <c r="U179" s="15" t="s">
        <v>680</v>
      </c>
      <c r="V179" s="2" t="s">
        <v>681</v>
      </c>
      <c r="W179" s="15" t="s">
        <v>682</v>
      </c>
      <c r="X179" s="15" t="s">
        <v>683</v>
      </c>
      <c r="Y179" s="15"/>
    </row>
    <row r="180" spans="1:25" ht="12.75" customHeight="1" x14ac:dyDescent="0.2">
      <c r="A180" s="23" t="s">
        <v>154</v>
      </c>
      <c r="B180" s="2" t="str">
        <f>A180&amp;COUNTIF($A$2:$A180,A180)</f>
        <v>Underworld Denizens7</v>
      </c>
      <c r="C180" s="2" t="s">
        <v>684</v>
      </c>
      <c r="D180" s="2" t="str">
        <f t="shared" si="0"/>
        <v>Underworld DenizensSkaven Blitzer</v>
      </c>
      <c r="E180" s="2">
        <v>7</v>
      </c>
      <c r="F180" s="2">
        <v>3</v>
      </c>
      <c r="G180" s="2">
        <v>3</v>
      </c>
      <c r="H180" s="2">
        <v>5</v>
      </c>
      <c r="I180" s="2">
        <v>9</v>
      </c>
      <c r="J180" s="2" t="str">
        <f>IF('Pack Vieja Gloria'!$J$24="Español",V180,(IF('Pack Vieja Gloria'!$J$24="Deutsch",W180,(IF('Pack Vieja Gloria'!$J$24="Français",X180,U180)))))</f>
        <v>Animosidad (Underworld Goblin Linemen), Placar</v>
      </c>
      <c r="K180" s="1">
        <v>90000</v>
      </c>
      <c r="L180" s="1">
        <f t="shared" si="14"/>
        <v>90</v>
      </c>
      <c r="M180" s="2">
        <v>1</v>
      </c>
      <c r="N180" s="2">
        <v>0</v>
      </c>
      <c r="O180" s="1" t="s">
        <v>170</v>
      </c>
      <c r="P180" s="1" t="s">
        <v>169</v>
      </c>
      <c r="Q180" s="1" t="s">
        <v>170</v>
      </c>
      <c r="R180" s="1" t="s">
        <v>169</v>
      </c>
      <c r="S180" s="1" t="s">
        <v>170</v>
      </c>
      <c r="T180" s="15" t="str">
        <f t="shared" si="13"/>
        <v>FULL</v>
      </c>
      <c r="U180" s="15" t="s">
        <v>685</v>
      </c>
      <c r="V180" s="15" t="s">
        <v>686</v>
      </c>
      <c r="W180" s="15" t="s">
        <v>687</v>
      </c>
      <c r="X180" s="15" t="s">
        <v>688</v>
      </c>
      <c r="Y180" s="15"/>
    </row>
    <row r="181" spans="1:25" ht="12.75" customHeight="1" x14ac:dyDescent="0.2">
      <c r="A181" s="23" t="s">
        <v>154</v>
      </c>
      <c r="B181" s="2" t="str">
        <f>A181&amp;COUNTIF($A$2:$A181,A181)</f>
        <v>Underworld Denizens8</v>
      </c>
      <c r="C181" s="2" t="s">
        <v>689</v>
      </c>
      <c r="D181" s="2" t="str">
        <f t="shared" si="0"/>
        <v>Underworld DenizensUnderworld Troll</v>
      </c>
      <c r="E181" s="2">
        <v>4</v>
      </c>
      <c r="F181" s="2">
        <v>5</v>
      </c>
      <c r="G181" s="2">
        <v>5</v>
      </c>
      <c r="H181" s="2">
        <v>5</v>
      </c>
      <c r="I181" s="2">
        <v>10</v>
      </c>
      <c r="J181" s="2" t="str">
        <f>IF('Pack Vieja Gloria'!$J$24="Español",V181,(IF('Pack Vieja Gloria'!$J$24="Deutsch",W181,(IF('Pack Vieja Gloria'!$J$24="Français",X181,U181)))))</f>
        <v>Siempre hambriento, Solitario (4+), Golpe mortífero (+1), Proyectil de vómito, Realmente estúpido, Regeneración, Lanzar compañero</v>
      </c>
      <c r="K181" s="1">
        <v>115000</v>
      </c>
      <c r="L181" s="1">
        <f t="shared" si="14"/>
        <v>115</v>
      </c>
      <c r="M181" s="2">
        <v>1</v>
      </c>
      <c r="N181" s="2">
        <v>1</v>
      </c>
      <c r="O181" s="1" t="s">
        <v>169</v>
      </c>
      <c r="P181" s="1" t="s">
        <v>169</v>
      </c>
      <c r="Q181" s="1" t="s">
        <v>170</v>
      </c>
      <c r="R181" s="1" t="s">
        <v>169</v>
      </c>
      <c r="S181" s="1" t="s">
        <v>170</v>
      </c>
      <c r="T181" s="15" t="str">
        <f t="shared" si="13"/>
        <v>FULL</v>
      </c>
      <c r="U181" s="15" t="s">
        <v>265</v>
      </c>
      <c r="V181" s="2" t="s">
        <v>266</v>
      </c>
      <c r="W181" s="15" t="s">
        <v>267</v>
      </c>
      <c r="X181" s="15" t="s">
        <v>268</v>
      </c>
      <c r="Y181" s="15"/>
    </row>
    <row r="182" spans="1:25" ht="12.75" customHeight="1" x14ac:dyDescent="0.2">
      <c r="A182" s="23" t="s">
        <v>154</v>
      </c>
      <c r="B182" s="2" t="str">
        <f>A182&amp;COUNTIF($A$2:$A182,A182)</f>
        <v>Underworld Denizens9</v>
      </c>
      <c r="C182" s="2" t="s">
        <v>690</v>
      </c>
      <c r="D182" s="2" t="str">
        <f t="shared" si="0"/>
        <v>Underworld DenizensMutant Rat Ogre</v>
      </c>
      <c r="E182" s="2">
        <v>6</v>
      </c>
      <c r="F182" s="2">
        <v>5</v>
      </c>
      <c r="G182" s="2">
        <v>4</v>
      </c>
      <c r="H182" s="2">
        <v>0</v>
      </c>
      <c r="I182" s="2">
        <v>9</v>
      </c>
      <c r="J182" s="2" t="str">
        <f>IF('Pack Vieja Gloria'!$J$24="Español",V182,(IF('Pack Vieja Gloria'!$J$24="Deutsch",W182,(IF('Pack Vieja Gloria'!$J$24="Français",X182,U182)))))</f>
        <v>Ferocidad animal, Furia, Solitario (4+), Golpe mortífero (+1), Cola prensil</v>
      </c>
      <c r="K182" s="1">
        <v>150000</v>
      </c>
      <c r="L182" s="1">
        <f t="shared" si="14"/>
        <v>150</v>
      </c>
      <c r="M182" s="2">
        <v>1</v>
      </c>
      <c r="N182" s="2">
        <v>1</v>
      </c>
      <c r="O182" s="1" t="s">
        <v>169</v>
      </c>
      <c r="P182" s="1" t="s">
        <v>169</v>
      </c>
      <c r="Q182" s="1" t="s">
        <v>170</v>
      </c>
      <c r="R182" s="12">
        <v>0</v>
      </c>
      <c r="S182" s="1" t="s">
        <v>170</v>
      </c>
      <c r="T182" s="15" t="str">
        <f t="shared" si="13"/>
        <v>P</v>
      </c>
      <c r="U182" s="15" t="s">
        <v>311</v>
      </c>
      <c r="V182" s="2" t="s">
        <v>312</v>
      </c>
      <c r="W182" s="15" t="s">
        <v>313</v>
      </c>
      <c r="X182" s="15" t="s">
        <v>314</v>
      </c>
      <c r="Y182" s="15"/>
    </row>
    <row r="183" spans="1:25" ht="12.75" customHeight="1" x14ac:dyDescent="0.2">
      <c r="A183" s="23" t="s">
        <v>159</v>
      </c>
      <c r="B183" s="2" t="str">
        <f>A183&amp;COUNTIF($A$2:$A183,A183)</f>
        <v>Vampire1</v>
      </c>
      <c r="C183" s="2"/>
      <c r="D183" s="2" t="str">
        <f t="shared" si="0"/>
        <v>Vampire</v>
      </c>
      <c r="E183" s="2">
        <v>0</v>
      </c>
      <c r="F183" s="2">
        <v>0</v>
      </c>
      <c r="G183" s="2">
        <v>0</v>
      </c>
      <c r="H183" s="2">
        <v>0</v>
      </c>
      <c r="I183" s="2">
        <v>0</v>
      </c>
      <c r="J183" s="2">
        <f>IF('Pack Vieja Gloria'!$J$24="Español",V183,(IF('Pack Vieja Gloria'!$J$24="Deutsch",W183,(IF('Pack Vieja Gloria'!$J$24="Français",X183,U183)))))</f>
        <v>0</v>
      </c>
      <c r="K183" s="1">
        <v>0</v>
      </c>
      <c r="L183" s="1">
        <f t="shared" si="14"/>
        <v>0</v>
      </c>
      <c r="M183" s="2">
        <v>0</v>
      </c>
      <c r="N183" s="2">
        <v>0</v>
      </c>
      <c r="O183" s="1"/>
      <c r="P183" s="1"/>
      <c r="Q183" s="1"/>
      <c r="R183" s="1"/>
      <c r="S183" s="1"/>
      <c r="T183" s="15" t="str">
        <f t="shared" si="13"/>
        <v/>
      </c>
      <c r="U183" s="15"/>
      <c r="V183" s="15"/>
      <c r="W183" s="15"/>
      <c r="X183" s="15"/>
      <c r="Y183" s="15"/>
    </row>
    <row r="184" spans="1:25" ht="12.75" customHeight="1" x14ac:dyDescent="0.2">
      <c r="A184" s="23" t="s">
        <v>159</v>
      </c>
      <c r="B184" s="2" t="str">
        <f>A184&amp;COUNTIF($A$2:$A184,A184)</f>
        <v>Vampire2</v>
      </c>
      <c r="C184" s="2" t="s">
        <v>691</v>
      </c>
      <c r="D184" s="2" t="str">
        <f t="shared" si="0"/>
        <v>VampireThrall</v>
      </c>
      <c r="E184" s="2">
        <v>6</v>
      </c>
      <c r="F184" s="2">
        <v>3</v>
      </c>
      <c r="G184" s="2">
        <v>3</v>
      </c>
      <c r="H184" s="2">
        <v>4</v>
      </c>
      <c r="I184" s="2">
        <v>8</v>
      </c>
      <c r="J184" s="2" t="str">
        <f>IF('Pack Vieja Gloria'!$J$24="Español",V184,(IF('Pack Vieja Gloria'!$J$24="Deutsch",W184,(IF('Pack Vieja Gloria'!$J$24="Français",X184,U184)))))</f>
        <v/>
      </c>
      <c r="K184" s="1">
        <v>40000</v>
      </c>
      <c r="L184" s="1">
        <f t="shared" si="14"/>
        <v>40</v>
      </c>
      <c r="M184" s="2">
        <v>16</v>
      </c>
      <c r="N184" s="2">
        <v>0</v>
      </c>
      <c r="O184" s="1" t="s">
        <v>170</v>
      </c>
      <c r="P184" s="1" t="s">
        <v>169</v>
      </c>
      <c r="Q184" s="1" t="s">
        <v>169</v>
      </c>
      <c r="R184" s="1" t="s">
        <v>169</v>
      </c>
      <c r="S184" s="1">
        <v>0</v>
      </c>
      <c r="T184" s="15" t="str">
        <f t="shared" si="13"/>
        <v>M</v>
      </c>
      <c r="U184" s="15" t="str">
        <f t="shared" ref="U184:Y184" si="16">""</f>
        <v/>
      </c>
      <c r="V184" s="15" t="str">
        <f t="shared" si="16"/>
        <v/>
      </c>
      <c r="W184" s="15" t="str">
        <f t="shared" si="16"/>
        <v/>
      </c>
      <c r="X184" s="15" t="str">
        <f t="shared" si="16"/>
        <v/>
      </c>
      <c r="Y184" s="15" t="str">
        <f t="shared" si="16"/>
        <v/>
      </c>
    </row>
    <row r="185" spans="1:25" ht="12.75" customHeight="1" x14ac:dyDescent="0.2">
      <c r="A185" s="23" t="s">
        <v>159</v>
      </c>
      <c r="B185" s="2" t="str">
        <f>A185&amp;COUNTIF($A$2:$A185,A185)</f>
        <v>Vampire3</v>
      </c>
      <c r="C185" s="2" t="s">
        <v>1330</v>
      </c>
      <c r="D185" s="2" t="str">
        <f t="shared" si="0"/>
        <v>VampireVampire Runner</v>
      </c>
      <c r="E185" s="2">
        <v>8</v>
      </c>
      <c r="F185" s="2">
        <v>3</v>
      </c>
      <c r="G185" s="2">
        <v>2</v>
      </c>
      <c r="H185" s="2">
        <v>4</v>
      </c>
      <c r="I185" s="2">
        <v>8</v>
      </c>
      <c r="J185" s="2" t="str">
        <f>IF('Pack Vieja Gloria'!$J$24="Español",V185,(IF('Pack Vieja Gloria'!$J$24="Deutsch",W185,(IF('Pack Vieja Gloria'!$J$24="Français",X185,U185)))))</f>
        <v>Mirada hipnótica, Regeneración, Sed de sangre (2+)</v>
      </c>
      <c r="K185" s="1">
        <v>100000</v>
      </c>
      <c r="L185" s="1">
        <f t="shared" si="14"/>
        <v>100</v>
      </c>
      <c r="M185" s="2">
        <v>2</v>
      </c>
      <c r="N185" s="2">
        <v>0</v>
      </c>
      <c r="O185" s="1" t="s">
        <v>170</v>
      </c>
      <c r="P185" s="1" t="s">
        <v>170</v>
      </c>
      <c r="Q185" s="1" t="s">
        <v>169</v>
      </c>
      <c r="R185" s="1" t="s">
        <v>169</v>
      </c>
      <c r="S185" s="1">
        <v>0</v>
      </c>
      <c r="T185" s="15" t="str">
        <f t="shared" si="13"/>
        <v>M</v>
      </c>
      <c r="U185" s="15" t="s">
        <v>1336</v>
      </c>
      <c r="V185" s="15" t="s">
        <v>1334</v>
      </c>
      <c r="W185" s="15" t="s">
        <v>1344</v>
      </c>
      <c r="X185" s="15" t="s">
        <v>1346</v>
      </c>
      <c r="Y185" s="15"/>
    </row>
    <row r="186" spans="1:25" ht="12.75" customHeight="1" x14ac:dyDescent="0.2">
      <c r="A186" s="23" t="s">
        <v>159</v>
      </c>
      <c r="B186" s="2" t="str">
        <f>A186&amp;COUNTIF($A$2:$A186,A186)</f>
        <v>Vampire4</v>
      </c>
      <c r="C186" s="2" t="s">
        <v>1331</v>
      </c>
      <c r="D186" s="2" t="str">
        <f t="shared" si="0"/>
        <v>VampireVampire Thrower</v>
      </c>
      <c r="E186" s="2">
        <v>6</v>
      </c>
      <c r="F186" s="2">
        <v>4</v>
      </c>
      <c r="G186" s="2">
        <v>2</v>
      </c>
      <c r="H186" s="2">
        <v>2</v>
      </c>
      <c r="I186" s="2">
        <v>9</v>
      </c>
      <c r="J186" s="2" t="str">
        <f>IF('Pack Vieja Gloria'!$J$24="Español",V186,(IF('Pack Vieja Gloria'!$J$24="Deutsch",W186,(IF('Pack Vieja Gloria'!$J$24="Français",X186,U186)))))</f>
        <v>Pasar, Mirada hipnótica, Regeneración, Sed de sangre (2+)</v>
      </c>
      <c r="K186" s="1">
        <v>110000</v>
      </c>
      <c r="L186" s="1">
        <f t="shared" si="14"/>
        <v>110</v>
      </c>
      <c r="M186" s="2">
        <v>2</v>
      </c>
      <c r="N186" s="2">
        <v>0</v>
      </c>
      <c r="O186" s="1" t="s">
        <v>170</v>
      </c>
      <c r="P186" s="1" t="s">
        <v>170</v>
      </c>
      <c r="Q186" s="1" t="s">
        <v>169</v>
      </c>
      <c r="R186" s="1" t="s">
        <v>170</v>
      </c>
      <c r="S186" s="1">
        <v>0</v>
      </c>
      <c r="T186" s="15" t="str">
        <f t="shared" si="13"/>
        <v>M</v>
      </c>
      <c r="U186" s="15" t="s">
        <v>1337</v>
      </c>
      <c r="V186" s="15" t="s">
        <v>1335</v>
      </c>
      <c r="W186" s="15" t="s">
        <v>1343</v>
      </c>
      <c r="X186" s="15" t="s">
        <v>1347</v>
      </c>
      <c r="Y186" s="15"/>
    </row>
    <row r="187" spans="1:25" ht="12.75" customHeight="1" x14ac:dyDescent="0.2">
      <c r="A187" s="23" t="s">
        <v>159</v>
      </c>
      <c r="B187" s="2" t="str">
        <f>A187&amp;COUNTIF($A$2:$A187,A187)</f>
        <v>Vampire5</v>
      </c>
      <c r="C187" s="2" t="s">
        <v>1332</v>
      </c>
      <c r="D187" s="2" t="str">
        <f t="shared" si="0"/>
        <v>VampireVampire Blitzer</v>
      </c>
      <c r="E187" s="2">
        <v>6</v>
      </c>
      <c r="F187" s="2">
        <v>4</v>
      </c>
      <c r="G187" s="2">
        <v>2</v>
      </c>
      <c r="H187" s="2">
        <v>5</v>
      </c>
      <c r="I187" s="2">
        <v>9</v>
      </c>
      <c r="J187" s="2" t="str">
        <f>IF('Pack Vieja Gloria'!$J$24="Español",V187,(IF('Pack Vieja Gloria'!$J$24="Deutsch",W187,(IF('Pack Vieja Gloria'!$J$24="Français",X187,U187)))))</f>
        <v>Imparable, Mirada hipnótica, Regeneración, Sed de sangre (3+)</v>
      </c>
      <c r="K187" s="1">
        <v>110000</v>
      </c>
      <c r="L187" s="1">
        <f t="shared" si="14"/>
        <v>110</v>
      </c>
      <c r="M187" s="2">
        <v>2</v>
      </c>
      <c r="N187" s="2">
        <v>0</v>
      </c>
      <c r="O187" s="1" t="s">
        <v>170</v>
      </c>
      <c r="P187" s="1" t="s">
        <v>170</v>
      </c>
      <c r="Q187" s="1" t="s">
        <v>170</v>
      </c>
      <c r="R187" s="1" t="s">
        <v>169</v>
      </c>
      <c r="S187" s="1">
        <v>0</v>
      </c>
      <c r="T187" s="15" t="str">
        <f t="shared" si="13"/>
        <v>M</v>
      </c>
      <c r="U187" s="15" t="s">
        <v>1339</v>
      </c>
      <c r="V187" s="15" t="s">
        <v>1340</v>
      </c>
      <c r="W187" s="15" t="s">
        <v>1342</v>
      </c>
      <c r="X187" s="15" t="s">
        <v>1345</v>
      </c>
      <c r="Y187" s="15"/>
    </row>
    <row r="188" spans="1:25" ht="12.75" customHeight="1" x14ac:dyDescent="0.2">
      <c r="A188" s="23" t="s">
        <v>159</v>
      </c>
      <c r="B188" s="2" t="str">
        <f>A188&amp;COUNTIF($A$2:$A188,A188)</f>
        <v>Vampire6</v>
      </c>
      <c r="C188" s="2" t="s">
        <v>1333</v>
      </c>
      <c r="D188" s="2" t="str">
        <f t="shared" si="0"/>
        <v>VampireVargheist</v>
      </c>
      <c r="E188" s="2">
        <v>5</v>
      </c>
      <c r="F188" s="2">
        <v>5</v>
      </c>
      <c r="G188" s="2">
        <v>4</v>
      </c>
      <c r="H188" s="2">
        <v>0</v>
      </c>
      <c r="I188" s="2">
        <v>10</v>
      </c>
      <c r="J188" s="2" t="str">
        <f>IF('Pack Vieja Gloria'!$J$24="Español",V188,(IF('Pack Vieja Gloria'!$J$24="Deutsch",W188,(IF('Pack Vieja Gloria'!$J$24="Français",X188,U188)))))</f>
        <v>Garras, Furia, Sed de sangre (3+), Regeneración, Solitario (4+)</v>
      </c>
      <c r="K188" s="1">
        <v>150000</v>
      </c>
      <c r="L188" s="1">
        <f t="shared" si="14"/>
        <v>150</v>
      </c>
      <c r="M188" s="2">
        <v>1</v>
      </c>
      <c r="N188" s="2">
        <v>1</v>
      </c>
      <c r="O188" s="1" t="s">
        <v>169</v>
      </c>
      <c r="P188" s="1" t="s">
        <v>169</v>
      </c>
      <c r="Q188" s="1" t="s">
        <v>170</v>
      </c>
      <c r="R188" s="1" t="s">
        <v>169</v>
      </c>
      <c r="S188" s="1">
        <v>0</v>
      </c>
      <c r="T188" s="15" t="str">
        <f t="shared" si="13"/>
        <v>M</v>
      </c>
      <c r="U188" s="15" t="s">
        <v>1338</v>
      </c>
      <c r="V188" s="15" t="s">
        <v>1341</v>
      </c>
      <c r="W188" s="15" t="s">
        <v>1348</v>
      </c>
      <c r="X188" s="15" t="s">
        <v>1349</v>
      </c>
      <c r="Y188" s="15"/>
    </row>
    <row r="189" spans="1:25" ht="12.75" customHeight="1" x14ac:dyDescent="0.2">
      <c r="A189" s="23" t="s">
        <v>160</v>
      </c>
      <c r="B189" s="2" t="str">
        <f>A189&amp;COUNTIF($A$2:$A189,A189)</f>
        <v>Wood Elf1</v>
      </c>
      <c r="C189" s="2" t="str">
        <f>""</f>
        <v/>
      </c>
      <c r="D189" s="2" t="str">
        <f t="shared" si="0"/>
        <v>Wood Elf</v>
      </c>
      <c r="E189" s="2">
        <v>0</v>
      </c>
      <c r="F189" s="2">
        <v>0</v>
      </c>
      <c r="G189" s="2">
        <v>0</v>
      </c>
      <c r="H189" s="2">
        <v>0</v>
      </c>
      <c r="I189" s="2">
        <v>0</v>
      </c>
      <c r="J189" s="2">
        <f>IF('Pack Vieja Gloria'!$J$24="Español",V189,(IF('Pack Vieja Gloria'!$J$24="Deutsch",W189,(IF('Pack Vieja Gloria'!$J$24="Français",X189,U189)))))</f>
        <v>0</v>
      </c>
      <c r="K189" s="1">
        <v>0</v>
      </c>
      <c r="L189" s="1">
        <f t="shared" si="14"/>
        <v>0</v>
      </c>
      <c r="M189" s="1">
        <v>0</v>
      </c>
      <c r="N189" s="1">
        <v>0</v>
      </c>
      <c r="O189" s="1"/>
      <c r="P189" s="1"/>
      <c r="Q189" s="1"/>
      <c r="R189" s="1"/>
      <c r="S189" s="1"/>
      <c r="T189" s="15" t="str">
        <f t="shared" si="13"/>
        <v/>
      </c>
      <c r="U189" s="15">
        <v>0</v>
      </c>
      <c r="V189" s="15">
        <v>0</v>
      </c>
      <c r="W189" s="15">
        <v>0</v>
      </c>
      <c r="X189" s="15">
        <v>0</v>
      </c>
      <c r="Y189" s="15">
        <v>0</v>
      </c>
    </row>
    <row r="190" spans="1:25" ht="12.75" customHeight="1" x14ac:dyDescent="0.2">
      <c r="A190" s="23" t="s">
        <v>160</v>
      </c>
      <c r="B190" s="2" t="str">
        <f>A190&amp;COUNTIF($A$2:$A190,A190)</f>
        <v>Wood Elf2</v>
      </c>
      <c r="C190" s="2" t="s">
        <v>319</v>
      </c>
      <c r="D190" s="2" t="str">
        <f t="shared" si="0"/>
        <v>Wood ElfLineman</v>
      </c>
      <c r="E190" s="2">
        <v>7</v>
      </c>
      <c r="F190" s="2">
        <v>3</v>
      </c>
      <c r="G190" s="2">
        <v>2</v>
      </c>
      <c r="H190" s="2">
        <v>4</v>
      </c>
      <c r="I190" s="2">
        <v>8</v>
      </c>
      <c r="J190" s="2" t="str">
        <f>IF('Pack Vieja Gloria'!$J$24="Español",V190,(IF('Pack Vieja Gloria'!$J$24="Deutsch",W190,(IF('Pack Vieja Gloria'!$J$24="Français",X190,U190)))))</f>
        <v/>
      </c>
      <c r="K190" s="1">
        <v>70000</v>
      </c>
      <c r="L190" s="1">
        <f t="shared" si="14"/>
        <v>70</v>
      </c>
      <c r="M190" s="2">
        <v>16</v>
      </c>
      <c r="N190" s="2">
        <v>0</v>
      </c>
      <c r="O190" s="1" t="s">
        <v>170</v>
      </c>
      <c r="P190" s="1" t="s">
        <v>170</v>
      </c>
      <c r="Q190" s="1" t="s">
        <v>169</v>
      </c>
      <c r="R190" s="1">
        <v>0</v>
      </c>
      <c r="S190" s="1">
        <v>0</v>
      </c>
      <c r="T190" s="15" t="str">
        <f t="shared" si="13"/>
        <v>PM</v>
      </c>
      <c r="U190" s="15" t="str">
        <f>""</f>
        <v/>
      </c>
      <c r="V190" s="15" t="str">
        <f t="shared" ref="V190:Y190" si="17">""</f>
        <v/>
      </c>
      <c r="W190" s="15" t="str">
        <f t="shared" si="17"/>
        <v/>
      </c>
      <c r="X190" s="15" t="str">
        <f t="shared" si="17"/>
        <v/>
      </c>
      <c r="Y190" s="15" t="str">
        <f t="shared" si="17"/>
        <v/>
      </c>
    </row>
    <row r="191" spans="1:25" ht="12.75" customHeight="1" x14ac:dyDescent="0.2">
      <c r="A191" s="23" t="s">
        <v>160</v>
      </c>
      <c r="B191" s="2" t="str">
        <f>A191&amp;COUNTIF($A$2:$A191,A191)</f>
        <v>Wood Elf3</v>
      </c>
      <c r="C191" s="2" t="s">
        <v>242</v>
      </c>
      <c r="D191" s="2" t="str">
        <f t="shared" si="0"/>
        <v>Wood ElfCatcher</v>
      </c>
      <c r="E191" s="2">
        <v>8</v>
      </c>
      <c r="F191" s="2">
        <v>2</v>
      </c>
      <c r="G191" s="2">
        <v>2</v>
      </c>
      <c r="H191" s="2">
        <v>4</v>
      </c>
      <c r="I191" s="2">
        <v>8</v>
      </c>
      <c r="J191" s="2" t="str">
        <f>IF('Pack Vieja Gloria'!$J$24="Español",V191,(IF('Pack Vieja Gloria'!$J$24="Deutsch",W191,(IF('Pack Vieja Gloria'!$J$24="Français",X191,U191)))))</f>
        <v>Atrapar, Esquivar</v>
      </c>
      <c r="K191" s="1">
        <v>90000</v>
      </c>
      <c r="L191" s="1">
        <f t="shared" si="14"/>
        <v>90</v>
      </c>
      <c r="M191" s="1">
        <v>4</v>
      </c>
      <c r="N191" s="1">
        <v>0</v>
      </c>
      <c r="O191" s="1" t="s">
        <v>170</v>
      </c>
      <c r="P191" s="1" t="s">
        <v>170</v>
      </c>
      <c r="Q191" s="1" t="s">
        <v>169</v>
      </c>
      <c r="R191" s="1" t="s">
        <v>169</v>
      </c>
      <c r="S191" s="1">
        <v>0</v>
      </c>
      <c r="T191" s="15" t="str">
        <f t="shared" si="13"/>
        <v>M</v>
      </c>
      <c r="U191" s="15" t="s">
        <v>426</v>
      </c>
      <c r="V191" s="2" t="s">
        <v>427</v>
      </c>
      <c r="W191" s="15" t="s">
        <v>428</v>
      </c>
      <c r="X191" s="15" t="s">
        <v>429</v>
      </c>
      <c r="Y191" s="15"/>
    </row>
    <row r="192" spans="1:25" ht="12.75" customHeight="1" x14ac:dyDescent="0.2">
      <c r="A192" s="23" t="s">
        <v>160</v>
      </c>
      <c r="B192" s="2" t="str">
        <f>A192&amp;COUNTIF($A$2:$A192,A192)</f>
        <v>Wood Elf4</v>
      </c>
      <c r="C192" s="2" t="s">
        <v>241</v>
      </c>
      <c r="D192" s="2" t="str">
        <f t="shared" si="0"/>
        <v>Wood ElfThrower</v>
      </c>
      <c r="E192" s="2">
        <v>7</v>
      </c>
      <c r="F192" s="2">
        <v>3</v>
      </c>
      <c r="G192" s="2">
        <v>2</v>
      </c>
      <c r="H192" s="2">
        <v>2</v>
      </c>
      <c r="I192" s="2">
        <v>8</v>
      </c>
      <c r="J192" s="2" t="str">
        <f>IF('Pack Vieja Gloria'!$J$24="Español",V192,(IF('Pack Vieja Gloria'!$J$24="Deutsch",W192,(IF('Pack Vieja Gloria'!$J$24="Français",X192,U192)))))</f>
        <v>Pasar</v>
      </c>
      <c r="K192" s="1">
        <v>95000</v>
      </c>
      <c r="L192" s="1">
        <f t="shared" si="14"/>
        <v>95</v>
      </c>
      <c r="M192" s="2">
        <v>2</v>
      </c>
      <c r="N192" s="2">
        <v>0</v>
      </c>
      <c r="O192" s="1" t="s">
        <v>170</v>
      </c>
      <c r="P192" s="1" t="s">
        <v>170</v>
      </c>
      <c r="Q192" s="1" t="s">
        <v>169</v>
      </c>
      <c r="R192" s="1" t="s">
        <v>170</v>
      </c>
      <c r="S192" s="1">
        <v>0</v>
      </c>
      <c r="T192" s="15" t="str">
        <f t="shared" si="13"/>
        <v>M</v>
      </c>
      <c r="U192" s="15" t="s">
        <v>356</v>
      </c>
      <c r="V192" s="15" t="s">
        <v>357</v>
      </c>
      <c r="W192" s="15" t="s">
        <v>358</v>
      </c>
      <c r="X192" s="15" t="s">
        <v>359</v>
      </c>
      <c r="Y192" s="15"/>
    </row>
    <row r="193" spans="1:25" ht="12.75" customHeight="1" x14ac:dyDescent="0.2">
      <c r="A193" s="23" t="s">
        <v>160</v>
      </c>
      <c r="B193" s="2" t="str">
        <f>A193&amp;COUNTIF($A$2:$A193,A193)</f>
        <v>Wood Elf5</v>
      </c>
      <c r="C193" s="2" t="s">
        <v>692</v>
      </c>
      <c r="D193" s="2" t="str">
        <f t="shared" si="0"/>
        <v>Wood ElfWardancer</v>
      </c>
      <c r="E193" s="2">
        <v>8</v>
      </c>
      <c r="F193" s="2">
        <v>3</v>
      </c>
      <c r="G193" s="2">
        <v>2</v>
      </c>
      <c r="H193" s="2">
        <v>4</v>
      </c>
      <c r="I193" s="2">
        <v>8</v>
      </c>
      <c r="J193" s="2" t="str">
        <f>IF('Pack Vieja Gloria'!$J$24="Español",V193,(IF('Pack Vieja Gloria'!$J$24="Deutsch",W193,(IF('Pack Vieja Gloria'!$J$24="Français",X193,U193)))))</f>
        <v>Placar, Esquivar, Saltar</v>
      </c>
      <c r="K193" s="1">
        <v>125000</v>
      </c>
      <c r="L193" s="1">
        <f t="shared" si="14"/>
        <v>125</v>
      </c>
      <c r="M193" s="2">
        <v>2</v>
      </c>
      <c r="N193" s="2">
        <v>0</v>
      </c>
      <c r="O193" s="1" t="s">
        <v>170</v>
      </c>
      <c r="P193" s="1" t="s">
        <v>170</v>
      </c>
      <c r="Q193" s="1" t="s">
        <v>169</v>
      </c>
      <c r="R193" s="1" t="s">
        <v>169</v>
      </c>
      <c r="S193" s="1">
        <v>0</v>
      </c>
      <c r="T193" s="15" t="str">
        <f t="shared" si="13"/>
        <v>M</v>
      </c>
      <c r="U193" s="15" t="s">
        <v>693</v>
      </c>
      <c r="V193" s="15" t="s">
        <v>694</v>
      </c>
      <c r="W193" s="15" t="s">
        <v>695</v>
      </c>
      <c r="X193" s="15" t="s">
        <v>696</v>
      </c>
      <c r="Y193" s="15"/>
    </row>
    <row r="194" spans="1:25" ht="12.75" customHeight="1" x14ac:dyDescent="0.2">
      <c r="A194" s="23" t="s">
        <v>160</v>
      </c>
      <c r="B194" s="2" t="str">
        <f>A194&amp;COUNTIF($A$2:$A194,A194)</f>
        <v>Wood Elf6</v>
      </c>
      <c r="C194" s="2" t="s">
        <v>697</v>
      </c>
      <c r="D194" s="2" t="str">
        <f t="shared" si="0"/>
        <v>Wood ElfTreeman</v>
      </c>
      <c r="E194" s="2">
        <v>2</v>
      </c>
      <c r="F194" s="2">
        <v>6</v>
      </c>
      <c r="G194" s="2">
        <v>5</v>
      </c>
      <c r="H194" s="2">
        <v>5</v>
      </c>
      <c r="I194" s="2">
        <v>11</v>
      </c>
      <c r="J194" s="2" t="str">
        <f>IF('Pack Vieja Gloria'!$J$24="Español",V194,(IF('Pack Vieja Gloria'!$J$24="Deutsch",W194,(IF('Pack Vieja Gloria'!$J$24="Français",X194,U194)))))</f>
        <v>Solitario (4+), Golpe mortífero (+1), Mantenerse firme, Brazo fuerte, Echar raíces, Cabeza dura, Lanzar compañero</v>
      </c>
      <c r="K194" s="1">
        <v>120000</v>
      </c>
      <c r="L194" s="1">
        <f t="shared" si="14"/>
        <v>120</v>
      </c>
      <c r="M194" s="2">
        <v>1</v>
      </c>
      <c r="N194" s="2">
        <v>1</v>
      </c>
      <c r="O194" s="1" t="s">
        <v>169</v>
      </c>
      <c r="P194" s="1" t="s">
        <v>169</v>
      </c>
      <c r="Q194" s="1" t="s">
        <v>170</v>
      </c>
      <c r="R194" s="1">
        <v>0</v>
      </c>
      <c r="S194" s="1">
        <v>0</v>
      </c>
      <c r="T194" s="15" t="str">
        <f t="shared" si="13"/>
        <v>PM</v>
      </c>
      <c r="U194" s="15" t="s">
        <v>698</v>
      </c>
      <c r="V194" s="15" t="s">
        <v>699</v>
      </c>
      <c r="W194" s="15" t="s">
        <v>1091</v>
      </c>
      <c r="X194" s="15" t="s">
        <v>700</v>
      </c>
      <c r="Y194" s="1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262</vt:i4>
      </vt:variant>
    </vt:vector>
  </HeadingPairs>
  <TitlesOfParts>
    <vt:vector size="273" baseType="lpstr">
      <vt:lpstr>Squad Info</vt:lpstr>
      <vt:lpstr>Pack Pro-Player</vt:lpstr>
      <vt:lpstr>Pack Vieja Gloria</vt:lpstr>
      <vt:lpstr>Pack BB2020</vt:lpstr>
      <vt:lpstr>Pack Protajer</vt:lpstr>
      <vt:lpstr>TeamsBB2020</vt:lpstr>
      <vt:lpstr>TeamsProtajer</vt:lpstr>
      <vt:lpstr>StarPlayersBB2020</vt:lpstr>
      <vt:lpstr>StarPlayersProtajer</vt:lpstr>
      <vt:lpstr>TeamsProPlayer</vt:lpstr>
      <vt:lpstr>TeamsViejaGloria</vt:lpstr>
      <vt:lpstr>TeamsProPlayer!Amazon</vt:lpstr>
      <vt:lpstr>TeamsProtajer!Amazon</vt:lpstr>
      <vt:lpstr>TeamsViejaGloria!Amazon</vt:lpstr>
      <vt:lpstr>StarPlayersProtajer!BadlandsBrawl</vt:lpstr>
      <vt:lpstr>BadlandsBrawl</vt:lpstr>
      <vt:lpstr>StarPlayersProtajer!BadlandsBrawlOldWorldClassic</vt:lpstr>
      <vt:lpstr>BadlandsBrawlOldWorldClassic</vt:lpstr>
      <vt:lpstr>StarPlayersProtajer!BadlandsBrawlUnderworldChallenge</vt:lpstr>
      <vt:lpstr>BadlandsBrawlUnderworldChallenge</vt:lpstr>
      <vt:lpstr>TeamsProPlayer!BlackOrc</vt:lpstr>
      <vt:lpstr>TeamsProtajer!BlackOrc</vt:lpstr>
      <vt:lpstr>TeamsViejaGloria!BlackOrc</vt:lpstr>
      <vt:lpstr>BlackOrc</vt:lpstr>
      <vt:lpstr>'Pack Pro-Player'!CARNE</vt:lpstr>
      <vt:lpstr>'Pack Protajer'!CARNE</vt:lpstr>
      <vt:lpstr>'Pack Vieja Gloria'!CARNE</vt:lpstr>
      <vt:lpstr>CARNE</vt:lpstr>
      <vt:lpstr>'Pack Pro-Player'!CARTASDEJUEGO</vt:lpstr>
      <vt:lpstr>'Pack Protajer'!CARTASDEJUEGO</vt:lpstr>
      <vt:lpstr>'Pack Vieja Gloria'!CARTASDEJUEGO</vt:lpstr>
      <vt:lpstr>CARTASDEJUEGO</vt:lpstr>
      <vt:lpstr>TeamsProPlayer!ChaosChosen</vt:lpstr>
      <vt:lpstr>TeamsProtajer!ChaosChosen</vt:lpstr>
      <vt:lpstr>TeamsViejaGloria!ChaosChosen</vt:lpstr>
      <vt:lpstr>ChaosChosen</vt:lpstr>
      <vt:lpstr>TeamsProPlayer!ChaosDwarf</vt:lpstr>
      <vt:lpstr>TeamsProtajer!ChaosDwarf</vt:lpstr>
      <vt:lpstr>TeamsViejaGloria!ChaosDwarf</vt:lpstr>
      <vt:lpstr>TeamsProPlayer!ChaosRenegades</vt:lpstr>
      <vt:lpstr>TeamsProtajer!ChaosRenegades</vt:lpstr>
      <vt:lpstr>TeamsViejaGloria!ChaosRenegades</vt:lpstr>
      <vt:lpstr>ChaosRenegades</vt:lpstr>
      <vt:lpstr>TeamsProPlayer!DarkElf</vt:lpstr>
      <vt:lpstr>TeamsProtajer!DarkElf</vt:lpstr>
      <vt:lpstr>TeamsViejaGloria!DarkElf</vt:lpstr>
      <vt:lpstr>DarkElf</vt:lpstr>
      <vt:lpstr>TeamsProPlayer!Dwarf</vt:lpstr>
      <vt:lpstr>TeamsProtajer!Dwarf</vt:lpstr>
      <vt:lpstr>TeamsViejaGloria!Dwarf</vt:lpstr>
      <vt:lpstr>Dwarf</vt:lpstr>
      <vt:lpstr>StarPlayersProtajer!ElvenKingdomsLeague</vt:lpstr>
      <vt:lpstr>ElvenKingdomsLeague</vt:lpstr>
      <vt:lpstr>TeamsProPlayer!ElvenUnion</vt:lpstr>
      <vt:lpstr>TeamsProtajer!ElvenUnion</vt:lpstr>
      <vt:lpstr>TeamsViejaGloria!ElvenUnion</vt:lpstr>
      <vt:lpstr>ElvenUnion</vt:lpstr>
      <vt:lpstr>'Pack Pro-Player'!ENGLISH</vt:lpstr>
      <vt:lpstr>'Pack Protajer'!ENGLISH</vt:lpstr>
      <vt:lpstr>'Pack Vieja Gloria'!ENGLISH</vt:lpstr>
      <vt:lpstr>ENGLISH</vt:lpstr>
      <vt:lpstr>'Pack Pro-Player'!Español</vt:lpstr>
      <vt:lpstr>'Pack Protajer'!Español</vt:lpstr>
      <vt:lpstr>'Pack Vieja Gloria'!Español</vt:lpstr>
      <vt:lpstr>Español</vt:lpstr>
      <vt:lpstr>'Pack Pro-Player'!ESSS</vt:lpstr>
      <vt:lpstr>'Pack Protajer'!ESSS</vt:lpstr>
      <vt:lpstr>'Pack Vieja Gloria'!ESSS</vt:lpstr>
      <vt:lpstr>ESSS</vt:lpstr>
      <vt:lpstr>StarPlayersProtajer!FavouredOf</vt:lpstr>
      <vt:lpstr>FavouredOf</vt:lpstr>
      <vt:lpstr>StarPlayersProtajer!FavouredOfWorldsEdgeSuperleagueBadlandsBrawl</vt:lpstr>
      <vt:lpstr>FavouredOfWorldsEdgeSuperleagueBadlandsBrawl</vt:lpstr>
      <vt:lpstr>TeamsProPlayer!Goblin</vt:lpstr>
      <vt:lpstr>TeamsProtajer!Goblin</vt:lpstr>
      <vt:lpstr>TeamsViejaGloria!Goblin</vt:lpstr>
      <vt:lpstr>Goblin</vt:lpstr>
      <vt:lpstr>TeamsProPlayer!Halfling</vt:lpstr>
      <vt:lpstr>TeamsProtajer!Halfling</vt:lpstr>
      <vt:lpstr>TeamsViejaGloria!Halfling</vt:lpstr>
      <vt:lpstr>Halfling</vt:lpstr>
      <vt:lpstr>StarPlayersProtajer!HalflingThimbleCup</vt:lpstr>
      <vt:lpstr>HalflingThimbleCup</vt:lpstr>
      <vt:lpstr>StarPlayersProtajer!HalflingThimbleCupOldWorldClassic</vt:lpstr>
      <vt:lpstr>HalflingThimbleCupOldWorldClassic</vt:lpstr>
      <vt:lpstr>TeamsProPlayer!HighElf</vt:lpstr>
      <vt:lpstr>TeamsProtajer!HighElf</vt:lpstr>
      <vt:lpstr>TeamsViejaGloria!HighElf</vt:lpstr>
      <vt:lpstr>HighElf</vt:lpstr>
      <vt:lpstr>TeamsProPlayer!Human</vt:lpstr>
      <vt:lpstr>TeamsProtajer!Human</vt:lpstr>
      <vt:lpstr>TeamsViejaGloria!Human</vt:lpstr>
      <vt:lpstr>Human</vt:lpstr>
      <vt:lpstr>TeamsProPlayer!ImperialNobility</vt:lpstr>
      <vt:lpstr>TeamsProtajer!ImperialNobility</vt:lpstr>
      <vt:lpstr>TeamsViejaGloria!ImperialNobility</vt:lpstr>
      <vt:lpstr>ImperialNobility</vt:lpstr>
      <vt:lpstr>'Pack Pro-Player'!INCENTIVOS_DE_RAZA</vt:lpstr>
      <vt:lpstr>'Pack Protajer'!INCENTIVOS_DE_RAZA</vt:lpstr>
      <vt:lpstr>'Pack Vieja Gloria'!INCENTIVOS_DE_RAZA</vt:lpstr>
      <vt:lpstr>INCENTIVOS_DE_RAZA</vt:lpstr>
      <vt:lpstr>'Pack Pro-Player'!INCENTIVOSDERAZA</vt:lpstr>
      <vt:lpstr>'Pack Protajer'!INCENTIVOSDERAZA</vt:lpstr>
      <vt:lpstr>'Pack Vieja Gloria'!INCENTIVOSDERAZA</vt:lpstr>
      <vt:lpstr>INCENTIVOSDERAZA</vt:lpstr>
      <vt:lpstr>'Pack Pro-Player'!INFAME</vt:lpstr>
      <vt:lpstr>'Pack Protajer'!INFAME</vt:lpstr>
      <vt:lpstr>'Pack Vieja Gloria'!INFAME</vt:lpstr>
      <vt:lpstr>INFAME</vt:lpstr>
      <vt:lpstr>'Pack Pro-Player'!INFAMOUS</vt:lpstr>
      <vt:lpstr>'Pack Protajer'!INFAMOUS</vt:lpstr>
      <vt:lpstr>'Pack Vieja Gloria'!INFAMOUS</vt:lpstr>
      <vt:lpstr>INFAMOUS</vt:lpstr>
      <vt:lpstr>'Pack Pro-Player'!INFAMOUSSTAFF</vt:lpstr>
      <vt:lpstr>'Pack Protajer'!INFAMOUSSTAFF</vt:lpstr>
      <vt:lpstr>'Pack Vieja Gloria'!INFAMOUSSTAFF</vt:lpstr>
      <vt:lpstr>INFAMOUSSTAFF</vt:lpstr>
      <vt:lpstr>'Pack Pro-Player'!INJURIES</vt:lpstr>
      <vt:lpstr>'Pack Protajer'!INJURIES</vt:lpstr>
      <vt:lpstr>'Pack Vieja Gloria'!INJURIES</vt:lpstr>
      <vt:lpstr>INJURIES</vt:lpstr>
      <vt:lpstr>'Pack Pro-Player'!INJURY</vt:lpstr>
      <vt:lpstr>'Pack Protajer'!INJURY</vt:lpstr>
      <vt:lpstr>'Pack Vieja Gloria'!INJURY</vt:lpstr>
      <vt:lpstr>INJURY</vt:lpstr>
      <vt:lpstr>'Pack Pro-Player'!INJURYs</vt:lpstr>
      <vt:lpstr>'Pack Protajer'!INJURYs</vt:lpstr>
      <vt:lpstr>'Pack Vieja Gloria'!INJURYs</vt:lpstr>
      <vt:lpstr>INJURYs</vt:lpstr>
      <vt:lpstr>'Pack Pro-Player'!Jugadores</vt:lpstr>
      <vt:lpstr>'Pack Protajer'!Jugadores</vt:lpstr>
      <vt:lpstr>'Pack Vieja Gloria'!Jugadores</vt:lpstr>
      <vt:lpstr>Jugadores</vt:lpstr>
      <vt:lpstr>'Pack Pro-Player'!LESION</vt:lpstr>
      <vt:lpstr>'Pack Protajer'!LESION</vt:lpstr>
      <vt:lpstr>'Pack Vieja Gloria'!LESION</vt:lpstr>
      <vt:lpstr>LESION</vt:lpstr>
      <vt:lpstr>'Pack Pro-Player'!LESIONes</vt:lpstr>
      <vt:lpstr>'Pack Protajer'!LESIONes</vt:lpstr>
      <vt:lpstr>'Pack Vieja Gloria'!LESIONes</vt:lpstr>
      <vt:lpstr>LESIONes</vt:lpstr>
      <vt:lpstr>'Pack Pro-Player'!LESIONESS</vt:lpstr>
      <vt:lpstr>'Pack Protajer'!LESIONESS</vt:lpstr>
      <vt:lpstr>'Pack Vieja Gloria'!LESIONESS</vt:lpstr>
      <vt:lpstr>LESIONESS</vt:lpstr>
      <vt:lpstr>TeamsProPlayer!Lizardman</vt:lpstr>
      <vt:lpstr>TeamsProtajer!Lizardman</vt:lpstr>
      <vt:lpstr>TeamsViejaGloria!Lizardman</vt:lpstr>
      <vt:lpstr>Lizardman</vt:lpstr>
      <vt:lpstr>StarPlayersProtajer!LustrianSuperleague</vt:lpstr>
      <vt:lpstr>LustrianSuperleague</vt:lpstr>
      <vt:lpstr>StarPlayersProtajer!LustrianSuperleagueOldWorldClassic</vt:lpstr>
      <vt:lpstr>LustrianSuperleagueOldWorldClassic</vt:lpstr>
      <vt:lpstr>TeamsProPlayer!Necromantic</vt:lpstr>
      <vt:lpstr>TeamsProtajer!Necromantic</vt:lpstr>
      <vt:lpstr>TeamsViejaGloria!Necromantic</vt:lpstr>
      <vt:lpstr>Necromantic</vt:lpstr>
      <vt:lpstr>TeamsProPlayer!Norse</vt:lpstr>
      <vt:lpstr>TeamsProtajer!Norse</vt:lpstr>
      <vt:lpstr>TeamsViejaGloria!Norse</vt:lpstr>
      <vt:lpstr>TeamsProPlayer!Nurgle</vt:lpstr>
      <vt:lpstr>TeamsProtajer!Nurgle</vt:lpstr>
      <vt:lpstr>TeamsViejaGloria!Nurgle</vt:lpstr>
      <vt:lpstr>Nurgle</vt:lpstr>
      <vt:lpstr>TeamsProPlayer!Ogre</vt:lpstr>
      <vt:lpstr>TeamsProtajer!Ogre</vt:lpstr>
      <vt:lpstr>TeamsViejaGloria!Ogre</vt:lpstr>
      <vt:lpstr>Ogre</vt:lpstr>
      <vt:lpstr>TeamsProPlayer!OldWorldAlliance</vt:lpstr>
      <vt:lpstr>TeamsProtajer!OldWorldAlliance</vt:lpstr>
      <vt:lpstr>TeamsViejaGloria!OldWorldAlliance</vt:lpstr>
      <vt:lpstr>OldWorldAlliance</vt:lpstr>
      <vt:lpstr>StarPlayersProtajer!OldWorldClassic</vt:lpstr>
      <vt:lpstr>OldWorldClassic</vt:lpstr>
      <vt:lpstr>StarPlayersProtajer!OldWorldClassicWorldsEdgeSuperleague</vt:lpstr>
      <vt:lpstr>OldWorldClassicWorldsEdgeSuperleague</vt:lpstr>
      <vt:lpstr>TeamsProPlayer!Orc</vt:lpstr>
      <vt:lpstr>TeamsProtajer!Orc</vt:lpstr>
      <vt:lpstr>TeamsViejaGloria!Orc</vt:lpstr>
      <vt:lpstr>Orc</vt:lpstr>
      <vt:lpstr>'Pack Pro-Player'!PERSONAL_INFAME</vt:lpstr>
      <vt:lpstr>'Pack Protajer'!PERSONAL_INFAME</vt:lpstr>
      <vt:lpstr>'Pack Vieja Gloria'!PERSONAL_INFAME</vt:lpstr>
      <vt:lpstr>PERSONAL_INFAME</vt:lpstr>
      <vt:lpstr>'Pack Pro-Player'!PERSONALINFAME</vt:lpstr>
      <vt:lpstr>'Pack Protajer'!PERSONALINFAME</vt:lpstr>
      <vt:lpstr>'Pack Vieja Gloria'!PERSONALINFAME</vt:lpstr>
      <vt:lpstr>PERSONALINFAME</vt:lpstr>
      <vt:lpstr>'Pack Pro-Player'!RACIAL_INDUCEMENT</vt:lpstr>
      <vt:lpstr>'Pack Protajer'!RACIAL_INDUCEMENT</vt:lpstr>
      <vt:lpstr>'Pack Vieja Gloria'!RACIAL_INDUCEMENT</vt:lpstr>
      <vt:lpstr>RACIAL_INDUCEMENT</vt:lpstr>
      <vt:lpstr>'Pack Pro-Player'!RACIALINDUCEMENT</vt:lpstr>
      <vt:lpstr>'Pack Protajer'!RACIALINDUCEMENT</vt:lpstr>
      <vt:lpstr>'Pack Vieja Gloria'!RACIALINDUCEMENT</vt:lpstr>
      <vt:lpstr>RACIALINDUCEMENT</vt:lpstr>
      <vt:lpstr>TeamsProPlayer!ShamblingUndead</vt:lpstr>
      <vt:lpstr>TeamsProtajer!ShamblingUndead</vt:lpstr>
      <vt:lpstr>TeamsViejaGloria!ShamblingUndead</vt:lpstr>
      <vt:lpstr>ShamblingUndead</vt:lpstr>
      <vt:lpstr>TeamsProPlayer!Skaven</vt:lpstr>
      <vt:lpstr>TeamsProtajer!Skaven</vt:lpstr>
      <vt:lpstr>TeamsViejaGloria!Skaven</vt:lpstr>
      <vt:lpstr>Skaven</vt:lpstr>
      <vt:lpstr>TeamsProPlayer!Slann</vt:lpstr>
      <vt:lpstr>TeamsProtajer!Slann</vt:lpstr>
      <vt:lpstr>TeamsViejaGloria!Slann</vt:lpstr>
      <vt:lpstr>Slann</vt:lpstr>
      <vt:lpstr>TeamsProPlayer!Snotling</vt:lpstr>
      <vt:lpstr>TeamsProtajer!Snotling</vt:lpstr>
      <vt:lpstr>TeamsViejaGloria!Snotling</vt:lpstr>
      <vt:lpstr>Snotling</vt:lpstr>
      <vt:lpstr>'Pack Pro-Player'!SPECIALPLAYCARDS</vt:lpstr>
      <vt:lpstr>'Pack Protajer'!SPECIALPLAYCARDS</vt:lpstr>
      <vt:lpstr>'Pack Vieja Gloria'!SPECIALPLAYCARDS</vt:lpstr>
      <vt:lpstr>SPECIALPLAYCARDS</vt:lpstr>
      <vt:lpstr>StarPlayersProtajer!SylvanianSpotlight</vt:lpstr>
      <vt:lpstr>SylvanianSpotlight</vt:lpstr>
      <vt:lpstr>TeamsProPlayer!TombKing</vt:lpstr>
      <vt:lpstr>TeamsProtajer!TombKing</vt:lpstr>
      <vt:lpstr>TeamsViejaGloria!TombKing</vt:lpstr>
      <vt:lpstr>TombKing</vt:lpstr>
      <vt:lpstr>StarPlayersProtajer!UnderworldChallenge</vt:lpstr>
      <vt:lpstr>UnderworldChallenge</vt:lpstr>
      <vt:lpstr>TeamsProPlayer!UnderworldDenizens</vt:lpstr>
      <vt:lpstr>TeamsProtajer!UnderworldDenizens</vt:lpstr>
      <vt:lpstr>TeamsViejaGloria!UnderworldDenizens</vt:lpstr>
      <vt:lpstr>UnderworldDenizens</vt:lpstr>
      <vt:lpstr>'Pack Pro-Player'!valorequipo</vt:lpstr>
      <vt:lpstr>'Pack Protajer'!valorequipo</vt:lpstr>
      <vt:lpstr>'Pack Vieja Gloria'!valorequipo</vt:lpstr>
      <vt:lpstr>valorequipo</vt:lpstr>
      <vt:lpstr>TeamsProPlayer!Vampire</vt:lpstr>
      <vt:lpstr>TeamsProtajer!Vampire</vt:lpstr>
      <vt:lpstr>TeamsViejaGloria!Vampire</vt:lpstr>
      <vt:lpstr>TeamsProPlayer!WoodElf</vt:lpstr>
      <vt:lpstr>TeamsProtajer!WoodElf</vt:lpstr>
      <vt:lpstr>TeamsViejaGloria!WoodElf</vt:lpstr>
      <vt:lpstr>WoodElf</vt:lpstr>
      <vt:lpstr>StarPlayersProtajer!WorldsEdgeSuperleague</vt:lpstr>
      <vt:lpstr>WorldsEdgeSuperleague</vt:lpstr>
      <vt:lpstr>'Pack BB2020'!Z_000DFA95_C5ED_4E25_B049_8595AFF84C6A_.wvu.Cols</vt:lpstr>
      <vt:lpstr>'Pack Pro-Player'!Z_000DFA95_C5ED_4E25_B049_8595AFF84C6A_.wvu.Cols</vt:lpstr>
      <vt:lpstr>'Pack Protajer'!Z_000DFA95_C5ED_4E25_B049_8595AFF84C6A_.wvu.Cols</vt:lpstr>
      <vt:lpstr>'Pack Vieja Gloria'!Z_000DFA95_C5ED_4E25_B049_8595AFF84C6A_.wvu.Cols</vt:lpstr>
      <vt:lpstr>'Pack BB2020'!Z_000DFA95_C5ED_4E25_B049_8595AFF84C6A_.wvu.PrintArea</vt:lpstr>
      <vt:lpstr>'Pack Pro-Player'!Z_000DFA95_C5ED_4E25_B049_8595AFF84C6A_.wvu.PrintArea</vt:lpstr>
      <vt:lpstr>'Pack Protajer'!Z_000DFA95_C5ED_4E25_B049_8595AFF84C6A_.wvu.PrintArea</vt:lpstr>
      <vt:lpstr>'Pack Vieja Gloria'!Z_000DFA95_C5ED_4E25_B049_8595AFF84C6A_.wvu.PrintArea</vt:lpstr>
      <vt:lpstr>'Pack BB2020'!Z_321F642C_C9F4_43AA_AD98_F704A19C5B24_.wvu.Cols</vt:lpstr>
      <vt:lpstr>'Pack Pro-Player'!Z_321F642C_C9F4_43AA_AD98_F704A19C5B24_.wvu.Cols</vt:lpstr>
      <vt:lpstr>'Pack Protajer'!Z_321F642C_C9F4_43AA_AD98_F704A19C5B24_.wvu.Cols</vt:lpstr>
      <vt:lpstr>'Pack Vieja Gloria'!Z_321F642C_C9F4_43AA_AD98_F704A19C5B24_.wvu.Cols</vt:lpstr>
      <vt:lpstr>'Pack BB2020'!Z_321F642C_C9F4_43AA_AD98_F704A19C5B24_.wvu.PrintArea</vt:lpstr>
      <vt:lpstr>'Pack Pro-Player'!Z_321F642C_C9F4_43AA_AD98_F704A19C5B24_.wvu.PrintArea</vt:lpstr>
      <vt:lpstr>'Pack Protajer'!Z_321F642C_C9F4_43AA_AD98_F704A19C5B24_.wvu.PrintArea</vt:lpstr>
      <vt:lpstr>'Pack Vieja Gloria'!Z_321F642C_C9F4_43AA_AD98_F704A19C5B24_.wvu.PrintArea</vt:lpstr>
      <vt:lpstr>'Pack BB2020'!Z_B1FCC566_F3B8_4120_9959_D3488490C2B3_.wvu.Cols</vt:lpstr>
      <vt:lpstr>'Pack Pro-Player'!Z_B1FCC566_F3B8_4120_9959_D3488490C2B3_.wvu.Cols</vt:lpstr>
      <vt:lpstr>'Pack Protajer'!Z_B1FCC566_F3B8_4120_9959_D3488490C2B3_.wvu.Cols</vt:lpstr>
      <vt:lpstr>'Pack Vieja Gloria'!Z_B1FCC566_F3B8_4120_9959_D3488490C2B3_.wvu.Cols</vt:lpstr>
      <vt:lpstr>'Pack BB2020'!Z_B1FCC566_F3B8_4120_9959_D3488490C2B3_.wvu.PrintArea</vt:lpstr>
      <vt:lpstr>'Pack Pro-Player'!Z_B1FCC566_F3B8_4120_9959_D3488490C2B3_.wvu.PrintArea</vt:lpstr>
      <vt:lpstr>'Pack Protajer'!Z_B1FCC566_F3B8_4120_9959_D3488490C2B3_.wvu.PrintArea</vt:lpstr>
      <vt:lpstr>'Pack Vieja Gloria'!Z_B1FCC566_F3B8_4120_9959_D3488490C2B3_.wvu.PrintArea</vt:lpstr>
      <vt:lpstr>'Pack BB2020'!Z_D9D0E8AE_A23E_48A5_872D_2FD66A335355_.wvu.Cols</vt:lpstr>
      <vt:lpstr>'Pack Pro-Player'!Z_D9D0E8AE_A23E_48A5_872D_2FD66A335355_.wvu.Cols</vt:lpstr>
      <vt:lpstr>'Pack Protajer'!Z_D9D0E8AE_A23E_48A5_872D_2FD66A335355_.wvu.Cols</vt:lpstr>
      <vt:lpstr>'Pack Vieja Gloria'!Z_D9D0E8AE_A23E_48A5_872D_2FD66A335355_.wvu.Cols</vt:lpstr>
      <vt:lpstr>'Pack BB2020'!Z_D9D0E8AE_A23E_48A5_872D_2FD66A335355_.wvu.PrintArea</vt:lpstr>
      <vt:lpstr>'Pack Pro-Player'!Z_D9D0E8AE_A23E_48A5_872D_2FD66A335355_.wvu.PrintArea</vt:lpstr>
      <vt:lpstr>'Pack Protajer'!Z_D9D0E8AE_A23E_48A5_872D_2FD66A335355_.wvu.PrintArea</vt:lpstr>
      <vt:lpstr>'Pack Vieja Gloria'!Z_D9D0E8AE_A23E_48A5_872D_2FD66A335355_.wvu.PrintArea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Hugo Rodrigo  Zapata</cp:lastModifiedBy>
  <cp:lastPrinted>2021-12-10T10:18:31Z</cp:lastPrinted>
  <dcterms:created xsi:type="dcterms:W3CDTF">2018-07-19T14:07:05Z</dcterms:created>
  <dcterms:modified xsi:type="dcterms:W3CDTF">2025-05-05T14:50:19Z</dcterms:modified>
</cp:coreProperties>
</file>